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8ba2bb68872b2/Escritorio/plan financiero por y para la gente/"/>
    </mc:Choice>
  </mc:AlternateContent>
  <xr:revisionPtr revIDLastSave="9" documentId="8_{713C2973-B27B-40D6-A215-F6623C2EE819}" xr6:coauthVersionLast="47" xr6:coauthVersionMax="47" xr10:uidLastSave="{6A20956C-197A-4981-9BE5-79E06AEA3E2F}"/>
  <bookViews>
    <workbookView xWindow="-108" yWindow="-108" windowWidth="23256" windowHeight="12456" xr2:uid="{9E2D88D8-7DC9-4DC8-8493-2175DF4FB23F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Hoja1!$A$6:$WVU$103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2" i="1" l="1"/>
  <c r="R102" i="1"/>
  <c r="S102" i="1"/>
  <c r="V102" i="1"/>
  <c r="X45" i="1" l="1"/>
  <c r="X69" i="1"/>
  <c r="AF69" i="1" s="1"/>
  <c r="X78" i="1"/>
  <c r="D101" i="1"/>
  <c r="D100" i="1"/>
  <c r="E100" i="1" s="1"/>
  <c r="D99" i="1"/>
  <c r="W99" i="1" s="1"/>
  <c r="X99" i="1" s="1"/>
  <c r="D98" i="1"/>
  <c r="W98" i="1" s="1"/>
  <c r="AA98" i="1" s="1"/>
  <c r="C98" i="1"/>
  <c r="D97" i="1"/>
  <c r="E97" i="1" s="1"/>
  <c r="D96" i="1"/>
  <c r="E96" i="1" s="1"/>
  <c r="D95" i="1"/>
  <c r="E95" i="1" s="1"/>
  <c r="D94" i="1"/>
  <c r="E94" i="1" s="1"/>
  <c r="D93" i="1"/>
  <c r="E93" i="1" s="1"/>
  <c r="D92" i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M85" i="1"/>
  <c r="M86" i="1" s="1"/>
  <c r="D85" i="1"/>
  <c r="W85" i="1" s="1"/>
  <c r="X85" i="1" s="1"/>
  <c r="D84" i="1"/>
  <c r="E84" i="1" s="1"/>
  <c r="C84" i="1"/>
  <c r="D83" i="1"/>
  <c r="C83" i="1"/>
  <c r="D82" i="1"/>
  <c r="W82" i="1" s="1"/>
  <c r="AA82" i="1" s="1"/>
  <c r="AE82" i="1" s="1"/>
  <c r="AF82" i="1" s="1"/>
  <c r="C82" i="1"/>
  <c r="D81" i="1"/>
  <c r="E81" i="1" s="1"/>
  <c r="C81" i="1"/>
  <c r="D80" i="1"/>
  <c r="W80" i="1" s="1"/>
  <c r="X80" i="1" s="1"/>
  <c r="D79" i="1"/>
  <c r="W79" i="1" s="1"/>
  <c r="X79" i="1" s="1"/>
  <c r="AF78" i="1"/>
  <c r="AB78" i="1"/>
  <c r="E78" i="1"/>
  <c r="D77" i="1"/>
  <c r="W77" i="1" s="1"/>
  <c r="X77" i="1" s="1"/>
  <c r="D76" i="1"/>
  <c r="W76" i="1" s="1"/>
  <c r="X76" i="1" s="1"/>
  <c r="D75" i="1"/>
  <c r="E75" i="1" s="1"/>
  <c r="D74" i="1"/>
  <c r="W74" i="1" s="1"/>
  <c r="X74" i="1" s="1"/>
  <c r="D73" i="1"/>
  <c r="W73" i="1" s="1"/>
  <c r="X73" i="1" s="1"/>
  <c r="D72" i="1"/>
  <c r="W72" i="1" s="1"/>
  <c r="X72" i="1" s="1"/>
  <c r="D71" i="1"/>
  <c r="W71" i="1" s="1"/>
  <c r="X71" i="1" s="1"/>
  <c r="D70" i="1"/>
  <c r="W70" i="1" s="1"/>
  <c r="Z70" i="1" s="1"/>
  <c r="AE69" i="1"/>
  <c r="AB69" i="1"/>
  <c r="D68" i="1"/>
  <c r="W68" i="1" s="1"/>
  <c r="Y68" i="1" s="1"/>
  <c r="D67" i="1"/>
  <c r="W67" i="1" s="1"/>
  <c r="AA67" i="1" s="1"/>
  <c r="D66" i="1"/>
  <c r="W66" i="1" s="1"/>
  <c r="AA66" i="1" s="1"/>
  <c r="AB66" i="1" s="1"/>
  <c r="D65" i="1"/>
  <c r="W65" i="1" s="1"/>
  <c r="AA65" i="1" s="1"/>
  <c r="AE65" i="1" s="1"/>
  <c r="AG65" i="1" s="1"/>
  <c r="D64" i="1"/>
  <c r="W64" i="1" s="1"/>
  <c r="X64" i="1" s="1"/>
  <c r="D63" i="1"/>
  <c r="W63" i="1" s="1"/>
  <c r="AA63" i="1" s="1"/>
  <c r="D62" i="1"/>
  <c r="W62" i="1" s="1"/>
  <c r="AA62" i="1" s="1"/>
  <c r="AE62" i="1" s="1"/>
  <c r="AF62" i="1" s="1"/>
  <c r="D61" i="1"/>
  <c r="W61" i="1" s="1"/>
  <c r="X61" i="1" s="1"/>
  <c r="D60" i="1"/>
  <c r="W60" i="1" s="1"/>
  <c r="X60" i="1" s="1"/>
  <c r="D59" i="1"/>
  <c r="W59" i="1" s="1"/>
  <c r="AA59" i="1" s="1"/>
  <c r="D58" i="1"/>
  <c r="W58" i="1" s="1"/>
  <c r="Y58" i="1" s="1"/>
  <c r="D57" i="1"/>
  <c r="W57" i="1" s="1"/>
  <c r="AA57" i="1" s="1"/>
  <c r="AE57" i="1" s="1"/>
  <c r="AF57" i="1" s="1"/>
  <c r="D56" i="1"/>
  <c r="W56" i="1" s="1"/>
  <c r="Z56" i="1" s="1"/>
  <c r="D55" i="1"/>
  <c r="W55" i="1" s="1"/>
  <c r="AA55" i="1" s="1"/>
  <c r="D54" i="1"/>
  <c r="W54" i="1" s="1"/>
  <c r="AA54" i="1" s="1"/>
  <c r="AE54" i="1" s="1"/>
  <c r="AG54" i="1" s="1"/>
  <c r="D53" i="1"/>
  <c r="W53" i="1" s="1"/>
  <c r="Y53" i="1" s="1"/>
  <c r="D52" i="1"/>
  <c r="W52" i="1" s="1"/>
  <c r="X52" i="1" s="1"/>
  <c r="D51" i="1"/>
  <c r="W51" i="1" s="1"/>
  <c r="Z51" i="1" s="1"/>
  <c r="D50" i="1"/>
  <c r="W50" i="1" s="1"/>
  <c r="AA50" i="1" s="1"/>
  <c r="AE50" i="1" s="1"/>
  <c r="AH50" i="1" s="1"/>
  <c r="W49" i="1"/>
  <c r="AA49" i="1" s="1"/>
  <c r="G49" i="1"/>
  <c r="D48" i="1"/>
  <c r="D47" i="1"/>
  <c r="G47" i="1" s="1"/>
  <c r="D46" i="1"/>
  <c r="E46" i="1" s="1"/>
  <c r="AA45" i="1"/>
  <c r="AE45" i="1" s="1"/>
  <c r="AF45" i="1" s="1"/>
  <c r="D45" i="1"/>
  <c r="E45" i="1" s="1"/>
  <c r="D44" i="1"/>
  <c r="W44" i="1" s="1"/>
  <c r="X44" i="1" s="1"/>
  <c r="D43" i="1"/>
  <c r="W43" i="1" s="1"/>
  <c r="Y43" i="1" s="1"/>
  <c r="D42" i="1"/>
  <c r="W42" i="1" s="1"/>
  <c r="Z42" i="1" s="1"/>
  <c r="D41" i="1"/>
  <c r="F41" i="1" s="1"/>
  <c r="D40" i="1"/>
  <c r="F40" i="1" s="1"/>
  <c r="D39" i="1"/>
  <c r="W39" i="1" s="1"/>
  <c r="X39" i="1" s="1"/>
  <c r="D38" i="1"/>
  <c r="W38" i="1" s="1"/>
  <c r="Z38" i="1" s="1"/>
  <c r="D37" i="1"/>
  <c r="W37" i="1" s="1"/>
  <c r="Y37" i="1" s="1"/>
  <c r="D36" i="1"/>
  <c r="W36" i="1" s="1"/>
  <c r="Y36" i="1" s="1"/>
  <c r="D35" i="1"/>
  <c r="W35" i="1" s="1"/>
  <c r="Z35" i="1" s="1"/>
  <c r="D34" i="1"/>
  <c r="W34" i="1" s="1"/>
  <c r="Z34" i="1" s="1"/>
  <c r="D33" i="1"/>
  <c r="W33" i="1" s="1"/>
  <c r="Y33" i="1" s="1"/>
  <c r="M32" i="1"/>
  <c r="D32" i="1"/>
  <c r="G32" i="1" s="1"/>
  <c r="M31" i="1"/>
  <c r="P31" i="1" s="1"/>
  <c r="P33" i="1" s="1"/>
  <c r="I31" i="1"/>
  <c r="I32" i="1" s="1"/>
  <c r="L32" i="1" s="1"/>
  <c r="D31" i="1"/>
  <c r="W30" i="1"/>
  <c r="AA30" i="1" s="1"/>
  <c r="AC30" i="1" s="1"/>
  <c r="J30" i="1"/>
  <c r="F30" i="1"/>
  <c r="W29" i="1"/>
  <c r="X29" i="1" s="1"/>
  <c r="J29" i="1"/>
  <c r="E29" i="1"/>
  <c r="W28" i="1"/>
  <c r="X28" i="1" s="1"/>
  <c r="J28" i="1"/>
  <c r="E28" i="1"/>
  <c r="W27" i="1"/>
  <c r="X27" i="1" s="1"/>
  <c r="J27" i="1"/>
  <c r="E27" i="1"/>
  <c r="W26" i="1"/>
  <c r="X26" i="1" s="1"/>
  <c r="J26" i="1"/>
  <c r="E26" i="1"/>
  <c r="W25" i="1"/>
  <c r="X25" i="1" s="1"/>
  <c r="I25" i="1"/>
  <c r="I30" i="1" s="1"/>
  <c r="E25" i="1"/>
  <c r="W24" i="1"/>
  <c r="Y24" i="1" s="1"/>
  <c r="J24" i="1"/>
  <c r="F24" i="1"/>
  <c r="W23" i="1"/>
  <c r="Y23" i="1" s="1"/>
  <c r="J23" i="1"/>
  <c r="F23" i="1"/>
  <c r="W22" i="1"/>
  <c r="Y22" i="1" s="1"/>
  <c r="F22" i="1"/>
  <c r="D21" i="1"/>
  <c r="I21" i="1" s="1"/>
  <c r="L21" i="1" s="1"/>
  <c r="D20" i="1"/>
  <c r="W20" i="1" s="1"/>
  <c r="Z20" i="1" s="1"/>
  <c r="K19" i="1"/>
  <c r="D19" i="1"/>
  <c r="W19" i="1" s="1"/>
  <c r="Z19" i="1" s="1"/>
  <c r="D18" i="1"/>
  <c r="W18" i="1" s="1"/>
  <c r="Z18" i="1" s="1"/>
  <c r="D17" i="1"/>
  <c r="W17" i="1" s="1"/>
  <c r="Z17" i="1" s="1"/>
  <c r="D16" i="1"/>
  <c r="W16" i="1" s="1"/>
  <c r="Z16" i="1" s="1"/>
  <c r="D15" i="1"/>
  <c r="W15" i="1" s="1"/>
  <c r="AA15" i="1" s="1"/>
  <c r="AE15" i="1" s="1"/>
  <c r="AG15" i="1" s="1"/>
  <c r="D14" i="1"/>
  <c r="K11" i="1" s="1"/>
  <c r="D13" i="1"/>
  <c r="K10" i="1" s="1"/>
  <c r="D12" i="1"/>
  <c r="K9" i="1" s="1"/>
  <c r="D11" i="1"/>
  <c r="K12" i="1" s="1"/>
  <c r="D10" i="1"/>
  <c r="G10" i="1" s="1"/>
  <c r="D9" i="1"/>
  <c r="D8" i="1"/>
  <c r="W8" i="1" s="1"/>
  <c r="Z8" i="1" s="1"/>
  <c r="D7" i="1"/>
  <c r="W7" i="1" s="1"/>
  <c r="Z7" i="1" s="1"/>
  <c r="W9" i="1" l="1"/>
  <c r="Z9" i="1" s="1"/>
  <c r="D102" i="1"/>
  <c r="Y30" i="1"/>
  <c r="Y54" i="1"/>
  <c r="X62" i="1"/>
  <c r="X98" i="1"/>
  <c r="X82" i="1"/>
  <c r="X66" i="1"/>
  <c r="Z50" i="1"/>
  <c r="X67" i="1"/>
  <c r="Y65" i="1"/>
  <c r="X57" i="1"/>
  <c r="Z49" i="1"/>
  <c r="Y59" i="1"/>
  <c r="X63" i="1"/>
  <c r="Z55" i="1"/>
  <c r="Y15" i="1"/>
  <c r="AA23" i="1"/>
  <c r="AC23" i="1" s="1"/>
  <c r="L25" i="1"/>
  <c r="N32" i="1"/>
  <c r="AA52" i="1"/>
  <c r="AE52" i="1" s="1"/>
  <c r="AF52" i="1" s="1"/>
  <c r="AA64" i="1"/>
  <c r="AE64" i="1" s="1"/>
  <c r="AF64" i="1" s="1"/>
  <c r="W91" i="1"/>
  <c r="F68" i="1"/>
  <c r="G56" i="1"/>
  <c r="AA16" i="1"/>
  <c r="AD16" i="1" s="1"/>
  <c r="G16" i="1"/>
  <c r="I26" i="1"/>
  <c r="K26" i="1" s="1"/>
  <c r="G50" i="1"/>
  <c r="AA56" i="1"/>
  <c r="E66" i="1"/>
  <c r="W75" i="1"/>
  <c r="W86" i="1"/>
  <c r="X86" i="1" s="1"/>
  <c r="G42" i="1"/>
  <c r="W84" i="1"/>
  <c r="X84" i="1" s="1"/>
  <c r="F54" i="1"/>
  <c r="E99" i="1"/>
  <c r="F37" i="1"/>
  <c r="AA51" i="1"/>
  <c r="AE51" i="1" s="1"/>
  <c r="AH51" i="1" s="1"/>
  <c r="AA58" i="1"/>
  <c r="AC58" i="1" s="1"/>
  <c r="W81" i="1"/>
  <c r="X81" i="1" s="1"/>
  <c r="W95" i="1"/>
  <c r="W90" i="1"/>
  <c r="AA36" i="1"/>
  <c r="AC36" i="1" s="1"/>
  <c r="AA27" i="1"/>
  <c r="AE27" i="1" s="1"/>
  <c r="AF27" i="1" s="1"/>
  <c r="AA33" i="1"/>
  <c r="AE33" i="1" s="1"/>
  <c r="AG33" i="1" s="1"/>
  <c r="E52" i="1"/>
  <c r="AA43" i="1"/>
  <c r="AE49" i="1"/>
  <c r="AH49" i="1" s="1"/>
  <c r="AD49" i="1"/>
  <c r="AA99" i="1"/>
  <c r="AE99" i="1" s="1"/>
  <c r="AF99" i="1" s="1"/>
  <c r="AA44" i="1"/>
  <c r="AE44" i="1" s="1"/>
  <c r="AF44" i="1" s="1"/>
  <c r="F14" i="1"/>
  <c r="G34" i="1"/>
  <c r="E72" i="1"/>
  <c r="E44" i="1"/>
  <c r="G55" i="1"/>
  <c r="W87" i="1"/>
  <c r="X87" i="1" s="1"/>
  <c r="W100" i="1"/>
  <c r="F15" i="1"/>
  <c r="G35" i="1"/>
  <c r="E60" i="1"/>
  <c r="E63" i="1"/>
  <c r="AC65" i="1"/>
  <c r="E85" i="1"/>
  <c r="H85" i="1" s="1"/>
  <c r="E98" i="1"/>
  <c r="E39" i="1"/>
  <c r="W41" i="1"/>
  <c r="Y41" i="1" s="1"/>
  <c r="F43" i="1"/>
  <c r="W46" i="1"/>
  <c r="X46" i="1" s="1"/>
  <c r="G51" i="1"/>
  <c r="F53" i="1"/>
  <c r="F58" i="1"/>
  <c r="E67" i="1"/>
  <c r="G70" i="1"/>
  <c r="E74" i="1"/>
  <c r="E101" i="1"/>
  <c r="F65" i="1"/>
  <c r="G18" i="1"/>
  <c r="E80" i="1"/>
  <c r="E12" i="1"/>
  <c r="I27" i="1"/>
  <c r="K27" i="1" s="1"/>
  <c r="F33" i="1"/>
  <c r="F36" i="1"/>
  <c r="AA39" i="1"/>
  <c r="E61" i="1"/>
  <c r="W101" i="1"/>
  <c r="X101" i="1" s="1"/>
  <c r="F11" i="1"/>
  <c r="I40" i="1"/>
  <c r="AB45" i="1"/>
  <c r="F59" i="1"/>
  <c r="AE66" i="1"/>
  <c r="AF66" i="1" s="1"/>
  <c r="E76" i="1"/>
  <c r="W11" i="1"/>
  <c r="Y11" i="1" s="1"/>
  <c r="G38" i="1"/>
  <c r="AA42" i="1"/>
  <c r="AD42" i="1" s="1"/>
  <c r="E57" i="1"/>
  <c r="I33" i="1"/>
  <c r="L33" i="1" s="1"/>
  <c r="N33" i="1" s="1"/>
  <c r="W10" i="1"/>
  <c r="AA20" i="1"/>
  <c r="AE20" i="1" s="1"/>
  <c r="AH20" i="1" s="1"/>
  <c r="AA25" i="1"/>
  <c r="AB25" i="1" s="1"/>
  <c r="AA29" i="1"/>
  <c r="L31" i="1"/>
  <c r="Q31" i="1" s="1"/>
  <c r="Q102" i="1" s="1"/>
  <c r="E62" i="1"/>
  <c r="E64" i="1"/>
  <c r="AA17" i="1"/>
  <c r="AA7" i="1"/>
  <c r="AA18" i="1"/>
  <c r="AA8" i="1"/>
  <c r="AA19" i="1"/>
  <c r="K30" i="1"/>
  <c r="L30" i="1"/>
  <c r="M30" i="1" s="1"/>
  <c r="AA9" i="1"/>
  <c r="AE63" i="1"/>
  <c r="AF63" i="1" s="1"/>
  <c r="AB63" i="1"/>
  <c r="AA71" i="1"/>
  <c r="AA80" i="1"/>
  <c r="F13" i="1"/>
  <c r="E21" i="1"/>
  <c r="AA26" i="1"/>
  <c r="G7" i="1"/>
  <c r="G8" i="1"/>
  <c r="G9" i="1"/>
  <c r="W13" i="1"/>
  <c r="Y13" i="1" s="1"/>
  <c r="AC15" i="1"/>
  <c r="M21" i="1"/>
  <c r="J22" i="1"/>
  <c r="AA28" i="1"/>
  <c r="P30" i="1"/>
  <c r="AA38" i="1"/>
  <c r="AA53" i="1"/>
  <c r="AB57" i="1"/>
  <c r="AE59" i="1"/>
  <c r="AG59" i="1" s="1"/>
  <c r="AC59" i="1"/>
  <c r="AA68" i="1"/>
  <c r="AA72" i="1"/>
  <c r="I9" i="1"/>
  <c r="W12" i="1"/>
  <c r="X12" i="1" s="1"/>
  <c r="G19" i="1"/>
  <c r="G20" i="1"/>
  <c r="W21" i="1"/>
  <c r="X21" i="1" s="1"/>
  <c r="I23" i="1"/>
  <c r="L23" i="1" s="1"/>
  <c r="M23" i="1" s="1"/>
  <c r="P32" i="1"/>
  <c r="AA35" i="1"/>
  <c r="AE55" i="1"/>
  <c r="AH55" i="1" s="1"/>
  <c r="AD55" i="1"/>
  <c r="E83" i="1"/>
  <c r="W83" i="1"/>
  <c r="X83" i="1" s="1"/>
  <c r="AA70" i="1"/>
  <c r="AA77" i="1"/>
  <c r="W14" i="1"/>
  <c r="Y14" i="1" s="1"/>
  <c r="E92" i="1"/>
  <c r="W92" i="1"/>
  <c r="X92" i="1" s="1"/>
  <c r="I24" i="1"/>
  <c r="AA76" i="1"/>
  <c r="AA24" i="1"/>
  <c r="I22" i="1"/>
  <c r="L22" i="1" s="1"/>
  <c r="G17" i="1"/>
  <c r="I28" i="1"/>
  <c r="I29" i="1"/>
  <c r="AE30" i="1"/>
  <c r="AG30" i="1" s="1"/>
  <c r="T31" i="1"/>
  <c r="U31" i="1" s="1"/>
  <c r="U102" i="1" s="1"/>
  <c r="W32" i="1"/>
  <c r="Z32" i="1" s="1"/>
  <c r="AA37" i="1"/>
  <c r="G48" i="1"/>
  <c r="W48" i="1"/>
  <c r="Z48" i="1" s="1"/>
  <c r="AA60" i="1"/>
  <c r="AA22" i="1"/>
  <c r="AA34" i="1"/>
  <c r="AA73" i="1"/>
  <c r="AA79" i="1"/>
  <c r="W31" i="1"/>
  <c r="Y31" i="1" s="1"/>
  <c r="F31" i="1"/>
  <c r="AA61" i="1"/>
  <c r="AE67" i="1"/>
  <c r="AF67" i="1" s="1"/>
  <c r="AB67" i="1"/>
  <c r="AA74" i="1"/>
  <c r="AE98" i="1"/>
  <c r="AF98" i="1" s="1"/>
  <c r="AB98" i="1"/>
  <c r="W47" i="1"/>
  <c r="Z47" i="1" s="1"/>
  <c r="AD50" i="1"/>
  <c r="AC54" i="1"/>
  <c r="AB62" i="1"/>
  <c r="E73" i="1"/>
  <c r="E77" i="1"/>
  <c r="E82" i="1"/>
  <c r="W89" i="1"/>
  <c r="X89" i="1" s="1"/>
  <c r="W97" i="1"/>
  <c r="X97" i="1" s="1"/>
  <c r="AA85" i="1"/>
  <c r="W94" i="1"/>
  <c r="X94" i="1" s="1"/>
  <c r="AB82" i="1"/>
  <c r="W40" i="1"/>
  <c r="Y40" i="1" s="1"/>
  <c r="W88" i="1"/>
  <c r="X88" i="1" s="1"/>
  <c r="W96" i="1"/>
  <c r="X96" i="1" s="1"/>
  <c r="E71" i="1"/>
  <c r="E79" i="1"/>
  <c r="W93" i="1"/>
  <c r="X93" i="1" s="1"/>
  <c r="G102" i="1" l="1"/>
  <c r="E102" i="1"/>
  <c r="F102" i="1"/>
  <c r="T30" i="1"/>
  <c r="P102" i="1"/>
  <c r="I87" i="1"/>
  <c r="J87" i="1" s="1"/>
  <c r="H102" i="1"/>
  <c r="Y102" i="1"/>
  <c r="AC33" i="1"/>
  <c r="AA10" i="1"/>
  <c r="AD10" i="1" s="1"/>
  <c r="Z10" i="1"/>
  <c r="Z102" i="1" s="1"/>
  <c r="AA100" i="1"/>
  <c r="AE100" i="1" s="1"/>
  <c r="X100" i="1"/>
  <c r="AA90" i="1"/>
  <c r="AB90" i="1" s="1"/>
  <c r="X90" i="1"/>
  <c r="AE23" i="1"/>
  <c r="AG23" i="1" s="1"/>
  <c r="AA95" i="1"/>
  <c r="AE95" i="1" s="1"/>
  <c r="AF95" i="1" s="1"/>
  <c r="X95" i="1"/>
  <c r="AA75" i="1"/>
  <c r="AE75" i="1" s="1"/>
  <c r="AF75" i="1" s="1"/>
  <c r="X75" i="1"/>
  <c r="AA91" i="1"/>
  <c r="AE91" i="1" s="1"/>
  <c r="AF91" i="1" s="1"/>
  <c r="X91" i="1"/>
  <c r="AE16" i="1"/>
  <c r="AH16" i="1" s="1"/>
  <c r="W102" i="1"/>
  <c r="AA86" i="1"/>
  <c r="AB86" i="1" s="1"/>
  <c r="AB64" i="1"/>
  <c r="AB52" i="1"/>
  <c r="N31" i="1"/>
  <c r="N102" i="1" s="1"/>
  <c r="AE36" i="1"/>
  <c r="AG36" i="1" s="1"/>
  <c r="AB99" i="1"/>
  <c r="AD20" i="1"/>
  <c r="I86" i="1"/>
  <c r="J86" i="1" s="1"/>
  <c r="AE25" i="1"/>
  <c r="AF25" i="1" s="1"/>
  <c r="AE58" i="1"/>
  <c r="AG58" i="1" s="1"/>
  <c r="AA87" i="1"/>
  <c r="AE87" i="1" s="1"/>
  <c r="AF87" i="1" s="1"/>
  <c r="AB27" i="1"/>
  <c r="AD51" i="1"/>
  <c r="AE42" i="1"/>
  <c r="AH42" i="1" s="1"/>
  <c r="AE56" i="1"/>
  <c r="AH56" i="1" s="1"/>
  <c r="AD56" i="1"/>
  <c r="I85" i="1"/>
  <c r="J85" i="1" s="1"/>
  <c r="AA84" i="1"/>
  <c r="AA81" i="1"/>
  <c r="AB81" i="1" s="1"/>
  <c r="L26" i="1"/>
  <c r="M26" i="1" s="1"/>
  <c r="AA46" i="1"/>
  <c r="L27" i="1"/>
  <c r="M27" i="1" s="1"/>
  <c r="AA11" i="1"/>
  <c r="AB44" i="1"/>
  <c r="AE29" i="1"/>
  <c r="AF29" i="1" s="1"/>
  <c r="AB29" i="1"/>
  <c r="AC43" i="1"/>
  <c r="AE43" i="1"/>
  <c r="AG43" i="1" s="1"/>
  <c r="AA41" i="1"/>
  <c r="AA101" i="1"/>
  <c r="K23" i="1"/>
  <c r="AE39" i="1"/>
  <c r="AF39" i="1" s="1"/>
  <c r="AB39" i="1"/>
  <c r="AA97" i="1"/>
  <c r="AA89" i="1"/>
  <c r="AA47" i="1"/>
  <c r="AD34" i="1"/>
  <c r="AE34" i="1"/>
  <c r="AH34" i="1" s="1"/>
  <c r="AE37" i="1"/>
  <c r="AG37" i="1" s="1"/>
  <c r="AC37" i="1"/>
  <c r="AA14" i="1"/>
  <c r="AE35" i="1"/>
  <c r="AH35" i="1" s="1"/>
  <c r="AD35" i="1"/>
  <c r="AE72" i="1"/>
  <c r="AF72" i="1" s="1"/>
  <c r="AB72" i="1"/>
  <c r="AE53" i="1"/>
  <c r="AC53" i="1"/>
  <c r="AD19" i="1"/>
  <c r="AE19" i="1"/>
  <c r="AH19" i="1" s="1"/>
  <c r="AA88" i="1"/>
  <c r="AA31" i="1"/>
  <c r="AE24" i="1"/>
  <c r="AG24" i="1" s="1"/>
  <c r="AC24" i="1"/>
  <c r="AA92" i="1"/>
  <c r="AA94" i="1"/>
  <c r="AE74" i="1"/>
  <c r="AF74" i="1" s="1"/>
  <c r="AB74" i="1"/>
  <c r="AA13" i="1"/>
  <c r="AE85" i="1"/>
  <c r="AF85" i="1" s="1"/>
  <c r="AB85" i="1"/>
  <c r="AA32" i="1"/>
  <c r="AE7" i="1"/>
  <c r="AD7" i="1"/>
  <c r="AE79" i="1"/>
  <c r="AB79" i="1"/>
  <c r="K28" i="1"/>
  <c r="L28" i="1"/>
  <c r="M28" i="1" s="1"/>
  <c r="AE73" i="1"/>
  <c r="AF73" i="1" s="1"/>
  <c r="AB73" i="1"/>
  <c r="AE76" i="1"/>
  <c r="AF76" i="1" s="1"/>
  <c r="AB76" i="1"/>
  <c r="AE77" i="1"/>
  <c r="AF77" i="1" s="1"/>
  <c r="AB77" i="1"/>
  <c r="AA83" i="1"/>
  <c r="AE68" i="1"/>
  <c r="AG68" i="1" s="1"/>
  <c r="AC68" i="1"/>
  <c r="AE80" i="1"/>
  <c r="AF80" i="1" s="1"/>
  <c r="AB80" i="1"/>
  <c r="AD18" i="1"/>
  <c r="AE18" i="1"/>
  <c r="AH18" i="1" s="1"/>
  <c r="AA12" i="1"/>
  <c r="J10" i="1"/>
  <c r="J9" i="1"/>
  <c r="J12" i="1"/>
  <c r="J11" i="1"/>
  <c r="AA96" i="1"/>
  <c r="AA40" i="1"/>
  <c r="AE61" i="1"/>
  <c r="AF61" i="1" s="1"/>
  <c r="AB61" i="1"/>
  <c r="AA21" i="1"/>
  <c r="AE38" i="1"/>
  <c r="AH38" i="1" s="1"/>
  <c r="AD38" i="1"/>
  <c r="M22" i="1"/>
  <c r="K22" i="1"/>
  <c r="AE8" i="1"/>
  <c r="AH8" i="1" s="1"/>
  <c r="AD8" i="1"/>
  <c r="AA48" i="1"/>
  <c r="AE28" i="1"/>
  <c r="AF28" i="1" s="1"/>
  <c r="AB28" i="1"/>
  <c r="AA93" i="1"/>
  <c r="AC22" i="1"/>
  <c r="AE22" i="1"/>
  <c r="AG22" i="1" s="1"/>
  <c r="AE60" i="1"/>
  <c r="AF60" i="1" s="1"/>
  <c r="AB60" i="1"/>
  <c r="K29" i="1"/>
  <c r="L29" i="1"/>
  <c r="M29" i="1" s="1"/>
  <c r="L24" i="1"/>
  <c r="M24" i="1" s="1"/>
  <c r="K24" i="1"/>
  <c r="AE70" i="1"/>
  <c r="AH70" i="1" s="1"/>
  <c r="AD70" i="1"/>
  <c r="AE26" i="1"/>
  <c r="AF26" i="1" s="1"/>
  <c r="AB26" i="1"/>
  <c r="AE71" i="1"/>
  <c r="AB71" i="1"/>
  <c r="AD9" i="1"/>
  <c r="AE9" i="1"/>
  <c r="AH9" i="1" s="1"/>
  <c r="AE17" i="1"/>
  <c r="AH17" i="1" s="1"/>
  <c r="AD17" i="1"/>
  <c r="M102" i="1" l="1"/>
  <c r="I102" i="1"/>
  <c r="J102" i="1"/>
  <c r="K102" i="1"/>
  <c r="T32" i="1"/>
  <c r="T102" i="1" s="1"/>
  <c r="L102" i="1"/>
  <c r="X102" i="1"/>
  <c r="AB100" i="1"/>
  <c r="AE86" i="1"/>
  <c r="AF86" i="1" s="1"/>
  <c r="AE10" i="1"/>
  <c r="AH10" i="1" s="1"/>
  <c r="AB75" i="1"/>
  <c r="AB91" i="1"/>
  <c r="AA102" i="1"/>
  <c r="AE90" i="1"/>
  <c r="AF90" i="1" s="1"/>
  <c r="AB95" i="1"/>
  <c r="AB87" i="1"/>
  <c r="AE81" i="1"/>
  <c r="AF81" i="1" s="1"/>
  <c r="AE84" i="1"/>
  <c r="AF84" i="1" s="1"/>
  <c r="AB84" i="1"/>
  <c r="AB101" i="1"/>
  <c r="AE101" i="1"/>
  <c r="AE41" i="1"/>
  <c r="AG41" i="1" s="1"/>
  <c r="AC41" i="1"/>
  <c r="AE11" i="1"/>
  <c r="AG11" i="1" s="1"/>
  <c r="AC11" i="1"/>
  <c r="AB46" i="1"/>
  <c r="AE46" i="1"/>
  <c r="AF46" i="1" s="1"/>
  <c r="AE40" i="1"/>
  <c r="AG40" i="1" s="1"/>
  <c r="AC40" i="1"/>
  <c r="AE12" i="1"/>
  <c r="AF12" i="1" s="1"/>
  <c r="AB12" i="1"/>
  <c r="AE97" i="1"/>
  <c r="AF97" i="1" s="1"/>
  <c r="AB97" i="1"/>
  <c r="AE21" i="1"/>
  <c r="AF21" i="1" s="1"/>
  <c r="AB21" i="1"/>
  <c r="AH7" i="1"/>
  <c r="AE14" i="1"/>
  <c r="AG14" i="1" s="1"/>
  <c r="AC14" i="1"/>
  <c r="AE93" i="1"/>
  <c r="AF93" i="1" s="1"/>
  <c r="AB93" i="1"/>
  <c r="AE94" i="1"/>
  <c r="AF94" i="1" s="1"/>
  <c r="AB94" i="1"/>
  <c r="AE92" i="1"/>
  <c r="AF92" i="1" s="1"/>
  <c r="AB92" i="1"/>
  <c r="AC31" i="1"/>
  <c r="AE31" i="1"/>
  <c r="AG31" i="1" s="1"/>
  <c r="AG53" i="1"/>
  <c r="AE47" i="1"/>
  <c r="AH47" i="1" s="1"/>
  <c r="AD47" i="1"/>
  <c r="AE48" i="1"/>
  <c r="AH48" i="1" s="1"/>
  <c r="AD48" i="1"/>
  <c r="AE32" i="1"/>
  <c r="AH32" i="1" s="1"/>
  <c r="AD32" i="1"/>
  <c r="AF79" i="1"/>
  <c r="AE96" i="1"/>
  <c r="AF96" i="1" s="1"/>
  <c r="AB96" i="1"/>
  <c r="AE88" i="1"/>
  <c r="AF88" i="1" s="1"/>
  <c r="AB88" i="1"/>
  <c r="AF71" i="1"/>
  <c r="AE83" i="1"/>
  <c r="AF83" i="1" s="1"/>
  <c r="AB83" i="1"/>
  <c r="AC13" i="1"/>
  <c r="AE13" i="1"/>
  <c r="AG13" i="1" s="1"/>
  <c r="AE89" i="1"/>
  <c r="AF89" i="1" s="1"/>
  <c r="AB89" i="1"/>
  <c r="AF100" i="1"/>
  <c r="AD102" i="1" l="1"/>
  <c r="AC102" i="1"/>
  <c r="AB102" i="1"/>
  <c r="AE102" i="1"/>
  <c r="AF101" i="1"/>
  <c r="AF102" i="1" s="1"/>
</calcChain>
</file>

<file path=xl/sharedStrings.xml><?xml version="1.0" encoding="utf-8"?>
<sst xmlns="http://schemas.openxmlformats.org/spreadsheetml/2006/main" count="409" uniqueCount="139">
  <si>
    <t xml:space="preserve">GOBERNACION DEL QUINDIO </t>
  </si>
  <si>
    <t>FUENTE Y USOS</t>
  </si>
  <si>
    <t>SECRETARIA DE HACIENDA - DIRECCION FINANCIERA</t>
  </si>
  <si>
    <t>AREA DE PRESUPUESTO - INFORME  2024</t>
  </si>
  <si>
    <t>AREA DE PRESUPUESTO - INFORME  2025</t>
  </si>
  <si>
    <t>AREA DE PRESUPUESTO - INFORME  2026</t>
  </si>
  <si>
    <t>AREA DE PRESUPUESTO - INFORME  2027</t>
  </si>
  <si>
    <t>FUENTE</t>
  </si>
  <si>
    <t>CONCEPTO</t>
  </si>
  <si>
    <t>DESTINACIÓN ESPECIFICA INVERSION</t>
  </si>
  <si>
    <t>DESTINACIÓN ESPECIFICA FUNCIONAMIENTO</t>
  </si>
  <si>
    <t>I.C.L.D.</t>
  </si>
  <si>
    <t>Impuesto Sobre Vehículos Automotores Libre Destinación</t>
  </si>
  <si>
    <t>Intereses Impuesto Vehículos Automotores Vigencia Anterior</t>
  </si>
  <si>
    <t>Según el nuevo clasificador estas recuperaciones son ingresos corrientes</t>
  </si>
  <si>
    <t>Sanciones Impuesto Vehículos Automotores Vigencia Anterior</t>
  </si>
  <si>
    <t>Impuesto al Registro Libre Destinacion</t>
  </si>
  <si>
    <t>Impuesto de Registro - FONPET 20%</t>
  </si>
  <si>
    <t>Impuesto de Registro TURISMO 4%</t>
  </si>
  <si>
    <t>Impuesto de Registro PROYECTA 6%</t>
  </si>
  <si>
    <t xml:space="preserve">Impuesto al Registro Ley 1450 Art 25 Pago de Bonos Pensionales 10%  </t>
  </si>
  <si>
    <t>Impuesto al Consumo de Licores de Producción  Deporte</t>
  </si>
  <si>
    <t xml:space="preserve">Impuesto al Consumo de Licores </t>
  </si>
  <si>
    <t xml:space="preserve">Impuesto al Consumo de Cerveza </t>
  </si>
  <si>
    <t>Impuesto al Consumo de Cigarrillo de Fabricación Extranjera</t>
  </si>
  <si>
    <t>Degüello Ganado Mayor Libre Destinación</t>
  </si>
  <si>
    <t>Sobretasa a la Gasolina libre destinación</t>
  </si>
  <si>
    <t>Estampilla Pro-Desarrollo Inversión</t>
  </si>
  <si>
    <t>Estampilla Pro-Desarrollo (20% pensiones)</t>
  </si>
  <si>
    <t>Infraestructura Sanitaria Educativa y Deporteva PROYECTA 30%</t>
  </si>
  <si>
    <t>Estampilla Pro-Cultura (20%) Pensiones</t>
  </si>
  <si>
    <t>Estampilla Pro-Cultura (10% Seguridad Social)</t>
  </si>
  <si>
    <t>Estampilla Pro-Cultura (10% Bibliotecas)</t>
  </si>
  <si>
    <t>Estampilla Pro-Cultura (50% Concertación)</t>
  </si>
  <si>
    <t>Estampilla Pro-Cultura (10% Estímulos)</t>
  </si>
  <si>
    <t>Estampilla Pro-Adulto Mayor Inversión</t>
  </si>
  <si>
    <t>Estampilla Pro-Adulto Mayor  (20% pensiones)</t>
  </si>
  <si>
    <t>Estampilla Prohospital</t>
  </si>
  <si>
    <t>Otras Tasas y Tarifas</t>
  </si>
  <si>
    <t>Tasa Prodeporte</t>
  </si>
  <si>
    <t>Administración Centro de Convenciones</t>
  </si>
  <si>
    <t>Casa Delegada</t>
  </si>
  <si>
    <t>ARRE</t>
  </si>
  <si>
    <t>Cuotas Partes Pensionales C.S.F.</t>
  </si>
  <si>
    <t>Esto es ingreso de destinacion especifica y se destina para pago de cuotas partes y bonos pensionales sentencia de la corte</t>
  </si>
  <si>
    <t>Cuotas Partes Pensionales S.S.F.</t>
  </si>
  <si>
    <t>Venta de Servicios Secretaria de Salud</t>
  </si>
  <si>
    <t>Monopolio Salud y Educación 14%</t>
  </si>
  <si>
    <t>Monopolio Deporte 3%</t>
  </si>
  <si>
    <t>Monopolio Deporte 10% Alcohol Potable</t>
  </si>
  <si>
    <t>Monopolio Libre destinación 46%</t>
  </si>
  <si>
    <t>Cuota de Fiscalización</t>
  </si>
  <si>
    <t>Otros Convenios Interadministrativos Institucionales</t>
  </si>
  <si>
    <t>Sobretasa al ACPM</t>
  </si>
  <si>
    <t>Sobretasa Deuda</t>
  </si>
  <si>
    <t>Sanciones Administrativas</t>
  </si>
  <si>
    <t>Sanciones Fiscales</t>
  </si>
  <si>
    <t>Saciones Sanitarias</t>
  </si>
  <si>
    <t>Sanciones Contractuales</t>
  </si>
  <si>
    <t>Sanciones Disciplinarias</t>
  </si>
  <si>
    <t>IVA telefonía Celular - Cultura</t>
  </si>
  <si>
    <t>Recuperación de Cartera Cuotas Partes Pensionales</t>
  </si>
  <si>
    <t>Desahorro FONPET Pensiones</t>
  </si>
  <si>
    <t>Reintegros</t>
  </si>
  <si>
    <t xml:space="preserve">Intereses Provenientes de Recursos de Libre Destinación </t>
  </si>
  <si>
    <t>Intereses Estampilla Pro-Desarrollo Inversión</t>
  </si>
  <si>
    <t>Intereses Estampilla Pro-Desarrollo (20%) Pensiones</t>
  </si>
  <si>
    <t>Intereses Estampilla Pro-Cultura (20%) Pensiones</t>
  </si>
  <si>
    <t>Intereses Estampilla Pro-Cultura (10% Seguridad Social)</t>
  </si>
  <si>
    <t>Intereses Estampilla Pro-Cultura (10% Bibliotecas)</t>
  </si>
  <si>
    <t>Intereses Estampilla Pro-Cultura (50% Concertación)</t>
  </si>
  <si>
    <t>Intereses Estampilla Pro-Cultura (10% Estímulos)</t>
  </si>
  <si>
    <t>Intereses Estampilla Pro-Adulto Mayor Inversión</t>
  </si>
  <si>
    <t>Intereses Estampilla Pro-Adulto Mayor (20%) Pensiones</t>
  </si>
  <si>
    <t>Intereses Rendimientos Fondo de Seguridad Obras</t>
  </si>
  <si>
    <t xml:space="preserve">Intereses Rendimientos SGP Agua Potable y Saneamiento Básico </t>
  </si>
  <si>
    <t>Intereses Rendimientos Desahorro FONPET</t>
  </si>
  <si>
    <t>Desembolso</t>
  </si>
  <si>
    <t>Excedentes de Establecimientos Públicos</t>
  </si>
  <si>
    <t>Sistema General de Participaciones Educación - Prestación de Servicios</t>
  </si>
  <si>
    <t>Sistema General de Participaciones Educación - Aportes Patronales (S.S.F)</t>
  </si>
  <si>
    <t>Proyectos Educativos de Conectividad</t>
  </si>
  <si>
    <t>Necesidades Educativas Especiales</t>
  </si>
  <si>
    <t>Convenio PAE Alimentación Escolar</t>
  </si>
  <si>
    <t>Rendimientos por operaciones financieras Calidad</t>
  </si>
  <si>
    <t>Rendimientos por operaciones financieras PAE</t>
  </si>
  <si>
    <t xml:space="preserve">Sistema General de Participaciones - Salud – Pública </t>
  </si>
  <si>
    <t>Sistema General de Participaciones - Salud - Subsidio a la Oferta</t>
  </si>
  <si>
    <t>Monopolio</t>
  </si>
  <si>
    <t>Impuesto al Consumo de Cerveza Salud</t>
  </si>
  <si>
    <t xml:space="preserve">Ingreso por Apuestas Permanentes </t>
  </si>
  <si>
    <t>Juegos Novedosos Superastro</t>
  </si>
  <si>
    <t>Rifas Departamentales</t>
  </si>
  <si>
    <t>Impuesto al Consumo de Vinos Aperitivos y Similares</t>
  </si>
  <si>
    <t>Loterías Foráneas</t>
  </si>
  <si>
    <t>Ingreso Productos de Lotería</t>
  </si>
  <si>
    <t>Impuestos a Ganadores</t>
  </si>
  <si>
    <t>Fondo de Estupefacientes</t>
  </si>
  <si>
    <t>Cigarrillos y Tabaco</t>
  </si>
  <si>
    <t>Ad valorem</t>
  </si>
  <si>
    <t xml:space="preserve"> </t>
  </si>
  <si>
    <t>Premios Caducos</t>
  </si>
  <si>
    <t>Aportes de la Nación</t>
  </si>
  <si>
    <t xml:space="preserve">SGP Sector Aguas Potable y Saneamiento Básico </t>
  </si>
  <si>
    <t>Contribución de Seguridad, 5% Obras Viales</t>
  </si>
  <si>
    <t>ctes</t>
  </si>
  <si>
    <t>k</t>
  </si>
  <si>
    <t>esp sa</t>
  </si>
  <si>
    <t>fon salud</t>
  </si>
  <si>
    <t>Agua p</t>
  </si>
  <si>
    <t>segu</t>
  </si>
  <si>
    <t>resto ing trib</t>
  </si>
  <si>
    <t>Impto Vehiculos</t>
  </si>
  <si>
    <t>Impto Registro</t>
  </si>
  <si>
    <t>Consumo Cerveza</t>
  </si>
  <si>
    <t>Cigarrillo</t>
  </si>
  <si>
    <t>Sobretasa Gasolina</t>
  </si>
  <si>
    <t xml:space="preserve">Estampilla  </t>
  </si>
  <si>
    <t>contribucion</t>
  </si>
  <si>
    <t>tasas y derechos</t>
  </si>
  <si>
    <t>Multas Sanciones e Intereses</t>
  </si>
  <si>
    <t>Venta de Bienes</t>
  </si>
  <si>
    <t>monopolio</t>
  </si>
  <si>
    <t>Excedentes dividendos</t>
  </si>
  <si>
    <t>Rendimientos Financieros</t>
  </si>
  <si>
    <t>Transferencias de Capital</t>
  </si>
  <si>
    <t>Recuperacion Cartera</t>
  </si>
  <si>
    <t>Retiros fonpet</t>
  </si>
  <si>
    <t>Resto Recursos de Capital</t>
  </si>
  <si>
    <t>Tranferencias SGP Educacion</t>
  </si>
  <si>
    <t xml:space="preserve">Transferencias SGP Salud </t>
  </si>
  <si>
    <t>Transferencias SGP Agua Potable</t>
  </si>
  <si>
    <t>Participacion Impuestos</t>
  </si>
  <si>
    <t>Resto Transferencias corrientes</t>
  </si>
  <si>
    <t>Recursos del credito</t>
  </si>
  <si>
    <t>Consumo Vinos y licores</t>
  </si>
  <si>
    <t>ok</t>
  </si>
  <si>
    <t>Venta de bienes</t>
  </si>
  <si>
    <t xml:space="preserve">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</si>
</sst>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7" tint="0.39997558519241921"/>
      </top>
      <bottom/>
      <diagonal/>
    </border>
    <border>
      <left style="thin">
        <color indexed="64"/>
      </left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/>
      <bottom/>
      <diagonal/>
    </border>
    <border>
      <left style="thin">
        <color indexed="64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indexed="64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theme="7" tint="0.39997558519241921"/>
      </right>
      <top style="thin">
        <color theme="7" tint="0.39997558519241921"/>
      </top>
      <bottom style="thin">
        <color indexed="64"/>
      </bottom>
      <diagonal/>
    </border>
    <border>
      <left/>
      <right/>
      <top style="thin">
        <color theme="7" tint="0.39997558519241921"/>
      </top>
      <bottom style="thin">
        <color indexed="64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/>
      <diagonal/>
    </border>
    <border>
      <left style="thin">
        <color indexed="64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7" tint="0.39997558519241921"/>
      </right>
      <top/>
      <bottom/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6" fontId="9" fillId="0" borderId="0" applyFont="0" applyFill="0" applyBorder="0" applyAlignment="0" applyProtection="0"/>
  </cellStyleXfs>
  <cellXfs count="63">
    <xf numFmtId="0" fontId="0" fillId="0" borderId="0" xfId="0"/>
    <xf numFmtId="3" fontId="4" fillId="4" borderId="3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164" fontId="6" fillId="3" borderId="7" xfId="3" applyNumberFormat="1" applyFont="1" applyFill="1" applyBorder="1" applyAlignment="1">
      <alignment horizontal="center" vertical="center" wrapText="1"/>
    </xf>
    <xf numFmtId="164" fontId="6" fillId="3" borderId="8" xfId="3" applyNumberFormat="1" applyFont="1" applyFill="1" applyBorder="1" applyAlignment="1">
      <alignment horizontal="center" vertical="center" wrapText="1"/>
    </xf>
    <xf numFmtId="164" fontId="6" fillId="3" borderId="9" xfId="3" applyNumberFormat="1" applyFont="1" applyFill="1" applyBorder="1" applyAlignment="1">
      <alignment horizontal="center" vertical="center" wrapText="1"/>
    </xf>
    <xf numFmtId="164" fontId="6" fillId="3" borderId="10" xfId="3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43" fontId="5" fillId="0" borderId="0" xfId="1" applyFont="1" applyAlignment="1">
      <alignment vertical="center" wrapText="1"/>
    </xf>
    <xf numFmtId="164" fontId="5" fillId="5" borderId="9" xfId="3" applyNumberFormat="1" applyFont="1" applyFill="1" applyBorder="1" applyAlignment="1">
      <alignment horizontal="center" vertical="center" wrapText="1"/>
    </xf>
    <xf numFmtId="164" fontId="6" fillId="5" borderId="9" xfId="3" applyNumberFormat="1" applyFont="1" applyFill="1" applyBorder="1" applyAlignment="1">
      <alignment horizontal="center" vertical="center" wrapText="1"/>
    </xf>
    <xf numFmtId="164" fontId="6" fillId="5" borderId="10" xfId="3" applyNumberFormat="1" applyFont="1" applyFill="1" applyBorder="1" applyAlignment="1">
      <alignment horizontal="center" vertical="center" wrapText="1"/>
    </xf>
    <xf numFmtId="164" fontId="5" fillId="6" borderId="9" xfId="3" applyNumberFormat="1" applyFont="1" applyFill="1" applyBorder="1" applyAlignment="1">
      <alignment horizontal="center" vertical="center" wrapText="1"/>
    </xf>
    <xf numFmtId="164" fontId="5" fillId="7" borderId="9" xfId="3" applyNumberFormat="1" applyFont="1" applyFill="1" applyBorder="1" applyAlignment="1">
      <alignment horizontal="center" vertical="center" wrapText="1"/>
    </xf>
    <xf numFmtId="3" fontId="5" fillId="8" borderId="11" xfId="0" applyNumberFormat="1" applyFont="1" applyFill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/>
    </xf>
    <xf numFmtId="3" fontId="4" fillId="4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18" xfId="0" applyNumberFormat="1" applyFont="1" applyBorder="1" applyAlignment="1">
      <alignment vertical="center"/>
    </xf>
    <xf numFmtId="164" fontId="3" fillId="3" borderId="1" xfId="3" applyNumberFormat="1" applyFont="1" applyFill="1" applyBorder="1" applyAlignment="1">
      <alignment horizontal="center" vertical="center"/>
    </xf>
    <xf numFmtId="164" fontId="3" fillId="3" borderId="2" xfId="3" applyNumberFormat="1" applyFont="1" applyFill="1" applyBorder="1" applyAlignment="1">
      <alignment horizontal="center" vertical="center"/>
    </xf>
    <xf numFmtId="164" fontId="3" fillId="5" borderId="4" xfId="3" applyNumberFormat="1" applyFont="1" applyFill="1" applyBorder="1" applyAlignment="1">
      <alignment horizontal="center" vertical="center"/>
    </xf>
    <xf numFmtId="164" fontId="3" fillId="5" borderId="5" xfId="3" applyNumberFormat="1" applyFont="1" applyFill="1" applyBorder="1" applyAlignment="1">
      <alignment horizontal="center" vertical="center"/>
    </xf>
    <xf numFmtId="164" fontId="3" fillId="5" borderId="6" xfId="3" applyNumberFormat="1" applyFont="1" applyFill="1" applyBorder="1" applyAlignment="1">
      <alignment horizontal="center" vertical="center"/>
    </xf>
    <xf numFmtId="164" fontId="3" fillId="6" borderId="4" xfId="3" applyNumberFormat="1" applyFont="1" applyFill="1" applyBorder="1" applyAlignment="1">
      <alignment horizontal="center" vertical="center"/>
    </xf>
    <xf numFmtId="164" fontId="3" fillId="6" borderId="5" xfId="3" applyNumberFormat="1" applyFont="1" applyFill="1" applyBorder="1" applyAlignment="1">
      <alignment horizontal="center" vertical="center"/>
    </xf>
    <xf numFmtId="164" fontId="3" fillId="6" borderId="6" xfId="3" applyNumberFormat="1" applyFont="1" applyFill="1" applyBorder="1" applyAlignment="1">
      <alignment horizontal="center" vertical="center"/>
    </xf>
    <xf numFmtId="164" fontId="3" fillId="7" borderId="4" xfId="3" applyNumberFormat="1" applyFont="1" applyFill="1" applyBorder="1" applyAlignment="1">
      <alignment horizontal="center" vertical="center"/>
    </xf>
    <xf numFmtId="164" fontId="3" fillId="7" borderId="5" xfId="3" applyNumberFormat="1" applyFont="1" applyFill="1" applyBorder="1" applyAlignment="1">
      <alignment horizontal="center" vertical="center"/>
    </xf>
    <xf numFmtId="164" fontId="3" fillId="7" borderId="6" xfId="3" applyNumberFormat="1" applyFont="1" applyFill="1" applyBorder="1" applyAlignment="1">
      <alignment horizontal="center" vertical="center"/>
    </xf>
    <xf numFmtId="3" fontId="5" fillId="9" borderId="0" xfId="0" applyNumberFormat="1" applyFont="1" applyFill="1" applyAlignment="1">
      <alignment vertical="center"/>
    </xf>
    <xf numFmtId="3" fontId="5" fillId="9" borderId="16" xfId="0" applyNumberFormat="1" applyFont="1" applyFill="1" applyBorder="1" applyAlignment="1">
      <alignment vertical="center"/>
    </xf>
    <xf numFmtId="0" fontId="5" fillId="9" borderId="12" xfId="0" applyFont="1" applyFill="1" applyBorder="1" applyAlignment="1">
      <alignment vertical="center" wrapText="1"/>
    </xf>
    <xf numFmtId="165" fontId="7" fillId="9" borderId="13" xfId="1" applyNumberFormat="1" applyFont="1" applyFill="1" applyBorder="1" applyAlignment="1">
      <alignment vertical="center" wrapText="1"/>
    </xf>
    <xf numFmtId="3" fontId="5" fillId="9" borderId="14" xfId="0" applyNumberFormat="1" applyFont="1" applyFill="1" applyBorder="1" applyAlignment="1">
      <alignment vertical="center"/>
    </xf>
    <xf numFmtId="3" fontId="5" fillId="9" borderId="15" xfId="0" applyNumberFormat="1" applyFont="1" applyFill="1" applyBorder="1" applyAlignment="1">
      <alignment vertical="center"/>
    </xf>
    <xf numFmtId="3" fontId="4" fillId="9" borderId="3" xfId="0" applyNumberFormat="1" applyFont="1" applyFill="1" applyBorder="1" applyAlignment="1">
      <alignment horizontal="center" vertical="center" wrapText="1"/>
    </xf>
    <xf numFmtId="43" fontId="5" fillId="9" borderId="0" xfId="1" applyFont="1" applyFill="1" applyAlignment="1">
      <alignment vertical="center"/>
    </xf>
    <xf numFmtId="3" fontId="5" fillId="9" borderId="11" xfId="0" applyNumberFormat="1" applyFont="1" applyFill="1" applyBorder="1" applyAlignment="1">
      <alignment vertical="center"/>
    </xf>
    <xf numFmtId="3" fontId="6" fillId="9" borderId="0" xfId="0" applyNumberFormat="1" applyFont="1" applyFill="1" applyAlignment="1">
      <alignment vertical="center"/>
    </xf>
    <xf numFmtId="3" fontId="4" fillId="9" borderId="3" xfId="0" applyNumberFormat="1" applyFont="1" applyFill="1" applyBorder="1" applyAlignment="1">
      <alignment vertical="center"/>
    </xf>
    <xf numFmtId="3" fontId="5" fillId="9" borderId="17" xfId="0" applyNumberFormat="1" applyFont="1" applyFill="1" applyBorder="1" applyAlignment="1">
      <alignment vertical="center"/>
    </xf>
    <xf numFmtId="3" fontId="4" fillId="9" borderId="0" xfId="0" applyNumberFormat="1" applyFont="1" applyFill="1" applyAlignment="1">
      <alignment vertical="center"/>
    </xf>
    <xf numFmtId="3" fontId="5" fillId="9" borderId="3" xfId="0" applyNumberFormat="1" applyFont="1" applyFill="1" applyBorder="1" applyAlignment="1">
      <alignment vertical="center"/>
    </xf>
    <xf numFmtId="3" fontId="8" fillId="9" borderId="0" xfId="0" applyNumberFormat="1" applyFont="1" applyFill="1" applyAlignment="1">
      <alignment vertical="center"/>
    </xf>
    <xf numFmtId="43" fontId="6" fillId="9" borderId="0" xfId="1" applyFont="1" applyFill="1" applyAlignment="1">
      <alignment vertical="center"/>
    </xf>
    <xf numFmtId="10" fontId="5" fillId="9" borderId="0" xfId="2" applyNumberFormat="1" applyFont="1" applyFill="1" applyAlignment="1">
      <alignment vertical="center"/>
    </xf>
    <xf numFmtId="10" fontId="4" fillId="9" borderId="0" xfId="2" applyNumberFormat="1" applyFont="1" applyFill="1" applyAlignment="1">
      <alignment vertical="center"/>
    </xf>
    <xf numFmtId="3" fontId="5" fillId="9" borderId="19" xfId="0" applyNumberFormat="1" applyFont="1" applyFill="1" applyBorder="1" applyAlignment="1">
      <alignment vertical="center"/>
    </xf>
    <xf numFmtId="0" fontId="5" fillId="9" borderId="14" xfId="0" applyFont="1" applyFill="1" applyBorder="1" applyAlignment="1">
      <alignment vertical="center" wrapText="1"/>
    </xf>
    <xf numFmtId="3" fontId="10" fillId="9" borderId="0" xfId="0" applyNumberFormat="1" applyFont="1" applyFill="1" applyAlignment="1">
      <alignment vertical="center"/>
    </xf>
    <xf numFmtId="3" fontId="11" fillId="9" borderId="0" xfId="0" applyNumberFormat="1" applyFont="1" applyFill="1" applyAlignment="1">
      <alignment vertical="center"/>
    </xf>
    <xf numFmtId="3" fontId="10" fillId="9" borderId="20" xfId="0" applyNumberFormat="1" applyFont="1" applyFill="1" applyBorder="1" applyAlignment="1">
      <alignment vertical="center"/>
    </xf>
    <xf numFmtId="3" fontId="11" fillId="9" borderId="21" xfId="0" applyNumberFormat="1" applyFont="1" applyFill="1" applyBorder="1" applyAlignment="1">
      <alignment vertical="center"/>
    </xf>
    <xf numFmtId="43" fontId="11" fillId="9" borderId="21" xfId="1" applyFont="1" applyFill="1" applyBorder="1" applyAlignment="1">
      <alignment vertical="center"/>
    </xf>
    <xf numFmtId="43" fontId="11" fillId="9" borderId="0" xfId="1" applyFont="1" applyFill="1" applyAlignment="1">
      <alignment vertical="center"/>
    </xf>
    <xf numFmtId="43" fontId="8" fillId="9" borderId="0" xfId="1" applyFont="1" applyFill="1" applyAlignment="1">
      <alignment vertical="center"/>
    </xf>
    <xf numFmtId="0" fontId="5" fillId="9" borderId="22" xfId="0" applyFont="1" applyFill="1" applyBorder="1" applyAlignment="1">
      <alignment vertical="center" wrapText="1"/>
    </xf>
    <xf numFmtId="3" fontId="5" fillId="9" borderId="23" xfId="0" applyNumberFormat="1" applyFont="1" applyFill="1" applyBorder="1" applyAlignment="1">
      <alignment vertical="center"/>
    </xf>
  </cellXfs>
  <cellStyles count="5">
    <cellStyle name="Énfasis5" xfId="3" builtinId="45"/>
    <cellStyle name="Millares" xfId="1" builtinId="3"/>
    <cellStyle name="Millares 2" xfId="4" xr:uid="{AE57C16B-1BAE-42D3-A25A-2F05E53FEEF3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98ba2bb68872b2/Escritorio/plan%20financiero%20por%20y%20para%20la%20gente/Plan%20Financiero%20Plan%20de%20desarrollo%202024-2027.xlsx" TargetMode="External"/><Relationship Id="rId1" Type="http://schemas.openxmlformats.org/officeDocument/2006/relationships/externalLinkPath" Target="Plan%20Financiero%20Plan%20de%20desarrollo%202024-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HACIENDA05.DQUINDIO/Desktop/Tu%20y%20Yo%20PC%20Tri/Tu%20y%20Yo%202020/Presupuesto%202021/Proyecciones%20Plan%20Financiero%202021%20Codefis%20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5-2021"/>
      <sheetName val="MX6"/>
      <sheetName val="Gráficas"/>
      <sheetName val="Tablas Plan F"/>
      <sheetName val="Historico Plan Financiero 2023"/>
      <sheetName val="Historico Plan Financiero 2024"/>
      <sheetName val="F Y U 2024 Presupuesto"/>
      <sheetName val="F Y U 2024 Presupuesto OK RED"/>
      <sheetName val="FYU 2024-2027 inversion"/>
      <sheetName val=" Verdad Verdadera 24-27"/>
      <sheetName val="FYU 2024-2027 definitivo"/>
      <sheetName val="F Y U 2024 Presupuesto OK R (2)"/>
      <sheetName val="Categorizacion"/>
      <sheetName val="Asamblea 2024-2027"/>
      <sheetName val="Capacidad de Endeudamiento PA"/>
      <sheetName val="F Y U 2024 Presupuesto 15.09"/>
      <sheetName val="CCPET Ingre 2024"/>
      <sheetName val="CCPET Ingre 2024 (2)"/>
      <sheetName val="Tablas"/>
      <sheetName val="350 C.P  2024"/>
      <sheetName val="Salud 2024 "/>
      <sheetName val="Vicios Salud"/>
      <sheetName val="Ingresos 2023"/>
      <sheetName val="Recaudo Julio Dic 2022"/>
      <sheetName val="Ingresos 2022"/>
      <sheetName val="F Y U 2023 Prespupuesto"/>
      <sheetName val="Historico Plan Finan 15-23"/>
      <sheetName val="INVERSION 2023"/>
      <sheetName val="350 C.P  INCREMENTO SALARIAL"/>
      <sheetName val="Plan Financiero Ingresos"/>
      <sheetName val="F y U 2022 Presupuesto"/>
      <sheetName val="Inversion Incremento Salarial"/>
      <sheetName val="F y U 2022 Incremento Salarial"/>
      <sheetName val="Inversion "/>
      <sheetName val="Salud 2024"/>
      <sheetName val="Historico Plan Financiero 2 (2)"/>
      <sheetName val="Salud 2023"/>
      <sheetName val="Tablas Anteproyecto"/>
      <sheetName val="Plan Financiero MFMP"/>
      <sheetName val="MFMP Plan Financiero"/>
      <sheetName val="MFMP Plan Financiero GASTOS"/>
      <sheetName val="Hoja1"/>
      <sheetName val="Superávit Primario MFMP"/>
      <sheetName val="MFMP Superávit Primario"/>
      <sheetName val="Capacidad de Endeudamiento MFMP"/>
      <sheetName val="MFMP Endeudamiento con incremen"/>
      <sheetName val="Techos Funcionamiento"/>
      <sheetName val="350 C.P"/>
      <sheetName val="Sicodis"/>
      <sheetName val="Historico Gastos 2015-2021"/>
      <sheetName val="IPC"/>
      <sheetName val="Crecimiento 2021"/>
      <sheetName val="LEY 617"/>
      <sheetName val="F y U 2021"/>
      <sheetName val="Historico mes a mes"/>
      <sheetName val="F y U 2022"/>
      <sheetName val="Asamblea"/>
      <sheetName val="Deuda Nueva"/>
      <sheetName val="Deuda 2022"/>
      <sheetName val="Monopolio 2019"/>
      <sheetName val="2019"/>
      <sheetName val="Calculos Ingreso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>
            <v>32803405726.496998</v>
          </cell>
        </row>
        <row r="8">
          <cell r="C8">
            <v>1478804174.8069999</v>
          </cell>
        </row>
        <row r="9">
          <cell r="C9">
            <v>7607895046.5239992</v>
          </cell>
        </row>
        <row r="10">
          <cell r="C10">
            <v>17264812461.007198</v>
          </cell>
        </row>
        <row r="11">
          <cell r="C11">
            <v>5754937487.0024004</v>
          </cell>
        </row>
        <row r="12">
          <cell r="C12">
            <v>1150987497.40048</v>
          </cell>
        </row>
        <row r="13">
          <cell r="C13">
            <v>1726481246.1007199</v>
          </cell>
        </row>
        <row r="14">
          <cell r="C14">
            <v>2877468743.5012002</v>
          </cell>
        </row>
        <row r="15">
          <cell r="C15">
            <v>233082586.1124</v>
          </cell>
        </row>
        <row r="16">
          <cell r="C16">
            <v>4661651722.2480001</v>
          </cell>
        </row>
        <row r="17">
          <cell r="C17">
            <v>21471736599.75</v>
          </cell>
        </row>
        <row r="18">
          <cell r="C18">
            <v>14173023328.161156</v>
          </cell>
        </row>
        <row r="19">
          <cell r="C19">
            <v>763018206.50000012</v>
          </cell>
        </row>
        <row r="20">
          <cell r="C20">
            <v>11867811379.982378</v>
          </cell>
        </row>
        <row r="21">
          <cell r="C21">
            <v>7519722989.9869995</v>
          </cell>
        </row>
        <row r="31">
          <cell r="C31">
            <v>12506483101.200001</v>
          </cell>
        </row>
        <row r="32">
          <cell r="C32">
            <v>40000000</v>
          </cell>
        </row>
        <row r="33">
          <cell r="C33">
            <v>2082325780.6400001</v>
          </cell>
        </row>
        <row r="34">
          <cell r="C34">
            <v>210000000</v>
          </cell>
        </row>
        <row r="35">
          <cell r="C35">
            <v>40000000</v>
          </cell>
        </row>
        <row r="36">
          <cell r="C36">
            <v>726529895</v>
          </cell>
        </row>
        <row r="37">
          <cell r="C37">
            <v>8000000000</v>
          </cell>
        </row>
        <row r="38">
          <cell r="C38">
            <v>30000000</v>
          </cell>
        </row>
        <row r="39">
          <cell r="C39">
            <v>5174317732.3821764</v>
          </cell>
        </row>
        <row r="40">
          <cell r="C40">
            <v>1108109699.2247519</v>
          </cell>
        </row>
        <row r="41">
          <cell r="C41">
            <v>672672</v>
          </cell>
        </row>
        <row r="42">
          <cell r="C42">
            <v>17001329692.112865</v>
          </cell>
        </row>
        <row r="43">
          <cell r="C43">
            <v>681192695</v>
          </cell>
        </row>
        <row r="44">
          <cell r="C44">
            <v>500000000</v>
          </cell>
        </row>
        <row r="45">
          <cell r="C45">
            <v>697955589.80284882</v>
          </cell>
        </row>
        <row r="46">
          <cell r="C46">
            <v>2871109596.5971518</v>
          </cell>
        </row>
        <row r="47">
          <cell r="C47">
            <v>217043900.544</v>
          </cell>
        </row>
        <row r="48">
          <cell r="C48">
            <v>1000000</v>
          </cell>
        </row>
        <row r="49">
          <cell r="C49">
            <v>1000000</v>
          </cell>
        </row>
        <row r="50">
          <cell r="C50">
            <v>77643037.524000004</v>
          </cell>
        </row>
        <row r="51">
          <cell r="C51">
            <v>103859422</v>
          </cell>
        </row>
        <row r="54">
          <cell r="C54">
            <v>200000000</v>
          </cell>
        </row>
        <row r="55">
          <cell r="C55">
            <v>9000000000</v>
          </cell>
        </row>
        <row r="56">
          <cell r="C56">
            <v>10000000</v>
          </cell>
        </row>
        <row r="57">
          <cell r="C57">
            <v>300000000</v>
          </cell>
        </row>
        <row r="58">
          <cell r="C58">
            <v>20000000</v>
          </cell>
        </row>
        <row r="59">
          <cell r="C59">
            <v>5000000</v>
          </cell>
        </row>
        <row r="60">
          <cell r="C60">
            <v>2000000</v>
          </cell>
        </row>
        <row r="61">
          <cell r="C61">
            <v>1000000</v>
          </cell>
        </row>
        <row r="62">
          <cell r="C62">
            <v>1000000</v>
          </cell>
        </row>
        <row r="63">
          <cell r="C63">
            <v>5000000</v>
          </cell>
        </row>
        <row r="64">
          <cell r="C64">
            <v>1000000</v>
          </cell>
        </row>
        <row r="65">
          <cell r="C65">
            <v>20000000</v>
          </cell>
        </row>
        <row r="66">
          <cell r="C66">
            <v>5000000</v>
          </cell>
        </row>
        <row r="67">
          <cell r="C67">
            <v>30000000</v>
          </cell>
        </row>
        <row r="68">
          <cell r="C68">
            <v>7000000</v>
          </cell>
        </row>
        <row r="69">
          <cell r="C69">
            <v>10000000</v>
          </cell>
        </row>
        <row r="70">
          <cell r="C70">
            <v>200000000</v>
          </cell>
        </row>
        <row r="76">
          <cell r="C76">
            <v>173431997000</v>
          </cell>
        </row>
        <row r="77">
          <cell r="C77">
            <v>33454400000.000004</v>
          </cell>
        </row>
        <row r="78">
          <cell r="C78">
            <v>684320000</v>
          </cell>
        </row>
        <row r="79">
          <cell r="C79">
            <v>1559043000</v>
          </cell>
        </row>
        <row r="80">
          <cell r="C80">
            <v>9901550847</v>
          </cell>
        </row>
        <row r="81">
          <cell r="C81">
            <v>248000000</v>
          </cell>
        </row>
        <row r="82">
          <cell r="C82">
            <v>10000000</v>
          </cell>
        </row>
        <row r="87">
          <cell r="C87">
            <v>5409654548.4800005</v>
          </cell>
        </row>
        <row r="88">
          <cell r="C88">
            <v>2148091556.8000002</v>
          </cell>
        </row>
        <row r="89">
          <cell r="C89">
            <v>3000000</v>
          </cell>
        </row>
        <row r="90">
          <cell r="C90">
            <v>1000000</v>
          </cell>
        </row>
        <row r="91">
          <cell r="C91">
            <v>1000000</v>
          </cell>
        </row>
        <row r="92">
          <cell r="C92">
            <v>2000000</v>
          </cell>
        </row>
        <row r="93">
          <cell r="C93">
            <v>13674982578.438608</v>
          </cell>
        </row>
        <row r="94">
          <cell r="C94">
            <v>4294347319.9500003</v>
          </cell>
        </row>
        <row r="95">
          <cell r="C95">
            <v>6555522914</v>
          </cell>
        </row>
        <row r="96">
          <cell r="C96">
            <v>1039155856.4800001</v>
          </cell>
        </row>
        <row r="97">
          <cell r="C97">
            <v>32160192.400000002</v>
          </cell>
        </row>
        <row r="98">
          <cell r="C98">
            <v>2874685228.7195997</v>
          </cell>
        </row>
        <row r="99">
          <cell r="C99">
            <v>935707770.20000005</v>
          </cell>
        </row>
        <row r="100">
          <cell r="C100">
            <v>2710325520</v>
          </cell>
        </row>
        <row r="101">
          <cell r="C101">
            <v>1496246629</v>
          </cell>
        </row>
        <row r="102">
          <cell r="C102">
            <v>300000000</v>
          </cell>
        </row>
        <row r="103">
          <cell r="C103">
            <v>15500000000</v>
          </cell>
        </row>
        <row r="104">
          <cell r="C104">
            <v>5061794045.771841</v>
          </cell>
        </row>
        <row r="105">
          <cell r="C105">
            <v>2166182721.9200001</v>
          </cell>
        </row>
        <row r="106">
          <cell r="C106">
            <v>2874685228.7195997</v>
          </cell>
        </row>
        <row r="107">
          <cell r="C107">
            <v>3963289433</v>
          </cell>
        </row>
        <row r="111">
          <cell r="C111">
            <v>4052617319</v>
          </cell>
        </row>
        <row r="115">
          <cell r="C115">
            <v>2461968309.9450002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Vig 15-19 "/>
      <sheetName val="Vig 15-19  (2)"/>
      <sheetName val="Hoja2"/>
      <sheetName val="Proyecciones"/>
      <sheetName val="Proyecciones (2)"/>
      <sheetName val="Plan Financiero 2021"/>
      <sheetName val="F y U 2021"/>
      <sheetName val="F y U 2021 (2)"/>
      <sheetName val="Cumplimiento Art 350 CP"/>
      <sheetName val="Cumplimiento Art 350 CP (2)"/>
      <sheetName val="Resumen Inversion 2021"/>
      <sheetName val="Deuda"/>
      <sheetName val="Ejecucion Ingresos 2020"/>
      <sheetName val="Ejecucion Gastos 2020"/>
      <sheetName val="Funcionamiento icld"/>
      <sheetName val="Hoja1"/>
      <sheetName val="SENTENC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0">
          <cell r="A100" t="str">
            <v>Rendimientos por Operaciones Financieras. (SGP - Salud Pública )</v>
          </cell>
        </row>
        <row r="101">
          <cell r="A101" t="str">
            <v>Rendimientos por Operaciones Financieras. (SGP - Oferta)</v>
          </cell>
        </row>
        <row r="102">
          <cell r="A102" t="str">
            <v>Rendimientos por Operaciones Financieras. (Fondo Estupefacientes )</v>
          </cell>
        </row>
        <row r="103">
          <cell r="A103" t="str">
            <v>Rendimientos por Operaciones Financieras. (Rentas Cedidas )</v>
          </cell>
        </row>
        <row r="127">
          <cell r="A127" t="str">
            <v>IVA Cedido Sobre Licores, Vinos, Aperitivos y Similares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56CBF-1912-4A07-9BCB-593434F066B6}">
  <dimension ref="A2:AJ103"/>
  <sheetViews>
    <sheetView tabSelected="1" topLeftCell="A88" workbookViewId="0">
      <selection activeCell="AI110" sqref="AI110"/>
    </sheetView>
  </sheetViews>
  <sheetFormatPr baseColWidth="10" defaultColWidth="11.44140625" defaultRowHeight="13.2" x14ac:dyDescent="0.3"/>
  <cols>
    <col min="1" max="1" width="11.44140625" style="2"/>
    <col min="2" max="2" width="13.88671875" style="2" bestFit="1" customWidth="1"/>
    <col min="3" max="3" width="64" style="9" bestFit="1" customWidth="1"/>
    <col min="4" max="4" width="15.5546875" style="2" bestFit="1" customWidth="1"/>
    <col min="5" max="5" width="18.44140625" style="2" hidden="1" customWidth="1"/>
    <col min="6" max="6" width="30" style="2" hidden="1" customWidth="1"/>
    <col min="7" max="7" width="13.6640625" style="2" hidden="1" customWidth="1"/>
    <col min="8" max="8" width="61.88671875" style="20" hidden="1" customWidth="1"/>
    <col min="9" max="9" width="104.44140625" style="2" hidden="1" customWidth="1"/>
    <col min="10" max="10" width="16.6640625" style="3" hidden="1" customWidth="1"/>
    <col min="11" max="11" width="12.6640625" style="2" hidden="1" customWidth="1"/>
    <col min="12" max="12" width="13.6640625" style="2" hidden="1" customWidth="1"/>
    <col min="13" max="13" width="12.6640625" style="2" hidden="1" customWidth="1"/>
    <col min="14" max="14" width="10.109375" style="2" hidden="1" customWidth="1"/>
    <col min="15" max="15" width="9.21875" style="2" hidden="1" customWidth="1"/>
    <col min="16" max="16" width="12.6640625" style="2" hidden="1" customWidth="1"/>
    <col min="17" max="17" width="2" style="2" hidden="1" customWidth="1"/>
    <col min="18" max="18" width="11.44140625" style="2" hidden="1" customWidth="1"/>
    <col min="19" max="20" width="12.6640625" style="2" hidden="1" customWidth="1"/>
    <col min="21" max="21" width="8.21875" style="2" hidden="1" customWidth="1"/>
    <col min="22" max="22" width="11.44140625" style="2" hidden="1" customWidth="1"/>
    <col min="23" max="23" width="14.6640625" style="2" bestFit="1" customWidth="1"/>
    <col min="24" max="24" width="18" style="2" hidden="1" customWidth="1"/>
    <col min="25" max="25" width="19.109375" style="2" hidden="1" customWidth="1"/>
    <col min="26" max="26" width="18" style="2" hidden="1" customWidth="1"/>
    <col min="27" max="27" width="26.88671875" style="2" customWidth="1"/>
    <col min="28" max="28" width="18" style="2" hidden="1" customWidth="1"/>
    <col min="29" max="29" width="19.109375" style="2" hidden="1" customWidth="1"/>
    <col min="30" max="30" width="18" style="2" hidden="1" customWidth="1"/>
    <col min="31" max="31" width="20.77734375" style="2" customWidth="1"/>
    <col min="32" max="32" width="21.44140625" style="2" hidden="1" customWidth="1"/>
    <col min="33" max="33" width="17.109375" style="2" hidden="1" customWidth="1"/>
    <col min="34" max="34" width="13.6640625" style="2" hidden="1" customWidth="1"/>
    <col min="35" max="35" width="22.21875" style="2" customWidth="1"/>
    <col min="36" max="265" width="11.44140625" style="2"/>
    <col min="266" max="266" width="30.44140625" style="2" customWidth="1"/>
    <col min="267" max="267" width="23.33203125" style="2" bestFit="1" customWidth="1"/>
    <col min="268" max="268" width="18.109375" style="2" bestFit="1" customWidth="1"/>
    <col min="269" max="269" width="15.88671875" style="2" bestFit="1" customWidth="1"/>
    <col min="270" max="521" width="11.44140625" style="2"/>
    <col min="522" max="522" width="30.44140625" style="2" customWidth="1"/>
    <col min="523" max="523" width="23.33203125" style="2" bestFit="1" customWidth="1"/>
    <col min="524" max="524" width="18.109375" style="2" bestFit="1" customWidth="1"/>
    <col min="525" max="525" width="15.88671875" style="2" bestFit="1" customWidth="1"/>
    <col min="526" max="777" width="11.44140625" style="2"/>
    <col min="778" max="778" width="30.44140625" style="2" customWidth="1"/>
    <col min="779" max="779" width="23.33203125" style="2" bestFit="1" customWidth="1"/>
    <col min="780" max="780" width="18.109375" style="2" bestFit="1" customWidth="1"/>
    <col min="781" max="781" width="15.88671875" style="2" bestFit="1" customWidth="1"/>
    <col min="782" max="1033" width="11.44140625" style="2"/>
    <col min="1034" max="1034" width="30.44140625" style="2" customWidth="1"/>
    <col min="1035" max="1035" width="23.33203125" style="2" bestFit="1" customWidth="1"/>
    <col min="1036" max="1036" width="18.109375" style="2" bestFit="1" customWidth="1"/>
    <col min="1037" max="1037" width="15.88671875" style="2" bestFit="1" customWidth="1"/>
    <col min="1038" max="1289" width="11.44140625" style="2"/>
    <col min="1290" max="1290" width="30.44140625" style="2" customWidth="1"/>
    <col min="1291" max="1291" width="23.33203125" style="2" bestFit="1" customWidth="1"/>
    <col min="1292" max="1292" width="18.109375" style="2" bestFit="1" customWidth="1"/>
    <col min="1293" max="1293" width="15.88671875" style="2" bestFit="1" customWidth="1"/>
    <col min="1294" max="1545" width="11.44140625" style="2"/>
    <col min="1546" max="1546" width="30.44140625" style="2" customWidth="1"/>
    <col min="1547" max="1547" width="23.33203125" style="2" bestFit="1" customWidth="1"/>
    <col min="1548" max="1548" width="18.109375" style="2" bestFit="1" customWidth="1"/>
    <col min="1549" max="1549" width="15.88671875" style="2" bestFit="1" customWidth="1"/>
    <col min="1550" max="1801" width="11.44140625" style="2"/>
    <col min="1802" max="1802" width="30.44140625" style="2" customWidth="1"/>
    <col min="1803" max="1803" width="23.33203125" style="2" bestFit="1" customWidth="1"/>
    <col min="1804" max="1804" width="18.109375" style="2" bestFit="1" customWidth="1"/>
    <col min="1805" max="1805" width="15.88671875" style="2" bestFit="1" customWidth="1"/>
    <col min="1806" max="2057" width="11.44140625" style="2"/>
    <col min="2058" max="2058" width="30.44140625" style="2" customWidth="1"/>
    <col min="2059" max="2059" width="23.33203125" style="2" bestFit="1" customWidth="1"/>
    <col min="2060" max="2060" width="18.109375" style="2" bestFit="1" customWidth="1"/>
    <col min="2061" max="2061" width="15.88671875" style="2" bestFit="1" customWidth="1"/>
    <col min="2062" max="2313" width="11.44140625" style="2"/>
    <col min="2314" max="2314" width="30.44140625" style="2" customWidth="1"/>
    <col min="2315" max="2315" width="23.33203125" style="2" bestFit="1" customWidth="1"/>
    <col min="2316" max="2316" width="18.109375" style="2" bestFit="1" customWidth="1"/>
    <col min="2317" max="2317" width="15.88671875" style="2" bestFit="1" customWidth="1"/>
    <col min="2318" max="2569" width="11.44140625" style="2"/>
    <col min="2570" max="2570" width="30.44140625" style="2" customWidth="1"/>
    <col min="2571" max="2571" width="23.33203125" style="2" bestFit="1" customWidth="1"/>
    <col min="2572" max="2572" width="18.109375" style="2" bestFit="1" customWidth="1"/>
    <col min="2573" max="2573" width="15.88671875" style="2" bestFit="1" customWidth="1"/>
    <col min="2574" max="2825" width="11.44140625" style="2"/>
    <col min="2826" max="2826" width="30.44140625" style="2" customWidth="1"/>
    <col min="2827" max="2827" width="23.33203125" style="2" bestFit="1" customWidth="1"/>
    <col min="2828" max="2828" width="18.109375" style="2" bestFit="1" customWidth="1"/>
    <col min="2829" max="2829" width="15.88671875" style="2" bestFit="1" customWidth="1"/>
    <col min="2830" max="3081" width="11.44140625" style="2"/>
    <col min="3082" max="3082" width="30.44140625" style="2" customWidth="1"/>
    <col min="3083" max="3083" width="23.33203125" style="2" bestFit="1" customWidth="1"/>
    <col min="3084" max="3084" width="18.109375" style="2" bestFit="1" customWidth="1"/>
    <col min="3085" max="3085" width="15.88671875" style="2" bestFit="1" customWidth="1"/>
    <col min="3086" max="3337" width="11.44140625" style="2"/>
    <col min="3338" max="3338" width="30.44140625" style="2" customWidth="1"/>
    <col min="3339" max="3339" width="23.33203125" style="2" bestFit="1" customWidth="1"/>
    <col min="3340" max="3340" width="18.109375" style="2" bestFit="1" customWidth="1"/>
    <col min="3341" max="3341" width="15.88671875" style="2" bestFit="1" customWidth="1"/>
    <col min="3342" max="3593" width="11.44140625" style="2"/>
    <col min="3594" max="3594" width="30.44140625" style="2" customWidth="1"/>
    <col min="3595" max="3595" width="23.33203125" style="2" bestFit="1" customWidth="1"/>
    <col min="3596" max="3596" width="18.109375" style="2" bestFit="1" customWidth="1"/>
    <col min="3597" max="3597" width="15.88671875" style="2" bestFit="1" customWidth="1"/>
    <col min="3598" max="3849" width="11.44140625" style="2"/>
    <col min="3850" max="3850" width="30.44140625" style="2" customWidth="1"/>
    <col min="3851" max="3851" width="23.33203125" style="2" bestFit="1" customWidth="1"/>
    <col min="3852" max="3852" width="18.109375" style="2" bestFit="1" customWidth="1"/>
    <col min="3853" max="3853" width="15.88671875" style="2" bestFit="1" customWidth="1"/>
    <col min="3854" max="4105" width="11.44140625" style="2"/>
    <col min="4106" max="4106" width="30.44140625" style="2" customWidth="1"/>
    <col min="4107" max="4107" width="23.33203125" style="2" bestFit="1" customWidth="1"/>
    <col min="4108" max="4108" width="18.109375" style="2" bestFit="1" customWidth="1"/>
    <col min="4109" max="4109" width="15.88671875" style="2" bestFit="1" customWidth="1"/>
    <col min="4110" max="4361" width="11.44140625" style="2"/>
    <col min="4362" max="4362" width="30.44140625" style="2" customWidth="1"/>
    <col min="4363" max="4363" width="23.33203125" style="2" bestFit="1" customWidth="1"/>
    <col min="4364" max="4364" width="18.109375" style="2" bestFit="1" customWidth="1"/>
    <col min="4365" max="4365" width="15.88671875" style="2" bestFit="1" customWidth="1"/>
    <col min="4366" max="4617" width="11.44140625" style="2"/>
    <col min="4618" max="4618" width="30.44140625" style="2" customWidth="1"/>
    <col min="4619" max="4619" width="23.33203125" style="2" bestFit="1" customWidth="1"/>
    <col min="4620" max="4620" width="18.109375" style="2" bestFit="1" customWidth="1"/>
    <col min="4621" max="4621" width="15.88671875" style="2" bestFit="1" customWidth="1"/>
    <col min="4622" max="4873" width="11.44140625" style="2"/>
    <col min="4874" max="4874" width="30.44140625" style="2" customWidth="1"/>
    <col min="4875" max="4875" width="23.33203125" style="2" bestFit="1" customWidth="1"/>
    <col min="4876" max="4876" width="18.109375" style="2" bestFit="1" customWidth="1"/>
    <col min="4877" max="4877" width="15.88671875" style="2" bestFit="1" customWidth="1"/>
    <col min="4878" max="5129" width="11.44140625" style="2"/>
    <col min="5130" max="5130" width="30.44140625" style="2" customWidth="1"/>
    <col min="5131" max="5131" width="23.33203125" style="2" bestFit="1" customWidth="1"/>
    <col min="5132" max="5132" width="18.109375" style="2" bestFit="1" customWidth="1"/>
    <col min="5133" max="5133" width="15.88671875" style="2" bestFit="1" customWidth="1"/>
    <col min="5134" max="5385" width="11.44140625" style="2"/>
    <col min="5386" max="5386" width="30.44140625" style="2" customWidth="1"/>
    <col min="5387" max="5387" width="23.33203125" style="2" bestFit="1" customWidth="1"/>
    <col min="5388" max="5388" width="18.109375" style="2" bestFit="1" customWidth="1"/>
    <col min="5389" max="5389" width="15.88671875" style="2" bestFit="1" customWidth="1"/>
    <col min="5390" max="5641" width="11.44140625" style="2"/>
    <col min="5642" max="5642" width="30.44140625" style="2" customWidth="1"/>
    <col min="5643" max="5643" width="23.33203125" style="2" bestFit="1" customWidth="1"/>
    <col min="5644" max="5644" width="18.109375" style="2" bestFit="1" customWidth="1"/>
    <col min="5645" max="5645" width="15.88671875" style="2" bestFit="1" customWidth="1"/>
    <col min="5646" max="5897" width="11.44140625" style="2"/>
    <col min="5898" max="5898" width="30.44140625" style="2" customWidth="1"/>
    <col min="5899" max="5899" width="23.33203125" style="2" bestFit="1" customWidth="1"/>
    <col min="5900" max="5900" width="18.109375" style="2" bestFit="1" customWidth="1"/>
    <col min="5901" max="5901" width="15.88671875" style="2" bestFit="1" customWidth="1"/>
    <col min="5902" max="6153" width="11.44140625" style="2"/>
    <col min="6154" max="6154" width="30.44140625" style="2" customWidth="1"/>
    <col min="6155" max="6155" width="23.33203125" style="2" bestFit="1" customWidth="1"/>
    <col min="6156" max="6156" width="18.109375" style="2" bestFit="1" customWidth="1"/>
    <col min="6157" max="6157" width="15.88671875" style="2" bestFit="1" customWidth="1"/>
    <col min="6158" max="6409" width="11.44140625" style="2"/>
    <col min="6410" max="6410" width="30.44140625" style="2" customWidth="1"/>
    <col min="6411" max="6411" width="23.33203125" style="2" bestFit="1" customWidth="1"/>
    <col min="6412" max="6412" width="18.109375" style="2" bestFit="1" customWidth="1"/>
    <col min="6413" max="6413" width="15.88671875" style="2" bestFit="1" customWidth="1"/>
    <col min="6414" max="6665" width="11.44140625" style="2"/>
    <col min="6666" max="6666" width="30.44140625" style="2" customWidth="1"/>
    <col min="6667" max="6667" width="23.33203125" style="2" bestFit="1" customWidth="1"/>
    <col min="6668" max="6668" width="18.109375" style="2" bestFit="1" customWidth="1"/>
    <col min="6669" max="6669" width="15.88671875" style="2" bestFit="1" customWidth="1"/>
    <col min="6670" max="6921" width="11.44140625" style="2"/>
    <col min="6922" max="6922" width="30.44140625" style="2" customWidth="1"/>
    <col min="6923" max="6923" width="23.33203125" style="2" bestFit="1" customWidth="1"/>
    <col min="6924" max="6924" width="18.109375" style="2" bestFit="1" customWidth="1"/>
    <col min="6925" max="6925" width="15.88671875" style="2" bestFit="1" customWidth="1"/>
    <col min="6926" max="7177" width="11.44140625" style="2"/>
    <col min="7178" max="7178" width="30.44140625" style="2" customWidth="1"/>
    <col min="7179" max="7179" width="23.33203125" style="2" bestFit="1" customWidth="1"/>
    <col min="7180" max="7180" width="18.109375" style="2" bestFit="1" customWidth="1"/>
    <col min="7181" max="7181" width="15.88671875" style="2" bestFit="1" customWidth="1"/>
    <col min="7182" max="7433" width="11.44140625" style="2"/>
    <col min="7434" max="7434" width="30.44140625" style="2" customWidth="1"/>
    <col min="7435" max="7435" width="23.33203125" style="2" bestFit="1" customWidth="1"/>
    <col min="7436" max="7436" width="18.109375" style="2" bestFit="1" customWidth="1"/>
    <col min="7437" max="7437" width="15.88671875" style="2" bestFit="1" customWidth="1"/>
    <col min="7438" max="7689" width="11.44140625" style="2"/>
    <col min="7690" max="7690" width="30.44140625" style="2" customWidth="1"/>
    <col min="7691" max="7691" width="23.33203125" style="2" bestFit="1" customWidth="1"/>
    <col min="7692" max="7692" width="18.109375" style="2" bestFit="1" customWidth="1"/>
    <col min="7693" max="7693" width="15.88671875" style="2" bestFit="1" customWidth="1"/>
    <col min="7694" max="7945" width="11.44140625" style="2"/>
    <col min="7946" max="7946" width="30.44140625" style="2" customWidth="1"/>
    <col min="7947" max="7947" width="23.33203125" style="2" bestFit="1" customWidth="1"/>
    <col min="7948" max="7948" width="18.109375" style="2" bestFit="1" customWidth="1"/>
    <col min="7949" max="7949" width="15.88671875" style="2" bestFit="1" customWidth="1"/>
    <col min="7950" max="8201" width="11.44140625" style="2"/>
    <col min="8202" max="8202" width="30.44140625" style="2" customWidth="1"/>
    <col min="8203" max="8203" width="23.33203125" style="2" bestFit="1" customWidth="1"/>
    <col min="8204" max="8204" width="18.109375" style="2" bestFit="1" customWidth="1"/>
    <col min="8205" max="8205" width="15.88671875" style="2" bestFit="1" customWidth="1"/>
    <col min="8206" max="8457" width="11.44140625" style="2"/>
    <col min="8458" max="8458" width="30.44140625" style="2" customWidth="1"/>
    <col min="8459" max="8459" width="23.33203125" style="2" bestFit="1" customWidth="1"/>
    <col min="8460" max="8460" width="18.109375" style="2" bestFit="1" customWidth="1"/>
    <col min="8461" max="8461" width="15.88671875" style="2" bestFit="1" customWidth="1"/>
    <col min="8462" max="8713" width="11.44140625" style="2"/>
    <col min="8714" max="8714" width="30.44140625" style="2" customWidth="1"/>
    <col min="8715" max="8715" width="23.33203125" style="2" bestFit="1" customWidth="1"/>
    <col min="8716" max="8716" width="18.109375" style="2" bestFit="1" customWidth="1"/>
    <col min="8717" max="8717" width="15.88671875" style="2" bestFit="1" customWidth="1"/>
    <col min="8718" max="8969" width="11.44140625" style="2"/>
    <col min="8970" max="8970" width="30.44140625" style="2" customWidth="1"/>
    <col min="8971" max="8971" width="23.33203125" style="2" bestFit="1" customWidth="1"/>
    <col min="8972" max="8972" width="18.109375" style="2" bestFit="1" customWidth="1"/>
    <col min="8973" max="8973" width="15.88671875" style="2" bestFit="1" customWidth="1"/>
    <col min="8974" max="9225" width="11.44140625" style="2"/>
    <col min="9226" max="9226" width="30.44140625" style="2" customWidth="1"/>
    <col min="9227" max="9227" width="23.33203125" style="2" bestFit="1" customWidth="1"/>
    <col min="9228" max="9228" width="18.109375" style="2" bestFit="1" customWidth="1"/>
    <col min="9229" max="9229" width="15.88671875" style="2" bestFit="1" customWidth="1"/>
    <col min="9230" max="9481" width="11.44140625" style="2"/>
    <col min="9482" max="9482" width="30.44140625" style="2" customWidth="1"/>
    <col min="9483" max="9483" width="23.33203125" style="2" bestFit="1" customWidth="1"/>
    <col min="9484" max="9484" width="18.109375" style="2" bestFit="1" customWidth="1"/>
    <col min="9485" max="9485" width="15.88671875" style="2" bestFit="1" customWidth="1"/>
    <col min="9486" max="9737" width="11.44140625" style="2"/>
    <col min="9738" max="9738" width="30.44140625" style="2" customWidth="1"/>
    <col min="9739" max="9739" width="23.33203125" style="2" bestFit="1" customWidth="1"/>
    <col min="9740" max="9740" width="18.109375" style="2" bestFit="1" customWidth="1"/>
    <col min="9741" max="9741" width="15.88671875" style="2" bestFit="1" customWidth="1"/>
    <col min="9742" max="9993" width="11.44140625" style="2"/>
    <col min="9994" max="9994" width="30.44140625" style="2" customWidth="1"/>
    <col min="9995" max="9995" width="23.33203125" style="2" bestFit="1" customWidth="1"/>
    <col min="9996" max="9996" width="18.109375" style="2" bestFit="1" customWidth="1"/>
    <col min="9997" max="9997" width="15.88671875" style="2" bestFit="1" customWidth="1"/>
    <col min="9998" max="10249" width="11.44140625" style="2"/>
    <col min="10250" max="10250" width="30.44140625" style="2" customWidth="1"/>
    <col min="10251" max="10251" width="23.33203125" style="2" bestFit="1" customWidth="1"/>
    <col min="10252" max="10252" width="18.109375" style="2" bestFit="1" customWidth="1"/>
    <col min="10253" max="10253" width="15.88671875" style="2" bestFit="1" customWidth="1"/>
    <col min="10254" max="10505" width="11.44140625" style="2"/>
    <col min="10506" max="10506" width="30.44140625" style="2" customWidth="1"/>
    <col min="10507" max="10507" width="23.33203125" style="2" bestFit="1" customWidth="1"/>
    <col min="10508" max="10508" width="18.109375" style="2" bestFit="1" customWidth="1"/>
    <col min="10509" max="10509" width="15.88671875" style="2" bestFit="1" customWidth="1"/>
    <col min="10510" max="10761" width="11.44140625" style="2"/>
    <col min="10762" max="10762" width="30.44140625" style="2" customWidth="1"/>
    <col min="10763" max="10763" width="23.33203125" style="2" bestFit="1" customWidth="1"/>
    <col min="10764" max="10764" width="18.109375" style="2" bestFit="1" customWidth="1"/>
    <col min="10765" max="10765" width="15.88671875" style="2" bestFit="1" customWidth="1"/>
    <col min="10766" max="11017" width="11.44140625" style="2"/>
    <col min="11018" max="11018" width="30.44140625" style="2" customWidth="1"/>
    <col min="11019" max="11019" width="23.33203125" style="2" bestFit="1" customWidth="1"/>
    <col min="11020" max="11020" width="18.109375" style="2" bestFit="1" customWidth="1"/>
    <col min="11021" max="11021" width="15.88671875" style="2" bestFit="1" customWidth="1"/>
    <col min="11022" max="11273" width="11.44140625" style="2"/>
    <col min="11274" max="11274" width="30.44140625" style="2" customWidth="1"/>
    <col min="11275" max="11275" width="23.33203125" style="2" bestFit="1" customWidth="1"/>
    <col min="11276" max="11276" width="18.109375" style="2" bestFit="1" customWidth="1"/>
    <col min="11277" max="11277" width="15.88671875" style="2" bestFit="1" customWidth="1"/>
    <col min="11278" max="11529" width="11.44140625" style="2"/>
    <col min="11530" max="11530" width="30.44140625" style="2" customWidth="1"/>
    <col min="11531" max="11531" width="23.33203125" style="2" bestFit="1" customWidth="1"/>
    <col min="11532" max="11532" width="18.109375" style="2" bestFit="1" customWidth="1"/>
    <col min="11533" max="11533" width="15.88671875" style="2" bestFit="1" customWidth="1"/>
    <col min="11534" max="11785" width="11.44140625" style="2"/>
    <col min="11786" max="11786" width="30.44140625" style="2" customWidth="1"/>
    <col min="11787" max="11787" width="23.33203125" style="2" bestFit="1" customWidth="1"/>
    <col min="11788" max="11788" width="18.109375" style="2" bestFit="1" customWidth="1"/>
    <col min="11789" max="11789" width="15.88671875" style="2" bestFit="1" customWidth="1"/>
    <col min="11790" max="12041" width="11.44140625" style="2"/>
    <col min="12042" max="12042" width="30.44140625" style="2" customWidth="1"/>
    <col min="12043" max="12043" width="23.33203125" style="2" bestFit="1" customWidth="1"/>
    <col min="12044" max="12044" width="18.109375" style="2" bestFit="1" customWidth="1"/>
    <col min="12045" max="12045" width="15.88671875" style="2" bestFit="1" customWidth="1"/>
    <col min="12046" max="12297" width="11.44140625" style="2"/>
    <col min="12298" max="12298" width="30.44140625" style="2" customWidth="1"/>
    <col min="12299" max="12299" width="23.33203125" style="2" bestFit="1" customWidth="1"/>
    <col min="12300" max="12300" width="18.109375" style="2" bestFit="1" customWidth="1"/>
    <col min="12301" max="12301" width="15.88671875" style="2" bestFit="1" customWidth="1"/>
    <col min="12302" max="12553" width="11.44140625" style="2"/>
    <col min="12554" max="12554" width="30.44140625" style="2" customWidth="1"/>
    <col min="12555" max="12555" width="23.33203125" style="2" bestFit="1" customWidth="1"/>
    <col min="12556" max="12556" width="18.109375" style="2" bestFit="1" customWidth="1"/>
    <col min="12557" max="12557" width="15.88671875" style="2" bestFit="1" customWidth="1"/>
    <col min="12558" max="12809" width="11.44140625" style="2"/>
    <col min="12810" max="12810" width="30.44140625" style="2" customWidth="1"/>
    <col min="12811" max="12811" width="23.33203125" style="2" bestFit="1" customWidth="1"/>
    <col min="12812" max="12812" width="18.109375" style="2" bestFit="1" customWidth="1"/>
    <col min="12813" max="12813" width="15.88671875" style="2" bestFit="1" customWidth="1"/>
    <col min="12814" max="13065" width="11.44140625" style="2"/>
    <col min="13066" max="13066" width="30.44140625" style="2" customWidth="1"/>
    <col min="13067" max="13067" width="23.33203125" style="2" bestFit="1" customWidth="1"/>
    <col min="13068" max="13068" width="18.109375" style="2" bestFit="1" customWidth="1"/>
    <col min="13069" max="13069" width="15.88671875" style="2" bestFit="1" customWidth="1"/>
    <col min="13070" max="13321" width="11.44140625" style="2"/>
    <col min="13322" max="13322" width="30.44140625" style="2" customWidth="1"/>
    <col min="13323" max="13323" width="23.33203125" style="2" bestFit="1" customWidth="1"/>
    <col min="13324" max="13324" width="18.109375" style="2" bestFit="1" customWidth="1"/>
    <col min="13325" max="13325" width="15.88671875" style="2" bestFit="1" customWidth="1"/>
    <col min="13326" max="13577" width="11.44140625" style="2"/>
    <col min="13578" max="13578" width="30.44140625" style="2" customWidth="1"/>
    <col min="13579" max="13579" width="23.33203125" style="2" bestFit="1" customWidth="1"/>
    <col min="13580" max="13580" width="18.109375" style="2" bestFit="1" customWidth="1"/>
    <col min="13581" max="13581" width="15.88671875" style="2" bestFit="1" customWidth="1"/>
    <col min="13582" max="13833" width="11.44140625" style="2"/>
    <col min="13834" max="13834" width="30.44140625" style="2" customWidth="1"/>
    <col min="13835" max="13835" width="23.33203125" style="2" bestFit="1" customWidth="1"/>
    <col min="13836" max="13836" width="18.109375" style="2" bestFit="1" customWidth="1"/>
    <col min="13837" max="13837" width="15.88671875" style="2" bestFit="1" customWidth="1"/>
    <col min="13838" max="14089" width="11.44140625" style="2"/>
    <col min="14090" max="14090" width="30.44140625" style="2" customWidth="1"/>
    <col min="14091" max="14091" width="23.33203125" style="2" bestFit="1" customWidth="1"/>
    <col min="14092" max="14092" width="18.109375" style="2" bestFit="1" customWidth="1"/>
    <col min="14093" max="14093" width="15.88671875" style="2" bestFit="1" customWidth="1"/>
    <col min="14094" max="14345" width="11.44140625" style="2"/>
    <col min="14346" max="14346" width="30.44140625" style="2" customWidth="1"/>
    <col min="14347" max="14347" width="23.33203125" style="2" bestFit="1" customWidth="1"/>
    <col min="14348" max="14348" width="18.109375" style="2" bestFit="1" customWidth="1"/>
    <col min="14349" max="14349" width="15.88671875" style="2" bestFit="1" customWidth="1"/>
    <col min="14350" max="14601" width="11.44140625" style="2"/>
    <col min="14602" max="14602" width="30.44140625" style="2" customWidth="1"/>
    <col min="14603" max="14603" width="23.33203125" style="2" bestFit="1" customWidth="1"/>
    <col min="14604" max="14604" width="18.109375" style="2" bestFit="1" customWidth="1"/>
    <col min="14605" max="14605" width="15.88671875" style="2" bestFit="1" customWidth="1"/>
    <col min="14606" max="14857" width="11.44140625" style="2"/>
    <col min="14858" max="14858" width="30.44140625" style="2" customWidth="1"/>
    <col min="14859" max="14859" width="23.33203125" style="2" bestFit="1" customWidth="1"/>
    <col min="14860" max="14860" width="18.109375" style="2" bestFit="1" customWidth="1"/>
    <col min="14861" max="14861" width="15.88671875" style="2" bestFit="1" customWidth="1"/>
    <col min="14862" max="15113" width="11.44140625" style="2"/>
    <col min="15114" max="15114" width="30.44140625" style="2" customWidth="1"/>
    <col min="15115" max="15115" width="23.33203125" style="2" bestFit="1" customWidth="1"/>
    <col min="15116" max="15116" width="18.109375" style="2" bestFit="1" customWidth="1"/>
    <col min="15117" max="15117" width="15.88671875" style="2" bestFit="1" customWidth="1"/>
    <col min="15118" max="15369" width="11.44140625" style="2"/>
    <col min="15370" max="15370" width="30.44140625" style="2" customWidth="1"/>
    <col min="15371" max="15371" width="23.33203125" style="2" bestFit="1" customWidth="1"/>
    <col min="15372" max="15372" width="18.109375" style="2" bestFit="1" customWidth="1"/>
    <col min="15373" max="15373" width="15.88671875" style="2" bestFit="1" customWidth="1"/>
    <col min="15374" max="15625" width="11.44140625" style="2"/>
    <col min="15626" max="15626" width="30.44140625" style="2" customWidth="1"/>
    <col min="15627" max="15627" width="23.33203125" style="2" bestFit="1" customWidth="1"/>
    <col min="15628" max="15628" width="18.109375" style="2" bestFit="1" customWidth="1"/>
    <col min="15629" max="15629" width="15.88671875" style="2" bestFit="1" customWidth="1"/>
    <col min="15630" max="15881" width="11.44140625" style="2"/>
    <col min="15882" max="15882" width="30.44140625" style="2" customWidth="1"/>
    <col min="15883" max="15883" width="23.33203125" style="2" bestFit="1" customWidth="1"/>
    <col min="15884" max="15884" width="18.109375" style="2" bestFit="1" customWidth="1"/>
    <col min="15885" max="15885" width="15.88671875" style="2" bestFit="1" customWidth="1"/>
    <col min="15886" max="16137" width="11.44140625" style="2"/>
    <col min="16138" max="16138" width="30.44140625" style="2" customWidth="1"/>
    <col min="16139" max="16139" width="23.33203125" style="2" bestFit="1" customWidth="1"/>
    <col min="16140" max="16140" width="18.109375" style="2" bestFit="1" customWidth="1"/>
    <col min="16141" max="16141" width="15.88671875" style="2" bestFit="1" customWidth="1"/>
    <col min="16142" max="16384" width="11.44140625" style="2"/>
  </cols>
  <sheetData>
    <row r="2" spans="1:36" ht="15" customHeight="1" x14ac:dyDescent="0.3">
      <c r="B2" s="23" t="s">
        <v>0</v>
      </c>
      <c r="C2" s="23"/>
      <c r="D2" s="23"/>
      <c r="E2" s="23"/>
      <c r="F2" s="23"/>
      <c r="G2" s="24"/>
      <c r="H2" s="1"/>
      <c r="W2" s="25" t="s">
        <v>0</v>
      </c>
      <c r="X2" s="26"/>
      <c r="Y2" s="26"/>
      <c r="Z2" s="27"/>
      <c r="AA2" s="28" t="s">
        <v>0</v>
      </c>
      <c r="AB2" s="29"/>
      <c r="AC2" s="29"/>
      <c r="AD2" s="30"/>
      <c r="AE2" s="31" t="s">
        <v>0</v>
      </c>
      <c r="AF2" s="32"/>
      <c r="AG2" s="32"/>
      <c r="AH2" s="33"/>
    </row>
    <row r="3" spans="1:36" ht="15" customHeight="1" x14ac:dyDescent="0.3">
      <c r="B3" s="23" t="s">
        <v>1</v>
      </c>
      <c r="C3" s="23"/>
      <c r="D3" s="23"/>
      <c r="E3" s="23"/>
      <c r="F3" s="23"/>
      <c r="G3" s="24"/>
      <c r="H3" s="1"/>
      <c r="W3" s="25" t="s">
        <v>1</v>
      </c>
      <c r="X3" s="26"/>
      <c r="Y3" s="26"/>
      <c r="Z3" s="27"/>
      <c r="AA3" s="28" t="s">
        <v>1</v>
      </c>
      <c r="AB3" s="29"/>
      <c r="AC3" s="29"/>
      <c r="AD3" s="30"/>
      <c r="AE3" s="31" t="s">
        <v>1</v>
      </c>
      <c r="AF3" s="32"/>
      <c r="AG3" s="32"/>
      <c r="AH3" s="33"/>
    </row>
    <row r="4" spans="1:36" ht="15" customHeight="1" x14ac:dyDescent="0.3">
      <c r="B4" s="23" t="s">
        <v>2</v>
      </c>
      <c r="C4" s="23"/>
      <c r="D4" s="23"/>
      <c r="E4" s="23"/>
      <c r="F4" s="23"/>
      <c r="G4" s="24"/>
      <c r="H4" s="1"/>
      <c r="W4" s="25" t="s">
        <v>2</v>
      </c>
      <c r="X4" s="26"/>
      <c r="Y4" s="26"/>
      <c r="Z4" s="27"/>
      <c r="AA4" s="28" t="s">
        <v>2</v>
      </c>
      <c r="AB4" s="29"/>
      <c r="AC4" s="29"/>
      <c r="AD4" s="30"/>
      <c r="AE4" s="31" t="s">
        <v>2</v>
      </c>
      <c r="AF4" s="32"/>
      <c r="AG4" s="32"/>
      <c r="AH4" s="33"/>
    </row>
    <row r="5" spans="1:36" ht="15" customHeight="1" x14ac:dyDescent="0.3">
      <c r="B5" s="23" t="s">
        <v>3</v>
      </c>
      <c r="C5" s="23"/>
      <c r="D5" s="23"/>
      <c r="E5" s="23"/>
      <c r="F5" s="23"/>
      <c r="G5" s="24"/>
      <c r="H5" s="1"/>
      <c r="W5" s="25" t="s">
        <v>4</v>
      </c>
      <c r="X5" s="26"/>
      <c r="Y5" s="26"/>
      <c r="Z5" s="27"/>
      <c r="AA5" s="28" t="s">
        <v>5</v>
      </c>
      <c r="AB5" s="29"/>
      <c r="AC5" s="29"/>
      <c r="AD5" s="30"/>
      <c r="AE5" s="31" t="s">
        <v>6</v>
      </c>
      <c r="AF5" s="32"/>
      <c r="AG5" s="32"/>
      <c r="AH5" s="33"/>
    </row>
    <row r="6" spans="1:36" s="9" customFormat="1" ht="53.25" customHeight="1" x14ac:dyDescent="0.3">
      <c r="B6" s="4" t="s">
        <v>7</v>
      </c>
      <c r="C6" s="5" t="s">
        <v>8</v>
      </c>
      <c r="D6" s="6">
        <v>2024</v>
      </c>
      <c r="E6" s="6" t="s">
        <v>9</v>
      </c>
      <c r="F6" s="7" t="s">
        <v>10</v>
      </c>
      <c r="G6" s="6" t="s">
        <v>11</v>
      </c>
      <c r="H6" s="8"/>
      <c r="J6" s="10"/>
      <c r="W6" s="11">
        <v>2025</v>
      </c>
      <c r="X6" s="12" t="s">
        <v>9</v>
      </c>
      <c r="Y6" s="13" t="s">
        <v>10</v>
      </c>
      <c r="Z6" s="12" t="s">
        <v>11</v>
      </c>
      <c r="AA6" s="14">
        <v>2026</v>
      </c>
      <c r="AB6" s="14" t="s">
        <v>9</v>
      </c>
      <c r="AC6" s="14" t="s">
        <v>10</v>
      </c>
      <c r="AD6" s="14" t="s">
        <v>11</v>
      </c>
      <c r="AE6" s="15">
        <v>2027</v>
      </c>
      <c r="AF6" s="15" t="s">
        <v>9</v>
      </c>
      <c r="AG6" s="15" t="s">
        <v>10</v>
      </c>
      <c r="AH6" s="15" t="s">
        <v>11</v>
      </c>
    </row>
    <row r="7" spans="1:36" ht="14.4" x14ac:dyDescent="0.3">
      <c r="A7" s="2" t="s">
        <v>105</v>
      </c>
      <c r="B7" s="16">
        <v>20</v>
      </c>
      <c r="C7" s="36" t="s">
        <v>12</v>
      </c>
      <c r="D7" s="37">
        <f>MROUND('[1]F Y U 2024 Presupuesto'!C7,1000)</f>
        <v>32803406000</v>
      </c>
      <c r="E7" s="38"/>
      <c r="F7" s="38"/>
      <c r="G7" s="39">
        <f>+D7</f>
        <v>32803406000</v>
      </c>
      <c r="H7" s="44"/>
      <c r="I7" s="34"/>
      <c r="J7" s="41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>
        <f>+D7*1.05</f>
        <v>34443576300</v>
      </c>
      <c r="X7" s="38"/>
      <c r="Y7" s="38"/>
      <c r="Z7" s="39">
        <f>+W7</f>
        <v>34443576300</v>
      </c>
      <c r="AA7" s="34">
        <f>+W7*1.05</f>
        <v>36165755115</v>
      </c>
      <c r="AB7" s="38"/>
      <c r="AC7" s="38"/>
      <c r="AD7" s="39">
        <f>+AA7</f>
        <v>36165755115</v>
      </c>
      <c r="AE7" s="34">
        <f>+AA7*1.05</f>
        <v>37974042870.75</v>
      </c>
      <c r="AF7" s="38"/>
      <c r="AG7" s="38"/>
      <c r="AH7" s="39">
        <f>+AE7</f>
        <v>37974042870.75</v>
      </c>
      <c r="AI7" s="34" t="s">
        <v>112</v>
      </c>
      <c r="AJ7" s="2" t="s">
        <v>136</v>
      </c>
    </row>
    <row r="8" spans="1:36" s="34" customFormat="1" ht="14.4" x14ac:dyDescent="0.3">
      <c r="A8" s="34" t="s">
        <v>105</v>
      </c>
      <c r="B8" s="35">
        <v>20</v>
      </c>
      <c r="C8" s="36" t="s">
        <v>13</v>
      </c>
      <c r="D8" s="37">
        <f>MROUND('[1]F Y U 2024 Presupuesto'!C8,1000)</f>
        <v>1478804000</v>
      </c>
      <c r="E8" s="38"/>
      <c r="F8" s="38"/>
      <c r="G8" s="39">
        <f>+D8</f>
        <v>1478804000</v>
      </c>
      <c r="H8" s="40" t="s">
        <v>14</v>
      </c>
      <c r="J8" s="41"/>
      <c r="W8" s="34">
        <f>+D8*1.2</f>
        <v>1774564800</v>
      </c>
      <c r="X8" s="38"/>
      <c r="Y8" s="38"/>
      <c r="Z8" s="39">
        <f>+W8</f>
        <v>1774564800</v>
      </c>
      <c r="AA8" s="34">
        <f>+W8*1.2</f>
        <v>2129477760</v>
      </c>
      <c r="AB8" s="38"/>
      <c r="AC8" s="38"/>
      <c r="AD8" s="39">
        <f>+AA8</f>
        <v>2129477760</v>
      </c>
      <c r="AE8" s="34">
        <f>+AA8*1.2</f>
        <v>2555373312</v>
      </c>
      <c r="AF8" s="38"/>
      <c r="AG8" s="38"/>
      <c r="AH8" s="39">
        <f>+AE8</f>
        <v>2555373312</v>
      </c>
      <c r="AI8" s="34" t="s">
        <v>120</v>
      </c>
      <c r="AJ8" s="34" t="s">
        <v>136</v>
      </c>
    </row>
    <row r="9" spans="1:36" s="34" customFormat="1" ht="14.4" x14ac:dyDescent="0.3">
      <c r="A9" s="34" t="s">
        <v>105</v>
      </c>
      <c r="B9" s="42">
        <v>20</v>
      </c>
      <c r="C9" s="36" t="s">
        <v>15</v>
      </c>
      <c r="D9" s="37">
        <f>MROUND('[1]F Y U 2024 Presupuesto'!C9,1000)-D49</f>
        <v>7493777000</v>
      </c>
      <c r="E9" s="38"/>
      <c r="F9" s="38"/>
      <c r="G9" s="38">
        <f>+D9</f>
        <v>7493777000</v>
      </c>
      <c r="H9" s="40"/>
      <c r="I9" s="34">
        <f>+D10+D11+D12+D13+D14</f>
        <v>28774686000</v>
      </c>
      <c r="J9" s="41">
        <f>+I9*0.04</f>
        <v>1150987440</v>
      </c>
      <c r="K9" s="34">
        <f>+D12</f>
        <v>1150987000</v>
      </c>
      <c r="W9" s="34">
        <f>+D9*1.21</f>
        <v>9067470170</v>
      </c>
      <c r="X9" s="38"/>
      <c r="Y9" s="38"/>
      <c r="Z9" s="38">
        <f>+W9</f>
        <v>9067470170</v>
      </c>
      <c r="AA9" s="34">
        <f>+W9*1.21</f>
        <v>10971638905.699999</v>
      </c>
      <c r="AB9" s="38"/>
      <c r="AC9" s="38"/>
      <c r="AD9" s="38">
        <f>+AA9</f>
        <v>10971638905.699999</v>
      </c>
      <c r="AE9" s="34">
        <f>+AA9*1.21</f>
        <v>13275683075.896997</v>
      </c>
      <c r="AF9" s="38"/>
      <c r="AG9" s="38"/>
      <c r="AH9" s="38">
        <f>+AE9</f>
        <v>13275683075.896997</v>
      </c>
      <c r="AI9" s="34" t="s">
        <v>120</v>
      </c>
      <c r="AJ9" s="34" t="s">
        <v>136</v>
      </c>
    </row>
    <row r="10" spans="1:36" ht="14.4" x14ac:dyDescent="0.3">
      <c r="A10" s="2" t="s">
        <v>105</v>
      </c>
      <c r="B10" s="19">
        <v>20</v>
      </c>
      <c r="C10" s="36" t="s">
        <v>16</v>
      </c>
      <c r="D10" s="37">
        <f>MROUND('[1]F Y U 2024 Presupuesto'!C10,1000)</f>
        <v>17264812000</v>
      </c>
      <c r="E10" s="45"/>
      <c r="F10" s="38"/>
      <c r="G10" s="38">
        <f>+D10</f>
        <v>17264812000</v>
      </c>
      <c r="H10" s="46"/>
      <c r="I10" s="34"/>
      <c r="J10" s="41">
        <f>+I9*0.06</f>
        <v>1726481160</v>
      </c>
      <c r="K10" s="34">
        <f>+D13</f>
        <v>1726481000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>
        <f>+D10*1.08</f>
        <v>18645996960</v>
      </c>
      <c r="X10" s="45"/>
      <c r="Y10" s="38"/>
      <c r="Z10" s="38">
        <f>+W10</f>
        <v>18645996960</v>
      </c>
      <c r="AA10" s="34">
        <f>+W10*1.08</f>
        <v>20137676716.800003</v>
      </c>
      <c r="AB10" s="45"/>
      <c r="AC10" s="38"/>
      <c r="AD10" s="38">
        <f>+AA10</f>
        <v>20137676716.800003</v>
      </c>
      <c r="AE10" s="34">
        <f>+AA10*1.08</f>
        <v>21748690854.144005</v>
      </c>
      <c r="AF10" s="45"/>
      <c r="AG10" s="38"/>
      <c r="AH10" s="38">
        <f>+AE10</f>
        <v>21748690854.144005</v>
      </c>
      <c r="AI10" s="34" t="s">
        <v>113</v>
      </c>
      <c r="AJ10" s="2" t="s">
        <v>136</v>
      </c>
    </row>
    <row r="11" spans="1:36" ht="14.4" x14ac:dyDescent="0.3">
      <c r="A11" s="2" t="s">
        <v>105</v>
      </c>
      <c r="B11" s="19">
        <v>1</v>
      </c>
      <c r="C11" s="36" t="s">
        <v>17</v>
      </c>
      <c r="D11" s="37">
        <f>MROUND('[1]F Y U 2024 Presupuesto'!C11,1000)</f>
        <v>5754937000</v>
      </c>
      <c r="E11" s="45"/>
      <c r="F11" s="38">
        <f>+D11</f>
        <v>5754937000</v>
      </c>
      <c r="G11" s="39"/>
      <c r="H11" s="47"/>
      <c r="I11" s="34"/>
      <c r="J11" s="41">
        <f>+I9*0.1</f>
        <v>2877468600</v>
      </c>
      <c r="K11" s="34">
        <f>+D14</f>
        <v>2877469000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>
        <f t="shared" ref="W11:W14" si="0">+D11*1.08</f>
        <v>6215331960</v>
      </c>
      <c r="X11" s="45"/>
      <c r="Y11" s="38">
        <f>+W11</f>
        <v>6215331960</v>
      </c>
      <c r="Z11" s="39"/>
      <c r="AA11" s="34">
        <f>+W11*1.08</f>
        <v>6712558516.8000002</v>
      </c>
      <c r="AB11" s="45"/>
      <c r="AC11" s="38">
        <f>+AA11</f>
        <v>6712558516.8000002</v>
      </c>
      <c r="AD11" s="39"/>
      <c r="AE11" s="34">
        <f>+AA11*1.08</f>
        <v>7249563198.144001</v>
      </c>
      <c r="AF11" s="45"/>
      <c r="AG11" s="38">
        <f>+AE11</f>
        <v>7249563198.144001</v>
      </c>
      <c r="AH11" s="39"/>
      <c r="AI11" s="34" t="s">
        <v>113</v>
      </c>
      <c r="AJ11" s="2" t="s">
        <v>136</v>
      </c>
    </row>
    <row r="12" spans="1:36" ht="14.4" x14ac:dyDescent="0.3">
      <c r="A12" s="2" t="s">
        <v>105</v>
      </c>
      <c r="B12" s="19">
        <v>52</v>
      </c>
      <c r="C12" s="36" t="s">
        <v>18</v>
      </c>
      <c r="D12" s="37">
        <f>MROUND('[1]F Y U 2024 Presupuesto'!C12,1000)</f>
        <v>1150987000</v>
      </c>
      <c r="E12" s="38">
        <f>+D12</f>
        <v>1150987000</v>
      </c>
      <c r="F12" s="38"/>
      <c r="G12" s="39"/>
      <c r="H12" s="47"/>
      <c r="I12" s="34"/>
      <c r="J12" s="41">
        <f>+I9*0.2</f>
        <v>5754937200</v>
      </c>
      <c r="K12" s="34">
        <f>+D11</f>
        <v>5754937000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>
        <f t="shared" si="0"/>
        <v>1243065960</v>
      </c>
      <c r="X12" s="38">
        <f>+W12</f>
        <v>1243065960</v>
      </c>
      <c r="Y12" s="38"/>
      <c r="Z12" s="39"/>
      <c r="AA12" s="34">
        <f>+W12*1.08</f>
        <v>1342511236.8000002</v>
      </c>
      <c r="AB12" s="38">
        <f>+AA12</f>
        <v>1342511236.8000002</v>
      </c>
      <c r="AC12" s="38"/>
      <c r="AD12" s="39"/>
      <c r="AE12" s="34">
        <f>+AA12*1.08</f>
        <v>1449912135.7440002</v>
      </c>
      <c r="AF12" s="38">
        <f>+AE12</f>
        <v>1449912135.7440002</v>
      </c>
      <c r="AG12" s="38"/>
      <c r="AH12" s="39"/>
      <c r="AI12" s="34" t="s">
        <v>113</v>
      </c>
      <c r="AJ12" s="2" t="s">
        <v>136</v>
      </c>
    </row>
    <row r="13" spans="1:36" ht="14.4" x14ac:dyDescent="0.3">
      <c r="A13" s="2" t="s">
        <v>105</v>
      </c>
      <c r="B13" s="19">
        <v>53</v>
      </c>
      <c r="C13" s="36" t="s">
        <v>19</v>
      </c>
      <c r="D13" s="37">
        <f>MROUND('[1]F Y U 2024 Presupuesto'!C13,1000)</f>
        <v>1726481000</v>
      </c>
      <c r="E13" s="38"/>
      <c r="F13" s="38">
        <f>+D13</f>
        <v>1726481000</v>
      </c>
      <c r="G13" s="38"/>
      <c r="H13" s="34"/>
      <c r="I13" s="34"/>
      <c r="J13" s="41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>
        <f t="shared" si="0"/>
        <v>1864599480.0000002</v>
      </c>
      <c r="X13" s="38"/>
      <c r="Y13" s="38">
        <f>+W13</f>
        <v>1864599480.0000002</v>
      </c>
      <c r="Z13" s="38"/>
      <c r="AA13" s="34">
        <f>+W13*1.08</f>
        <v>2013767438.4000003</v>
      </c>
      <c r="AB13" s="38"/>
      <c r="AC13" s="38">
        <f>+AA13</f>
        <v>2013767438.4000003</v>
      </c>
      <c r="AD13" s="38"/>
      <c r="AE13" s="34">
        <f>+AA13*1.08</f>
        <v>2174868833.4720006</v>
      </c>
      <c r="AF13" s="38"/>
      <c r="AG13" s="38">
        <f>+AE13</f>
        <v>2174868833.4720006</v>
      </c>
      <c r="AH13" s="38"/>
      <c r="AI13" s="34" t="s">
        <v>113</v>
      </c>
      <c r="AJ13" s="2" t="s">
        <v>136</v>
      </c>
    </row>
    <row r="14" spans="1:36" ht="14.4" x14ac:dyDescent="0.3">
      <c r="A14" s="2" t="s">
        <v>105</v>
      </c>
      <c r="B14" s="19">
        <v>13</v>
      </c>
      <c r="C14" s="36" t="s">
        <v>20</v>
      </c>
      <c r="D14" s="37">
        <f>MROUND('[1]F Y U 2024 Presupuesto'!C14,1000)</f>
        <v>2877469000</v>
      </c>
      <c r="E14" s="38"/>
      <c r="F14" s="38">
        <f>+D14</f>
        <v>2877469000</v>
      </c>
      <c r="G14" s="39"/>
      <c r="H14" s="47"/>
      <c r="I14" s="34"/>
      <c r="J14" s="41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>
        <f t="shared" si="0"/>
        <v>3107666520</v>
      </c>
      <c r="X14" s="38"/>
      <c r="Y14" s="38">
        <f>+W14</f>
        <v>3107666520</v>
      </c>
      <c r="Z14" s="39"/>
      <c r="AA14" s="34">
        <f>+W14*1.08</f>
        <v>3356279841.6000004</v>
      </c>
      <c r="AB14" s="38"/>
      <c r="AC14" s="38">
        <f>+AA14</f>
        <v>3356279841.6000004</v>
      </c>
      <c r="AD14" s="39"/>
      <c r="AE14" s="34">
        <f>+AA14*1.08</f>
        <v>3624782228.9280005</v>
      </c>
      <c r="AF14" s="38"/>
      <c r="AG14" s="38">
        <f>+AE14</f>
        <v>3624782228.9280005</v>
      </c>
      <c r="AH14" s="39"/>
      <c r="AI14" s="34" t="s">
        <v>113</v>
      </c>
      <c r="AJ14" s="2" t="s">
        <v>136</v>
      </c>
    </row>
    <row r="15" spans="1:36" ht="14.4" x14ac:dyDescent="0.3">
      <c r="A15" s="2" t="s">
        <v>105</v>
      </c>
      <c r="B15" s="19">
        <v>145</v>
      </c>
      <c r="C15" s="36" t="s">
        <v>21</v>
      </c>
      <c r="D15" s="37">
        <f>MROUND('[1]F Y U 2024 Presupuesto'!C15,1000)</f>
        <v>233083000</v>
      </c>
      <c r="E15" s="38"/>
      <c r="F15" s="38">
        <f>+D15</f>
        <v>233083000</v>
      </c>
      <c r="G15" s="39"/>
      <c r="H15" s="47"/>
      <c r="I15" s="34"/>
      <c r="J15" s="41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>
        <f>+D15*1.05</f>
        <v>244737150</v>
      </c>
      <c r="X15" s="38"/>
      <c r="Y15" s="38">
        <f>+W15</f>
        <v>244737150</v>
      </c>
      <c r="Z15" s="39"/>
      <c r="AA15" s="34">
        <f t="shared" ref="AA15:AA20" si="1">+W15*1.05</f>
        <v>256974007.5</v>
      </c>
      <c r="AB15" s="38"/>
      <c r="AC15" s="38">
        <f>+AA15</f>
        <v>256974007.5</v>
      </c>
      <c r="AD15" s="39"/>
      <c r="AE15" s="34">
        <f t="shared" ref="AE15:AE20" si="2">+AA15*1.05</f>
        <v>269822707.875</v>
      </c>
      <c r="AF15" s="38"/>
      <c r="AG15" s="38">
        <f>+AE15</f>
        <v>269822707.875</v>
      </c>
      <c r="AH15" s="39"/>
      <c r="AI15" s="34" t="s">
        <v>135</v>
      </c>
      <c r="AJ15" s="2" t="s">
        <v>136</v>
      </c>
    </row>
    <row r="16" spans="1:36" ht="14.4" x14ac:dyDescent="0.3">
      <c r="A16" s="2" t="s">
        <v>105</v>
      </c>
      <c r="B16" s="19">
        <v>20</v>
      </c>
      <c r="C16" s="36" t="s">
        <v>22</v>
      </c>
      <c r="D16" s="37">
        <f>MROUND('[1]F Y U 2024 Presupuesto'!C16,1000)</f>
        <v>4661652000</v>
      </c>
      <c r="E16" s="38"/>
      <c r="F16" s="38"/>
      <c r="G16" s="39">
        <f>+D16</f>
        <v>4661652000</v>
      </c>
      <c r="H16" s="44"/>
      <c r="I16" s="34"/>
      <c r="J16" s="41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>
        <f t="shared" ref="W16:W20" si="3">+D16*1.05</f>
        <v>4894734600</v>
      </c>
      <c r="X16" s="38"/>
      <c r="Y16" s="38"/>
      <c r="Z16" s="39">
        <f>+W16</f>
        <v>4894734600</v>
      </c>
      <c r="AA16" s="34">
        <f t="shared" si="1"/>
        <v>5139471330</v>
      </c>
      <c r="AB16" s="38"/>
      <c r="AC16" s="38"/>
      <c r="AD16" s="39">
        <f>+AA16</f>
        <v>5139471330</v>
      </c>
      <c r="AE16" s="34">
        <f t="shared" si="2"/>
        <v>5396444896.5</v>
      </c>
      <c r="AF16" s="38"/>
      <c r="AG16" s="38"/>
      <c r="AH16" s="39">
        <f>+AE16</f>
        <v>5396444896.5</v>
      </c>
      <c r="AI16" s="34" t="s">
        <v>135</v>
      </c>
      <c r="AJ16" s="2" t="s">
        <v>136</v>
      </c>
    </row>
    <row r="17" spans="1:36" ht="14.4" x14ac:dyDescent="0.3">
      <c r="A17" s="2" t="s">
        <v>105</v>
      </c>
      <c r="B17" s="19">
        <v>20</v>
      </c>
      <c r="C17" s="36" t="s">
        <v>23</v>
      </c>
      <c r="D17" s="37">
        <f>MROUND('[1]F Y U 2024 Presupuesto'!C17,1000)</f>
        <v>21471737000</v>
      </c>
      <c r="E17" s="38"/>
      <c r="F17" s="38"/>
      <c r="G17" s="39">
        <f>+D17</f>
        <v>21471737000</v>
      </c>
      <c r="H17" s="44"/>
      <c r="I17" s="34"/>
      <c r="J17" s="41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>
        <f t="shared" si="3"/>
        <v>22545323850</v>
      </c>
      <c r="X17" s="38"/>
      <c r="Y17" s="38"/>
      <c r="Z17" s="39">
        <f>+W17</f>
        <v>22545323850</v>
      </c>
      <c r="AA17" s="34">
        <f t="shared" si="1"/>
        <v>23672590042.5</v>
      </c>
      <c r="AB17" s="38"/>
      <c r="AC17" s="38"/>
      <c r="AD17" s="39">
        <f>+AA17</f>
        <v>23672590042.5</v>
      </c>
      <c r="AE17" s="34">
        <f t="shared" si="2"/>
        <v>24856219544.625</v>
      </c>
      <c r="AF17" s="38"/>
      <c r="AG17" s="38"/>
      <c r="AH17" s="39">
        <f>+AE17</f>
        <v>24856219544.625</v>
      </c>
      <c r="AI17" s="34" t="s">
        <v>114</v>
      </c>
      <c r="AJ17" s="2" t="s">
        <v>136</v>
      </c>
    </row>
    <row r="18" spans="1:36" ht="14.4" x14ac:dyDescent="0.3">
      <c r="A18" s="2" t="s">
        <v>105</v>
      </c>
      <c r="B18" s="19">
        <v>20</v>
      </c>
      <c r="C18" s="36" t="s">
        <v>24</v>
      </c>
      <c r="D18" s="37">
        <f>MROUND('[1]F Y U 2024 Presupuesto'!C18,1000)</f>
        <v>14173023000</v>
      </c>
      <c r="E18" s="38"/>
      <c r="F18" s="38"/>
      <c r="G18" s="39">
        <f>+D18</f>
        <v>14173023000</v>
      </c>
      <c r="H18" s="44"/>
      <c r="I18" s="34"/>
      <c r="J18" s="41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>
        <f t="shared" si="3"/>
        <v>14881674150</v>
      </c>
      <c r="X18" s="38"/>
      <c r="Y18" s="38"/>
      <c r="Z18" s="39">
        <f>+W18</f>
        <v>14881674150</v>
      </c>
      <c r="AA18" s="34">
        <f t="shared" si="1"/>
        <v>15625757857.5</v>
      </c>
      <c r="AB18" s="38"/>
      <c r="AC18" s="38"/>
      <c r="AD18" s="39">
        <f>+AA18</f>
        <v>15625757857.5</v>
      </c>
      <c r="AE18" s="34">
        <f t="shared" si="2"/>
        <v>16407045750.375</v>
      </c>
      <c r="AF18" s="38"/>
      <c r="AG18" s="38"/>
      <c r="AH18" s="39">
        <f>+AE18</f>
        <v>16407045750.375</v>
      </c>
      <c r="AI18" s="34" t="s">
        <v>115</v>
      </c>
      <c r="AJ18" s="2" t="s">
        <v>136</v>
      </c>
    </row>
    <row r="19" spans="1:36" ht="14.4" x14ac:dyDescent="0.3">
      <c r="A19" s="2" t="s">
        <v>105</v>
      </c>
      <c r="B19" s="19">
        <v>20</v>
      </c>
      <c r="C19" s="36" t="s">
        <v>25</v>
      </c>
      <c r="D19" s="37">
        <f>MROUND('[1]F Y U 2024 Presupuesto'!C19,1000)</f>
        <v>763018000</v>
      </c>
      <c r="E19" s="38"/>
      <c r="F19" s="38"/>
      <c r="G19" s="39">
        <f>+D19</f>
        <v>763018000</v>
      </c>
      <c r="H19" s="44"/>
      <c r="I19" s="34"/>
      <c r="J19" s="41"/>
      <c r="K19" s="48">
        <f>1296000000+1627500000+3158923248</f>
        <v>6082423248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>
        <f t="shared" si="3"/>
        <v>801168900</v>
      </c>
      <c r="X19" s="38"/>
      <c r="Y19" s="38"/>
      <c r="Z19" s="39">
        <f>+W19</f>
        <v>801168900</v>
      </c>
      <c r="AA19" s="34">
        <f t="shared" si="1"/>
        <v>841227345</v>
      </c>
      <c r="AB19" s="38"/>
      <c r="AC19" s="38"/>
      <c r="AD19" s="39">
        <f>+AA19</f>
        <v>841227345</v>
      </c>
      <c r="AE19" s="34">
        <f t="shared" si="2"/>
        <v>883288712.25</v>
      </c>
      <c r="AF19" s="38"/>
      <c r="AG19" s="38"/>
      <c r="AH19" s="39">
        <f>+AE19</f>
        <v>883288712.25</v>
      </c>
      <c r="AI19" s="34" t="s">
        <v>111</v>
      </c>
      <c r="AJ19" s="2" t="s">
        <v>136</v>
      </c>
    </row>
    <row r="20" spans="1:36" ht="26.25" customHeight="1" x14ac:dyDescent="0.3">
      <c r="A20" s="2" t="s">
        <v>105</v>
      </c>
      <c r="B20" s="19">
        <v>20</v>
      </c>
      <c r="C20" s="36" t="s">
        <v>26</v>
      </c>
      <c r="D20" s="37">
        <f>MROUND('[1]F Y U 2024 Presupuesto'!C20,1000)</f>
        <v>11867811000</v>
      </c>
      <c r="E20" s="38"/>
      <c r="F20" s="38"/>
      <c r="G20" s="38">
        <f>+D20</f>
        <v>11867811000</v>
      </c>
      <c r="H20" s="46"/>
      <c r="I20" s="34"/>
      <c r="J20" s="41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>
        <f t="shared" si="3"/>
        <v>12461201550</v>
      </c>
      <c r="X20" s="38"/>
      <c r="Y20" s="38"/>
      <c r="Z20" s="38">
        <f>+W20</f>
        <v>12461201550</v>
      </c>
      <c r="AA20" s="34">
        <f t="shared" si="1"/>
        <v>13084261627.5</v>
      </c>
      <c r="AB20" s="38"/>
      <c r="AC20" s="38"/>
      <c r="AD20" s="38">
        <f>+AA20</f>
        <v>13084261627.5</v>
      </c>
      <c r="AE20" s="34">
        <f t="shared" si="2"/>
        <v>13738474708.875</v>
      </c>
      <c r="AF20" s="38"/>
      <c r="AG20" s="38"/>
      <c r="AH20" s="38">
        <f>+AE20</f>
        <v>13738474708.875</v>
      </c>
      <c r="AI20" s="34" t="s">
        <v>116</v>
      </c>
      <c r="AJ20" s="2" t="s">
        <v>136</v>
      </c>
    </row>
    <row r="21" spans="1:36" ht="14.4" x14ac:dyDescent="0.3">
      <c r="A21" s="2" t="s">
        <v>105</v>
      </c>
      <c r="B21" s="19">
        <v>4</v>
      </c>
      <c r="C21" s="36" t="s">
        <v>27</v>
      </c>
      <c r="D21" s="37">
        <f>MROUND('[1]F Y U 2024 Presupuesto'!C21,1000)</f>
        <v>7519723000</v>
      </c>
      <c r="E21" s="45">
        <f>+D21</f>
        <v>7519723000</v>
      </c>
      <c r="F21" s="38"/>
      <c r="G21" s="38"/>
      <c r="H21" s="34"/>
      <c r="I21" s="34">
        <f>+D21+D22+D23</f>
        <v>15039446000</v>
      </c>
      <c r="J21" s="41"/>
      <c r="K21" s="34"/>
      <c r="L21" s="34">
        <f t="shared" ref="L21:L25" si="4">MROUND(I21,1000)</f>
        <v>15039446000</v>
      </c>
      <c r="M21" s="34">
        <f>+I21-L21</f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>
        <f>+D21*1.19</f>
        <v>8948470370</v>
      </c>
      <c r="X21" s="45">
        <f>+W21</f>
        <v>8948470370</v>
      </c>
      <c r="Y21" s="38"/>
      <c r="Z21" s="38"/>
      <c r="AA21" s="34">
        <f t="shared" ref="AA21:AA31" si="5">+W21*1.19</f>
        <v>10648679740.299999</v>
      </c>
      <c r="AB21" s="45">
        <f>+AA21</f>
        <v>10648679740.299999</v>
      </c>
      <c r="AC21" s="38"/>
      <c r="AD21" s="38"/>
      <c r="AE21" s="34">
        <f t="shared" ref="AE21:AE31" si="6">+AA21*1.19</f>
        <v>12671928890.956999</v>
      </c>
      <c r="AF21" s="45">
        <f>+AE21</f>
        <v>12671928890.956999</v>
      </c>
      <c r="AG21" s="38"/>
      <c r="AH21" s="38"/>
      <c r="AI21" s="34" t="s">
        <v>117</v>
      </c>
      <c r="AJ21" s="2" t="s">
        <v>136</v>
      </c>
    </row>
    <row r="22" spans="1:36" ht="14.4" x14ac:dyDescent="0.3">
      <c r="A22" s="2" t="s">
        <v>105</v>
      </c>
      <c r="B22" s="19">
        <v>176</v>
      </c>
      <c r="C22" s="36" t="s">
        <v>28</v>
      </c>
      <c r="D22" s="37">
        <v>3007889200</v>
      </c>
      <c r="E22" s="38"/>
      <c r="F22" s="38">
        <f>+D22</f>
        <v>3007889200</v>
      </c>
      <c r="G22" s="39"/>
      <c r="H22" s="47"/>
      <c r="I22" s="34">
        <f>+I21*0.5</f>
        <v>7519723000</v>
      </c>
      <c r="J22" s="41">
        <f>+D21</f>
        <v>7519723000</v>
      </c>
      <c r="K22" s="34">
        <f>+J22-I22</f>
        <v>0</v>
      </c>
      <c r="L22" s="34">
        <f t="shared" si="4"/>
        <v>7519723000</v>
      </c>
      <c r="M22" s="34">
        <f>+J22-L22</f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>
        <f t="shared" ref="W22:W33" si="7">+D22*1.19</f>
        <v>3579388148</v>
      </c>
      <c r="X22" s="38"/>
      <c r="Y22" s="38">
        <f>+W22</f>
        <v>3579388148</v>
      </c>
      <c r="Z22" s="39"/>
      <c r="AA22" s="34">
        <f t="shared" si="5"/>
        <v>4259471896.1199999</v>
      </c>
      <c r="AB22" s="38"/>
      <c r="AC22" s="38">
        <f>+AA22</f>
        <v>4259471896.1199999</v>
      </c>
      <c r="AD22" s="39"/>
      <c r="AE22" s="34">
        <f t="shared" si="6"/>
        <v>5068771556.3828001</v>
      </c>
      <c r="AF22" s="38"/>
      <c r="AG22" s="38">
        <f>+AE22</f>
        <v>5068771556.3828001</v>
      </c>
      <c r="AH22" s="39"/>
      <c r="AI22" s="34" t="s">
        <v>117</v>
      </c>
      <c r="AJ22" s="2" t="s">
        <v>136</v>
      </c>
    </row>
    <row r="23" spans="1:36" ht="14.4" x14ac:dyDescent="0.3">
      <c r="A23" s="2" t="s">
        <v>105</v>
      </c>
      <c r="B23" s="19">
        <v>177</v>
      </c>
      <c r="C23" s="36" t="s">
        <v>29</v>
      </c>
      <c r="D23" s="37">
        <v>4511833800</v>
      </c>
      <c r="E23" s="45"/>
      <c r="F23" s="38">
        <f>+D23</f>
        <v>4511833800</v>
      </c>
      <c r="G23" s="38"/>
      <c r="H23" s="34"/>
      <c r="I23" s="34">
        <f>+I21*0.2</f>
        <v>3007889200</v>
      </c>
      <c r="J23" s="41">
        <f>+D22</f>
        <v>3007889200</v>
      </c>
      <c r="K23" s="34">
        <f t="shared" ref="K23:K24" si="8">+J23-I23</f>
        <v>0</v>
      </c>
      <c r="L23" s="34">
        <f t="shared" si="4"/>
        <v>3007889000</v>
      </c>
      <c r="M23" s="34">
        <f t="shared" ref="M23:M30" si="9">+J23-L23</f>
        <v>200</v>
      </c>
      <c r="N23" s="34"/>
      <c r="O23" s="34"/>
      <c r="P23" s="34"/>
      <c r="Q23" s="34"/>
      <c r="R23" s="34"/>
      <c r="S23" s="34"/>
      <c r="T23" s="34"/>
      <c r="U23" s="34"/>
      <c r="V23" s="34"/>
      <c r="W23" s="34">
        <f t="shared" si="7"/>
        <v>5369082222</v>
      </c>
      <c r="X23" s="45"/>
      <c r="Y23" s="38">
        <f>+W23</f>
        <v>5369082222</v>
      </c>
      <c r="Z23" s="38"/>
      <c r="AA23" s="34">
        <f t="shared" si="5"/>
        <v>6389207844.1799994</v>
      </c>
      <c r="AB23" s="45"/>
      <c r="AC23" s="38">
        <f>+AA23</f>
        <v>6389207844.1799994</v>
      </c>
      <c r="AD23" s="38"/>
      <c r="AE23" s="34">
        <f t="shared" si="6"/>
        <v>7603157334.5741987</v>
      </c>
      <c r="AF23" s="45"/>
      <c r="AG23" s="38">
        <f>+AE23</f>
        <v>7603157334.5741987</v>
      </c>
      <c r="AH23" s="38"/>
      <c r="AI23" s="34" t="s">
        <v>117</v>
      </c>
      <c r="AJ23" s="2" t="s">
        <v>136</v>
      </c>
    </row>
    <row r="24" spans="1:36" ht="14.4" x14ac:dyDescent="0.3">
      <c r="A24" s="2" t="s">
        <v>105</v>
      </c>
      <c r="B24" s="19">
        <v>5</v>
      </c>
      <c r="C24" s="36" t="s">
        <v>30</v>
      </c>
      <c r="D24" s="37">
        <v>633364200</v>
      </c>
      <c r="E24" s="38"/>
      <c r="F24" s="38">
        <f>+D24</f>
        <v>633364200</v>
      </c>
      <c r="G24" s="38"/>
      <c r="H24" s="34"/>
      <c r="I24" s="34">
        <f>+I21*0.3</f>
        <v>4511833800</v>
      </c>
      <c r="J24" s="41">
        <f>+D23</f>
        <v>4511833800</v>
      </c>
      <c r="K24" s="34">
        <f t="shared" si="8"/>
        <v>0</v>
      </c>
      <c r="L24" s="34">
        <f t="shared" si="4"/>
        <v>4511834000</v>
      </c>
      <c r="M24" s="34">
        <f t="shared" si="9"/>
        <v>-200</v>
      </c>
      <c r="N24" s="34"/>
      <c r="O24" s="34"/>
      <c r="P24" s="34"/>
      <c r="Q24" s="34"/>
      <c r="R24" s="34"/>
      <c r="S24" s="34"/>
      <c r="T24" s="34"/>
      <c r="U24" s="34"/>
      <c r="V24" s="34"/>
      <c r="W24" s="34">
        <f t="shared" si="7"/>
        <v>753703398</v>
      </c>
      <c r="X24" s="38"/>
      <c r="Y24" s="38">
        <f>+W24</f>
        <v>753703398</v>
      </c>
      <c r="Z24" s="38"/>
      <c r="AA24" s="34">
        <f t="shared" si="5"/>
        <v>896907043.62</v>
      </c>
      <c r="AB24" s="38"/>
      <c r="AC24" s="38">
        <f>+AA24</f>
        <v>896907043.62</v>
      </c>
      <c r="AD24" s="38"/>
      <c r="AE24" s="34">
        <f t="shared" si="6"/>
        <v>1067319381.9078</v>
      </c>
      <c r="AF24" s="38"/>
      <c r="AG24" s="38">
        <f>+AE24</f>
        <v>1067319381.9078</v>
      </c>
      <c r="AH24" s="38"/>
      <c r="AI24" s="34" t="s">
        <v>117</v>
      </c>
      <c r="AJ24" s="2" t="s">
        <v>136</v>
      </c>
    </row>
    <row r="25" spans="1:36" ht="14.4" x14ac:dyDescent="0.3">
      <c r="A25" s="2" t="s">
        <v>105</v>
      </c>
      <c r="B25" s="19">
        <v>33</v>
      </c>
      <c r="C25" s="36" t="s">
        <v>31</v>
      </c>
      <c r="D25" s="37">
        <v>316682100</v>
      </c>
      <c r="E25" s="38">
        <f>+D25</f>
        <v>316682100</v>
      </c>
      <c r="F25" s="38"/>
      <c r="G25" s="39"/>
      <c r="H25" s="47"/>
      <c r="I25" s="34">
        <f>+D24+D25+D26+D27+D28</f>
        <v>3166821000</v>
      </c>
      <c r="J25" s="41"/>
      <c r="K25" s="34"/>
      <c r="L25" s="34">
        <f t="shared" si="4"/>
        <v>3166821000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>
        <f t="shared" si="7"/>
        <v>376851699</v>
      </c>
      <c r="X25" s="38">
        <f>+W25</f>
        <v>376851699</v>
      </c>
      <c r="Y25" s="38"/>
      <c r="Z25" s="39"/>
      <c r="AA25" s="34">
        <f t="shared" si="5"/>
        <v>448453521.81</v>
      </c>
      <c r="AB25" s="38">
        <f>+AA25</f>
        <v>448453521.81</v>
      </c>
      <c r="AC25" s="38"/>
      <c r="AD25" s="39"/>
      <c r="AE25" s="34">
        <f t="shared" si="6"/>
        <v>533659690.95389998</v>
      </c>
      <c r="AF25" s="38">
        <f>+AE25</f>
        <v>533659690.95389998</v>
      </c>
      <c r="AG25" s="38"/>
      <c r="AH25" s="39"/>
      <c r="AI25" s="34" t="s">
        <v>117</v>
      </c>
      <c r="AJ25" s="2" t="s">
        <v>136</v>
      </c>
    </row>
    <row r="26" spans="1:36" ht="14.4" x14ac:dyDescent="0.3">
      <c r="A26" s="2" t="s">
        <v>105</v>
      </c>
      <c r="B26" s="19">
        <v>34</v>
      </c>
      <c r="C26" s="36" t="s">
        <v>32</v>
      </c>
      <c r="D26" s="37">
        <v>316682100</v>
      </c>
      <c r="E26" s="38">
        <f>+D26</f>
        <v>316682100</v>
      </c>
      <c r="F26" s="38"/>
      <c r="G26" s="39"/>
      <c r="H26" s="47"/>
      <c r="I26" s="34">
        <f>+I25*0.1</f>
        <v>316682100</v>
      </c>
      <c r="J26" s="41">
        <f>+D25</f>
        <v>316682100</v>
      </c>
      <c r="K26" s="34">
        <f>+I26-J26</f>
        <v>0</v>
      </c>
      <c r="L26" s="34">
        <f>MROUND(I26,1000)</f>
        <v>316682000</v>
      </c>
      <c r="M26" s="34">
        <f t="shared" si="9"/>
        <v>100</v>
      </c>
      <c r="N26" s="34"/>
      <c r="O26" s="34"/>
      <c r="P26" s="34"/>
      <c r="Q26" s="34"/>
      <c r="R26" s="34"/>
      <c r="S26" s="34"/>
      <c r="T26" s="34"/>
      <c r="U26" s="34"/>
      <c r="V26" s="34"/>
      <c r="W26" s="34">
        <f t="shared" si="7"/>
        <v>376851699</v>
      </c>
      <c r="X26" s="38">
        <f>+W26</f>
        <v>376851699</v>
      </c>
      <c r="Y26" s="38"/>
      <c r="Z26" s="39"/>
      <c r="AA26" s="34">
        <f t="shared" si="5"/>
        <v>448453521.81</v>
      </c>
      <c r="AB26" s="38">
        <f>+AA26</f>
        <v>448453521.81</v>
      </c>
      <c r="AC26" s="38"/>
      <c r="AD26" s="39"/>
      <c r="AE26" s="34">
        <f t="shared" si="6"/>
        <v>533659690.95389998</v>
      </c>
      <c r="AF26" s="38">
        <f>+AE26</f>
        <v>533659690.95389998</v>
      </c>
      <c r="AG26" s="38"/>
      <c r="AH26" s="39"/>
      <c r="AI26" s="34" t="s">
        <v>117</v>
      </c>
      <c r="AJ26" s="2" t="s">
        <v>136</v>
      </c>
    </row>
    <row r="27" spans="1:36" ht="14.4" x14ac:dyDescent="0.3">
      <c r="A27" s="2" t="s">
        <v>105</v>
      </c>
      <c r="B27" s="19">
        <v>39</v>
      </c>
      <c r="C27" s="36" t="s">
        <v>33</v>
      </c>
      <c r="D27" s="37">
        <v>1583410500</v>
      </c>
      <c r="E27" s="38">
        <f>+D27</f>
        <v>1583410500</v>
      </c>
      <c r="F27" s="38"/>
      <c r="G27" s="38"/>
      <c r="H27" s="34"/>
      <c r="I27" s="34">
        <f>+I25*0.1</f>
        <v>316682100</v>
      </c>
      <c r="J27" s="41">
        <f>+D26</f>
        <v>316682100</v>
      </c>
      <c r="K27" s="34">
        <f t="shared" ref="K27:K30" si="10">+I27-J27</f>
        <v>0</v>
      </c>
      <c r="L27" s="34">
        <f t="shared" ref="L27:L33" si="11">MROUND(I27,1000)</f>
        <v>316682000</v>
      </c>
      <c r="M27" s="34">
        <f t="shared" si="9"/>
        <v>100</v>
      </c>
      <c r="N27" s="34"/>
      <c r="O27" s="34"/>
      <c r="P27" s="34"/>
      <c r="Q27" s="34"/>
      <c r="R27" s="34"/>
      <c r="S27" s="34"/>
      <c r="T27" s="34"/>
      <c r="U27" s="34"/>
      <c r="V27" s="34"/>
      <c r="W27" s="34">
        <f t="shared" si="7"/>
        <v>1884258495</v>
      </c>
      <c r="X27" s="38">
        <f>+W27</f>
        <v>1884258495</v>
      </c>
      <c r="Y27" s="38"/>
      <c r="Z27" s="38"/>
      <c r="AA27" s="34">
        <f t="shared" si="5"/>
        <v>2242267609.0499997</v>
      </c>
      <c r="AB27" s="38">
        <f>+AA27</f>
        <v>2242267609.0499997</v>
      </c>
      <c r="AC27" s="38"/>
      <c r="AD27" s="38"/>
      <c r="AE27" s="34">
        <f t="shared" si="6"/>
        <v>2668298454.7694993</v>
      </c>
      <c r="AF27" s="38">
        <f>+AE27</f>
        <v>2668298454.7694993</v>
      </c>
      <c r="AG27" s="38"/>
      <c r="AH27" s="38"/>
      <c r="AI27" s="34" t="s">
        <v>117</v>
      </c>
      <c r="AJ27" s="2" t="s">
        <v>136</v>
      </c>
    </row>
    <row r="28" spans="1:36" ht="14.4" x14ac:dyDescent="0.3">
      <c r="A28" s="2" t="s">
        <v>105</v>
      </c>
      <c r="B28" s="19">
        <v>41</v>
      </c>
      <c r="C28" s="36" t="s">
        <v>34</v>
      </c>
      <c r="D28" s="37">
        <v>316682100</v>
      </c>
      <c r="E28" s="45">
        <f>+D28</f>
        <v>316682100</v>
      </c>
      <c r="F28" s="38"/>
      <c r="G28" s="39"/>
      <c r="H28" s="47"/>
      <c r="I28" s="34">
        <f>+I25*0.1</f>
        <v>316682100</v>
      </c>
      <c r="J28" s="41">
        <f>+D28</f>
        <v>316682100</v>
      </c>
      <c r="K28" s="34">
        <f t="shared" si="10"/>
        <v>0</v>
      </c>
      <c r="L28" s="34">
        <f t="shared" si="11"/>
        <v>316682000</v>
      </c>
      <c r="M28" s="34">
        <f t="shared" si="9"/>
        <v>100</v>
      </c>
      <c r="N28" s="34"/>
      <c r="O28" s="34"/>
      <c r="P28" s="34"/>
      <c r="Q28" s="34"/>
      <c r="R28" s="34"/>
      <c r="S28" s="34"/>
      <c r="T28" s="34"/>
      <c r="U28" s="34"/>
      <c r="V28" s="34"/>
      <c r="W28" s="34">
        <f t="shared" si="7"/>
        <v>376851699</v>
      </c>
      <c r="X28" s="45">
        <f>+W28</f>
        <v>376851699</v>
      </c>
      <c r="Y28" s="38"/>
      <c r="Z28" s="39"/>
      <c r="AA28" s="34">
        <f t="shared" si="5"/>
        <v>448453521.81</v>
      </c>
      <c r="AB28" s="45">
        <f>+AA28</f>
        <v>448453521.81</v>
      </c>
      <c r="AC28" s="38"/>
      <c r="AD28" s="39"/>
      <c r="AE28" s="34">
        <f t="shared" si="6"/>
        <v>533659690.95389998</v>
      </c>
      <c r="AF28" s="45">
        <f>+AE28</f>
        <v>533659690.95389998</v>
      </c>
      <c r="AG28" s="38"/>
      <c r="AH28" s="39"/>
      <c r="AI28" s="34" t="s">
        <v>117</v>
      </c>
      <c r="AJ28" s="2" t="s">
        <v>136</v>
      </c>
    </row>
    <row r="29" spans="1:36" ht="14.4" x14ac:dyDescent="0.3">
      <c r="A29" s="2" t="s">
        <v>105</v>
      </c>
      <c r="B29" s="19">
        <v>6</v>
      </c>
      <c r="C29" s="36" t="s">
        <v>35</v>
      </c>
      <c r="D29" s="37">
        <v>5997301600</v>
      </c>
      <c r="E29" s="38">
        <f>+D29</f>
        <v>5997301600</v>
      </c>
      <c r="F29" s="38"/>
      <c r="G29" s="38"/>
      <c r="H29" s="34"/>
      <c r="I29" s="34">
        <f>+I25*0.2</f>
        <v>633364200</v>
      </c>
      <c r="J29" s="41">
        <f>+D24</f>
        <v>633364200</v>
      </c>
      <c r="K29" s="34">
        <f t="shared" si="10"/>
        <v>0</v>
      </c>
      <c r="L29" s="34">
        <f t="shared" si="11"/>
        <v>633364000</v>
      </c>
      <c r="M29" s="34">
        <f t="shared" si="9"/>
        <v>200</v>
      </c>
      <c r="N29" s="34"/>
      <c r="O29" s="34"/>
      <c r="P29" s="34"/>
      <c r="Q29" s="34"/>
      <c r="R29" s="34"/>
      <c r="S29" s="34"/>
      <c r="T29" s="34"/>
      <c r="U29" s="34"/>
      <c r="V29" s="34"/>
      <c r="W29" s="34">
        <f t="shared" si="7"/>
        <v>7136788904</v>
      </c>
      <c r="X29" s="38">
        <f>+W29</f>
        <v>7136788904</v>
      </c>
      <c r="Y29" s="38"/>
      <c r="Z29" s="38"/>
      <c r="AA29" s="34">
        <f t="shared" si="5"/>
        <v>8492778795.7599993</v>
      </c>
      <c r="AB29" s="38">
        <f>+AA29</f>
        <v>8492778795.7599993</v>
      </c>
      <c r="AC29" s="38"/>
      <c r="AD29" s="38"/>
      <c r="AE29" s="34">
        <f t="shared" si="6"/>
        <v>10106406766.954399</v>
      </c>
      <c r="AF29" s="38">
        <f>+AE29</f>
        <v>10106406766.954399</v>
      </c>
      <c r="AG29" s="38"/>
      <c r="AH29" s="38"/>
      <c r="AI29" s="34" t="s">
        <v>117</v>
      </c>
      <c r="AJ29" s="2" t="s">
        <v>136</v>
      </c>
    </row>
    <row r="30" spans="1:36" ht="14.4" x14ac:dyDescent="0.3">
      <c r="A30" s="2" t="s">
        <v>105</v>
      </c>
      <c r="B30" s="19">
        <v>178</v>
      </c>
      <c r="C30" s="36" t="s">
        <v>36</v>
      </c>
      <c r="D30" s="37">
        <v>1499325400</v>
      </c>
      <c r="E30" s="38"/>
      <c r="F30" s="38">
        <f>+D30</f>
        <v>1499325400</v>
      </c>
      <c r="G30" s="39"/>
      <c r="H30" s="47"/>
      <c r="I30" s="34">
        <f>+I25*0.5</f>
        <v>1583410500</v>
      </c>
      <c r="J30" s="41">
        <f>+D27</f>
        <v>1583410500</v>
      </c>
      <c r="K30" s="34">
        <f t="shared" si="10"/>
        <v>0</v>
      </c>
      <c r="L30" s="34">
        <f t="shared" si="11"/>
        <v>1583411000</v>
      </c>
      <c r="M30" s="34">
        <f t="shared" si="9"/>
        <v>-500</v>
      </c>
      <c r="N30" s="34"/>
      <c r="O30" s="34"/>
      <c r="P30" s="34">
        <f>MROUND(P31,1000)</f>
        <v>7496627000</v>
      </c>
      <c r="Q30" s="34"/>
      <c r="R30" s="34"/>
      <c r="S30" s="34">
        <v>5998098000</v>
      </c>
      <c r="T30" s="34">
        <f>MROUND((P30*0.8),1000)</f>
        <v>5997302000</v>
      </c>
      <c r="U30" s="34"/>
      <c r="V30" s="34"/>
      <c r="W30" s="34">
        <f t="shared" si="7"/>
        <v>1784197226</v>
      </c>
      <c r="X30" s="38"/>
      <c r="Y30" s="38">
        <f>+W30</f>
        <v>1784197226</v>
      </c>
      <c r="Z30" s="39"/>
      <c r="AA30" s="34">
        <f t="shared" si="5"/>
        <v>2123194698.9399998</v>
      </c>
      <c r="AB30" s="38"/>
      <c r="AC30" s="38">
        <f>+AA30</f>
        <v>2123194698.9399998</v>
      </c>
      <c r="AD30" s="39"/>
      <c r="AE30" s="34">
        <f t="shared" si="6"/>
        <v>2526601691.7385998</v>
      </c>
      <c r="AF30" s="38"/>
      <c r="AG30" s="38">
        <f>+AE30</f>
        <v>2526601691.7385998</v>
      </c>
      <c r="AH30" s="39"/>
      <c r="AI30" s="34" t="s">
        <v>117</v>
      </c>
      <c r="AJ30" s="2" t="s">
        <v>136</v>
      </c>
    </row>
    <row r="31" spans="1:36" s="21" customFormat="1" ht="14.4" x14ac:dyDescent="0.3">
      <c r="A31" s="2" t="s">
        <v>105</v>
      </c>
      <c r="B31" s="19">
        <v>8</v>
      </c>
      <c r="C31" s="36" t="s">
        <v>37</v>
      </c>
      <c r="D31" s="37">
        <f>MROUND('[1]F Y U 2024 Presupuesto'!C31,1000)</f>
        <v>12506483000</v>
      </c>
      <c r="E31" s="45"/>
      <c r="F31" s="38">
        <f>+D31</f>
        <v>12506483000</v>
      </c>
      <c r="G31" s="39"/>
      <c r="H31" s="47"/>
      <c r="I31" s="43">
        <f>+D29+D30</f>
        <v>7496627000</v>
      </c>
      <c r="J31" s="49"/>
      <c r="K31" s="43"/>
      <c r="L31" s="34">
        <f t="shared" si="11"/>
        <v>7496627000</v>
      </c>
      <c r="M31" s="43">
        <f>+D29</f>
        <v>5997301600</v>
      </c>
      <c r="N31" s="43">
        <f>+L33-M31</f>
        <v>400</v>
      </c>
      <c r="O31" s="43"/>
      <c r="P31" s="43">
        <f>+M31/80*100</f>
        <v>7496627000</v>
      </c>
      <c r="Q31" s="43">
        <f>+L31-P31</f>
        <v>0</v>
      </c>
      <c r="R31" s="43"/>
      <c r="S31" s="43">
        <v>1498529000</v>
      </c>
      <c r="T31" s="34">
        <f>MROUND((P31*0.2),1000)</f>
        <v>1499325000</v>
      </c>
      <c r="U31" s="43">
        <f>+S31-T31</f>
        <v>-796000</v>
      </c>
      <c r="V31" s="43"/>
      <c r="W31" s="34">
        <f t="shared" si="7"/>
        <v>14882714770</v>
      </c>
      <c r="X31" s="45"/>
      <c r="Y31" s="38">
        <f>+W31</f>
        <v>14882714770</v>
      </c>
      <c r="Z31" s="39"/>
      <c r="AA31" s="34">
        <f t="shared" si="5"/>
        <v>17710430576.299999</v>
      </c>
      <c r="AB31" s="45"/>
      <c r="AC31" s="38">
        <f>+AA31</f>
        <v>17710430576.299999</v>
      </c>
      <c r="AD31" s="39"/>
      <c r="AE31" s="34">
        <f t="shared" si="6"/>
        <v>21075412385.796997</v>
      </c>
      <c r="AF31" s="45"/>
      <c r="AG31" s="38">
        <f>+AE31</f>
        <v>21075412385.796997</v>
      </c>
      <c r="AH31" s="39"/>
      <c r="AI31" s="34" t="s">
        <v>117</v>
      </c>
      <c r="AJ31" s="2" t="s">
        <v>136</v>
      </c>
    </row>
    <row r="32" spans="1:36" ht="14.4" x14ac:dyDescent="0.3">
      <c r="A32" s="2" t="s">
        <v>105</v>
      </c>
      <c r="B32" s="19">
        <v>20</v>
      </c>
      <c r="C32" s="36" t="s">
        <v>38</v>
      </c>
      <c r="D32" s="37">
        <f>MROUND('[1]F Y U 2024 Presupuesto'!C32,1000)</f>
        <v>40000000</v>
      </c>
      <c r="E32" s="38"/>
      <c r="F32" s="38"/>
      <c r="G32" s="39">
        <f>+D32</f>
        <v>40000000</v>
      </c>
      <c r="H32" s="44"/>
      <c r="I32" s="34">
        <f>+I31*0.2</f>
        <v>1499325400</v>
      </c>
      <c r="J32" s="41"/>
      <c r="K32" s="34"/>
      <c r="L32" s="34">
        <f t="shared" si="11"/>
        <v>1499325000</v>
      </c>
      <c r="M32" s="34">
        <f>+D30</f>
        <v>1499325400</v>
      </c>
      <c r="N32" s="34">
        <f>+L32-M32</f>
        <v>-400</v>
      </c>
      <c r="O32" s="34"/>
      <c r="P32" s="34">
        <f>+P31*0.8</f>
        <v>5997301600</v>
      </c>
      <c r="Q32" s="34"/>
      <c r="R32" s="34"/>
      <c r="S32" s="34"/>
      <c r="T32" s="34">
        <f>+T30+T31</f>
        <v>7496627000</v>
      </c>
      <c r="U32" s="34"/>
      <c r="V32" s="34"/>
      <c r="W32" s="34">
        <f>+D32*1.05</f>
        <v>42000000</v>
      </c>
      <c r="X32" s="38"/>
      <c r="Y32" s="38"/>
      <c r="Z32" s="39">
        <f>+W32</f>
        <v>42000000</v>
      </c>
      <c r="AA32" s="34">
        <f>+W32*1.05</f>
        <v>44100000</v>
      </c>
      <c r="AB32" s="38"/>
      <c r="AC32" s="38"/>
      <c r="AD32" s="39">
        <f>+AA32</f>
        <v>44100000</v>
      </c>
      <c r="AE32" s="34">
        <f>+AA32*1.05</f>
        <v>46305000</v>
      </c>
      <c r="AF32" s="38"/>
      <c r="AG32" s="38"/>
      <c r="AH32" s="39">
        <f>+AE32</f>
        <v>46305000</v>
      </c>
      <c r="AI32" s="34" t="s">
        <v>119</v>
      </c>
      <c r="AJ32" s="2" t="s">
        <v>138</v>
      </c>
    </row>
    <row r="33" spans="1:36" ht="14.4" x14ac:dyDescent="0.3">
      <c r="A33" s="2" t="s">
        <v>105</v>
      </c>
      <c r="B33" s="19">
        <v>190</v>
      </c>
      <c r="C33" s="36" t="s">
        <v>39</v>
      </c>
      <c r="D33" s="37">
        <f>MROUND('[1]F Y U 2024 Presupuesto'!C33,1000)</f>
        <v>2082326000</v>
      </c>
      <c r="E33" s="38"/>
      <c r="F33" s="38">
        <f>+D33</f>
        <v>2082326000</v>
      </c>
      <c r="G33" s="39"/>
      <c r="H33" s="47"/>
      <c r="I33" s="34">
        <f>+I31*0.8</f>
        <v>5997301600</v>
      </c>
      <c r="J33" s="41"/>
      <c r="K33" s="34"/>
      <c r="L33" s="34">
        <f t="shared" si="11"/>
        <v>5997302000</v>
      </c>
      <c r="M33" s="34"/>
      <c r="N33" s="34">
        <f>+L33-M31</f>
        <v>400</v>
      </c>
      <c r="O33" s="34"/>
      <c r="P33" s="34">
        <f>+P31*0.2</f>
        <v>1499325400</v>
      </c>
      <c r="Q33" s="34"/>
      <c r="R33" s="34"/>
      <c r="S33" s="34"/>
      <c r="T33" s="34"/>
      <c r="U33" s="34"/>
      <c r="V33" s="34"/>
      <c r="W33" s="34">
        <f t="shared" si="7"/>
        <v>2477967940</v>
      </c>
      <c r="X33" s="38"/>
      <c r="Y33" s="38">
        <f>+W33</f>
        <v>2477967940</v>
      </c>
      <c r="Z33" s="39"/>
      <c r="AA33" s="34">
        <f>+W33*1.19</f>
        <v>2948781848.5999999</v>
      </c>
      <c r="AB33" s="38"/>
      <c r="AC33" s="38">
        <f>+AA33</f>
        <v>2948781848.5999999</v>
      </c>
      <c r="AD33" s="39"/>
      <c r="AE33" s="34">
        <f>+AA33*1.19</f>
        <v>3509050399.8339996</v>
      </c>
      <c r="AF33" s="38"/>
      <c r="AG33" s="38">
        <f>+AE33</f>
        <v>3509050399.8339996</v>
      </c>
      <c r="AH33" s="39"/>
      <c r="AI33" s="34" t="s">
        <v>111</v>
      </c>
      <c r="AJ33" s="2" t="s">
        <v>136</v>
      </c>
    </row>
    <row r="34" spans="1:36" ht="14.4" x14ac:dyDescent="0.3">
      <c r="A34" s="2" t="s">
        <v>105</v>
      </c>
      <c r="B34" s="19">
        <v>20</v>
      </c>
      <c r="C34" s="36" t="s">
        <v>40</v>
      </c>
      <c r="D34" s="37">
        <f>MROUND('[1]F Y U 2024 Presupuesto'!C34,1000)</f>
        <v>210000000</v>
      </c>
      <c r="E34" s="38"/>
      <c r="F34" s="38"/>
      <c r="G34" s="39">
        <f>+D34</f>
        <v>210000000</v>
      </c>
      <c r="H34" s="44"/>
      <c r="I34" s="34"/>
      <c r="J34" s="41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>
        <f t="shared" ref="W34:W43" si="12">+D34*1.05</f>
        <v>220500000</v>
      </c>
      <c r="X34" s="38"/>
      <c r="Y34" s="38"/>
      <c r="Z34" s="39">
        <f>+W34</f>
        <v>220500000</v>
      </c>
      <c r="AA34" s="34">
        <f t="shared" ref="AA34:AA43" si="13">+W34*1.05</f>
        <v>231525000</v>
      </c>
      <c r="AB34" s="38"/>
      <c r="AC34" s="38"/>
      <c r="AD34" s="39">
        <f>+AA34</f>
        <v>231525000</v>
      </c>
      <c r="AE34" s="34">
        <f t="shared" ref="AE34:AE43" si="14">+AA34*1.05</f>
        <v>243101250</v>
      </c>
      <c r="AF34" s="38"/>
      <c r="AG34" s="38"/>
      <c r="AH34" s="39">
        <f>+AE34</f>
        <v>243101250</v>
      </c>
      <c r="AI34" s="34" t="s">
        <v>121</v>
      </c>
      <c r="AJ34" s="2" t="s">
        <v>136</v>
      </c>
    </row>
    <row r="35" spans="1:36" ht="14.4" x14ac:dyDescent="0.3">
      <c r="A35" s="2" t="s">
        <v>105</v>
      </c>
      <c r="B35" s="19">
        <v>20</v>
      </c>
      <c r="C35" s="36" t="s">
        <v>41</v>
      </c>
      <c r="D35" s="37">
        <f>MROUND('[1]F Y U 2024 Presupuesto'!C35,1000)</f>
        <v>40000000</v>
      </c>
      <c r="E35" s="38"/>
      <c r="F35" s="38"/>
      <c r="G35" s="39">
        <f>+D35</f>
        <v>40000000</v>
      </c>
      <c r="H35" s="44" t="s">
        <v>42</v>
      </c>
      <c r="I35" s="34"/>
      <c r="J35" s="4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>
        <f t="shared" si="12"/>
        <v>42000000</v>
      </c>
      <c r="X35" s="38"/>
      <c r="Y35" s="38"/>
      <c r="Z35" s="39">
        <f>+W35</f>
        <v>42000000</v>
      </c>
      <c r="AA35" s="34">
        <f t="shared" si="13"/>
        <v>44100000</v>
      </c>
      <c r="AB35" s="38"/>
      <c r="AC35" s="38"/>
      <c r="AD35" s="39">
        <f>+AA35</f>
        <v>44100000</v>
      </c>
      <c r="AE35" s="34">
        <f t="shared" si="14"/>
        <v>46305000</v>
      </c>
      <c r="AF35" s="38"/>
      <c r="AG35" s="38"/>
      <c r="AH35" s="39">
        <f>+AE35</f>
        <v>46305000</v>
      </c>
      <c r="AI35" s="34" t="s">
        <v>121</v>
      </c>
      <c r="AJ35" s="2" t="s">
        <v>136</v>
      </c>
    </row>
    <row r="36" spans="1:36" ht="14.4" x14ac:dyDescent="0.3">
      <c r="A36" s="2" t="s">
        <v>105</v>
      </c>
      <c r="B36" s="19">
        <v>49</v>
      </c>
      <c r="C36" s="36" t="s">
        <v>43</v>
      </c>
      <c r="D36" s="37">
        <f>MROUND('[1]F Y U 2024 Presupuesto'!C36,1000)</f>
        <v>726530000</v>
      </c>
      <c r="E36" s="38"/>
      <c r="F36" s="38">
        <f>+D36</f>
        <v>726530000</v>
      </c>
      <c r="G36" s="39"/>
      <c r="H36" s="47"/>
      <c r="I36" s="34" t="s">
        <v>44</v>
      </c>
      <c r="J36" s="41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>
        <f t="shared" si="12"/>
        <v>762856500</v>
      </c>
      <c r="X36" s="38"/>
      <c r="Y36" s="38">
        <f>+W36</f>
        <v>762856500</v>
      </c>
      <c r="Z36" s="39"/>
      <c r="AA36" s="34">
        <f t="shared" si="13"/>
        <v>800999325</v>
      </c>
      <c r="AB36" s="38"/>
      <c r="AC36" s="38">
        <f>+AA36</f>
        <v>800999325</v>
      </c>
      <c r="AD36" s="39"/>
      <c r="AE36" s="34">
        <f t="shared" si="14"/>
        <v>841049291.25</v>
      </c>
      <c r="AF36" s="38"/>
      <c r="AG36" s="38">
        <f>+AE36</f>
        <v>841049291.25</v>
      </c>
      <c r="AH36" s="39"/>
      <c r="AI36" s="34" t="s">
        <v>133</v>
      </c>
      <c r="AJ36" s="2" t="s">
        <v>136</v>
      </c>
    </row>
    <row r="37" spans="1:36" ht="14.4" x14ac:dyDescent="0.3">
      <c r="A37" s="2" t="s">
        <v>105</v>
      </c>
      <c r="B37" s="19">
        <v>133</v>
      </c>
      <c r="C37" s="36" t="s">
        <v>45</v>
      </c>
      <c r="D37" s="37">
        <f>MROUND('[1]F Y U 2024 Presupuesto'!C37,1000)</f>
        <v>8000000000</v>
      </c>
      <c r="E37" s="38"/>
      <c r="F37" s="38">
        <f>D37</f>
        <v>8000000000</v>
      </c>
      <c r="G37" s="39">
        <v>0</v>
      </c>
      <c r="H37" s="47"/>
      <c r="I37" s="34"/>
      <c r="J37" s="41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>
        <f t="shared" si="12"/>
        <v>8400000000</v>
      </c>
      <c r="X37" s="38"/>
      <c r="Y37" s="38">
        <f>W37</f>
        <v>8400000000</v>
      </c>
      <c r="Z37" s="39">
        <v>0</v>
      </c>
      <c r="AA37" s="34">
        <f t="shared" si="13"/>
        <v>8820000000</v>
      </c>
      <c r="AB37" s="38"/>
      <c r="AC37" s="38">
        <f>AA37</f>
        <v>8820000000</v>
      </c>
      <c r="AD37" s="39">
        <v>0</v>
      </c>
      <c r="AE37" s="34">
        <f t="shared" si="14"/>
        <v>9261000000</v>
      </c>
      <c r="AF37" s="38"/>
      <c r="AG37" s="38">
        <f>AE37</f>
        <v>9261000000</v>
      </c>
      <c r="AH37" s="39">
        <v>0</v>
      </c>
      <c r="AI37" s="34" t="s">
        <v>133</v>
      </c>
      <c r="AJ37" s="2" t="s">
        <v>136</v>
      </c>
    </row>
    <row r="38" spans="1:36" ht="14.4" x14ac:dyDescent="0.3">
      <c r="A38" s="2" t="s">
        <v>105</v>
      </c>
      <c r="B38" s="19">
        <v>20</v>
      </c>
      <c r="C38" s="36" t="s">
        <v>46</v>
      </c>
      <c r="D38" s="37">
        <f>MROUND('[1]F Y U 2024 Presupuesto'!C38,1000)</f>
        <v>30000000</v>
      </c>
      <c r="E38" s="38"/>
      <c r="F38" s="38"/>
      <c r="G38" s="39">
        <f>+D38</f>
        <v>30000000</v>
      </c>
      <c r="H38" s="44"/>
      <c r="I38" s="34"/>
      <c r="J38" s="41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>
        <f t="shared" si="12"/>
        <v>31500000</v>
      </c>
      <c r="X38" s="38"/>
      <c r="Y38" s="38"/>
      <c r="Z38" s="39">
        <f>+W38</f>
        <v>31500000</v>
      </c>
      <c r="AA38" s="34">
        <f t="shared" si="13"/>
        <v>33075000</v>
      </c>
      <c r="AB38" s="38"/>
      <c r="AC38" s="38"/>
      <c r="AD38" s="39">
        <f>+AA38</f>
        <v>33075000</v>
      </c>
      <c r="AE38" s="34">
        <f t="shared" si="14"/>
        <v>34728750</v>
      </c>
      <c r="AF38" s="38"/>
      <c r="AG38" s="38"/>
      <c r="AH38" s="39">
        <f>+AE38</f>
        <v>34728750</v>
      </c>
      <c r="AI38" s="34" t="s">
        <v>121</v>
      </c>
      <c r="AJ38" s="2" t="s">
        <v>136</v>
      </c>
    </row>
    <row r="39" spans="1:36" s="21" customFormat="1" ht="14.4" x14ac:dyDescent="0.3">
      <c r="A39" s="2" t="s">
        <v>105</v>
      </c>
      <c r="B39" s="19">
        <v>35</v>
      </c>
      <c r="C39" s="36" t="s">
        <v>47</v>
      </c>
      <c r="D39" s="37">
        <f>MROUND('[1]F Y U 2024 Presupuesto'!C39,1000)</f>
        <v>5174318000</v>
      </c>
      <c r="E39" s="38">
        <f>+D39</f>
        <v>5174318000</v>
      </c>
      <c r="F39" s="38"/>
      <c r="G39" s="39"/>
      <c r="H39" s="47"/>
      <c r="I39" s="43"/>
      <c r="J39" s="49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34">
        <f t="shared" si="12"/>
        <v>5433033900</v>
      </c>
      <c r="X39" s="38">
        <f>+W39</f>
        <v>5433033900</v>
      </c>
      <c r="Y39" s="38"/>
      <c r="Z39" s="39"/>
      <c r="AA39" s="34">
        <f t="shared" si="13"/>
        <v>5704685595</v>
      </c>
      <c r="AB39" s="38">
        <f>+AA39</f>
        <v>5704685595</v>
      </c>
      <c r="AC39" s="38"/>
      <c r="AD39" s="39"/>
      <c r="AE39" s="34">
        <f t="shared" si="14"/>
        <v>5989919874.75</v>
      </c>
      <c r="AF39" s="38">
        <f>+AE39</f>
        <v>5989919874.75</v>
      </c>
      <c r="AG39" s="38"/>
      <c r="AH39" s="39"/>
      <c r="AI39" s="34" t="s">
        <v>88</v>
      </c>
      <c r="AJ39" s="2" t="s">
        <v>136</v>
      </c>
    </row>
    <row r="40" spans="1:36" s="21" customFormat="1" ht="14.4" x14ac:dyDescent="0.3">
      <c r="A40" s="2" t="s">
        <v>105</v>
      </c>
      <c r="B40" s="19">
        <v>179</v>
      </c>
      <c r="C40" s="36" t="s">
        <v>48</v>
      </c>
      <c r="D40" s="37">
        <f>MROUND('[1]F Y U 2024 Presupuesto'!C40,1000)</f>
        <v>1108110000</v>
      </c>
      <c r="E40" s="38"/>
      <c r="F40" s="38">
        <f>+D40</f>
        <v>1108110000</v>
      </c>
      <c r="G40" s="38"/>
      <c r="H40" s="50"/>
      <c r="I40" s="43">
        <f>+D39+D40+D42</f>
        <v>23283758000</v>
      </c>
      <c r="J40" s="49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34">
        <f t="shared" si="12"/>
        <v>1163515500</v>
      </c>
      <c r="X40" s="38"/>
      <c r="Y40" s="38">
        <f>+W40</f>
        <v>1163515500</v>
      </c>
      <c r="Z40" s="38"/>
      <c r="AA40" s="34">
        <f t="shared" si="13"/>
        <v>1221691275</v>
      </c>
      <c r="AB40" s="38"/>
      <c r="AC40" s="38">
        <f>+AA40</f>
        <v>1221691275</v>
      </c>
      <c r="AD40" s="38"/>
      <c r="AE40" s="34">
        <f t="shared" si="14"/>
        <v>1282775838.75</v>
      </c>
      <c r="AF40" s="38"/>
      <c r="AG40" s="38">
        <f>+AE40</f>
        <v>1282775838.75</v>
      </c>
      <c r="AH40" s="38"/>
      <c r="AI40" s="34" t="s">
        <v>88</v>
      </c>
      <c r="AJ40" s="2" t="s">
        <v>136</v>
      </c>
    </row>
    <row r="41" spans="1:36" s="21" customFormat="1" ht="14.4" x14ac:dyDescent="0.3">
      <c r="A41" s="2" t="s">
        <v>105</v>
      </c>
      <c r="B41" s="19">
        <v>205</v>
      </c>
      <c r="C41" s="36" t="s">
        <v>49</v>
      </c>
      <c r="D41" s="37">
        <f>MROUND('[1]F Y U 2024 Presupuesto'!C41,1000)</f>
        <v>673000</v>
      </c>
      <c r="E41" s="38"/>
      <c r="F41" s="38">
        <f>+D41</f>
        <v>673000</v>
      </c>
      <c r="G41" s="38"/>
      <c r="H41" s="50"/>
      <c r="I41" s="43"/>
      <c r="J41" s="49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34">
        <f t="shared" si="12"/>
        <v>706650</v>
      </c>
      <c r="X41" s="38"/>
      <c r="Y41" s="38">
        <f>+W41</f>
        <v>706650</v>
      </c>
      <c r="Z41" s="38"/>
      <c r="AA41" s="34">
        <f t="shared" si="13"/>
        <v>741982.5</v>
      </c>
      <c r="AB41" s="38"/>
      <c r="AC41" s="38">
        <f>+AA41</f>
        <v>741982.5</v>
      </c>
      <c r="AD41" s="38"/>
      <c r="AE41" s="34">
        <f t="shared" si="14"/>
        <v>779081.625</v>
      </c>
      <c r="AF41" s="38"/>
      <c r="AG41" s="38">
        <f>+AE41</f>
        <v>779081.625</v>
      </c>
      <c r="AH41" s="38"/>
      <c r="AI41" s="34" t="s">
        <v>88</v>
      </c>
      <c r="AJ41" s="2" t="s">
        <v>136</v>
      </c>
    </row>
    <row r="42" spans="1:36" ht="14.4" x14ac:dyDescent="0.3">
      <c r="A42" s="2" t="s">
        <v>105</v>
      </c>
      <c r="B42" s="19">
        <v>20</v>
      </c>
      <c r="C42" s="36" t="s">
        <v>50</v>
      </c>
      <c r="D42" s="37">
        <f>MROUND('[1]F Y U 2024 Presupuesto'!C42,1000)</f>
        <v>17001330000</v>
      </c>
      <c r="E42" s="38"/>
      <c r="F42" s="38"/>
      <c r="G42" s="38">
        <f>+D42</f>
        <v>17001330000</v>
      </c>
      <c r="H42" s="51"/>
      <c r="I42" s="34"/>
      <c r="J42" s="41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>
        <f t="shared" si="12"/>
        <v>17851396500</v>
      </c>
      <c r="X42" s="38"/>
      <c r="Y42" s="38"/>
      <c r="Z42" s="38">
        <f>+W42</f>
        <v>17851396500</v>
      </c>
      <c r="AA42" s="34">
        <f t="shared" si="13"/>
        <v>18743966325</v>
      </c>
      <c r="AB42" s="38"/>
      <c r="AC42" s="38"/>
      <c r="AD42" s="38">
        <f>+AA42</f>
        <v>18743966325</v>
      </c>
      <c r="AE42" s="34">
        <f t="shared" si="14"/>
        <v>19681164641.25</v>
      </c>
      <c r="AF42" s="38"/>
      <c r="AG42" s="38"/>
      <c r="AH42" s="38">
        <f>+AE42</f>
        <v>19681164641.25</v>
      </c>
      <c r="AI42" s="34" t="s">
        <v>88</v>
      </c>
      <c r="AJ42" s="2" t="s">
        <v>136</v>
      </c>
    </row>
    <row r="43" spans="1:36" s="21" customFormat="1" ht="14.4" x14ac:dyDescent="0.3">
      <c r="A43" s="2" t="s">
        <v>105</v>
      </c>
      <c r="B43" s="19">
        <v>18</v>
      </c>
      <c r="C43" s="36" t="s">
        <v>51</v>
      </c>
      <c r="D43" s="37">
        <f>MROUND('[1]F Y U 2024 Presupuesto'!C43,1000)</f>
        <v>681193000</v>
      </c>
      <c r="E43" s="38"/>
      <c r="F43" s="38">
        <f>D43</f>
        <v>681193000</v>
      </c>
      <c r="G43" s="38"/>
      <c r="H43" s="50"/>
      <c r="I43" s="43"/>
      <c r="J43" s="49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34">
        <f t="shared" si="12"/>
        <v>715252650</v>
      </c>
      <c r="X43" s="34"/>
      <c r="Y43" s="34">
        <f>W43</f>
        <v>715252650</v>
      </c>
      <c r="Z43" s="34"/>
      <c r="AA43" s="34">
        <f t="shared" si="13"/>
        <v>751015282.5</v>
      </c>
      <c r="AB43" s="34"/>
      <c r="AC43" s="34">
        <f>AA43</f>
        <v>751015282.5</v>
      </c>
      <c r="AD43" s="34"/>
      <c r="AE43" s="34">
        <f t="shared" si="14"/>
        <v>788566046.625</v>
      </c>
      <c r="AF43" s="38"/>
      <c r="AG43" s="38">
        <f>AE43</f>
        <v>788566046.625</v>
      </c>
      <c r="AH43" s="38"/>
      <c r="AI43" s="34" t="s">
        <v>118</v>
      </c>
      <c r="AJ43" s="2" t="s">
        <v>136</v>
      </c>
    </row>
    <row r="44" spans="1:36" s="21" customFormat="1" ht="14.4" x14ac:dyDescent="0.3">
      <c r="A44" s="2" t="s">
        <v>105</v>
      </c>
      <c r="B44" s="19">
        <v>56</v>
      </c>
      <c r="C44" s="36" t="s">
        <v>52</v>
      </c>
      <c r="D44" s="37">
        <f>MROUND('[1]F Y U 2024 Presupuesto'!C44,1000)</f>
        <v>500000000</v>
      </c>
      <c r="E44" s="38">
        <f>+D44</f>
        <v>500000000</v>
      </c>
      <c r="F44" s="38"/>
      <c r="G44" s="38"/>
      <c r="H44" s="34"/>
      <c r="I44" s="43"/>
      <c r="J44" s="49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34">
        <f>+D44*1.1</f>
        <v>550000000</v>
      </c>
      <c r="X44" s="34">
        <f>+W44</f>
        <v>550000000</v>
      </c>
      <c r="Y44" s="34"/>
      <c r="Z44" s="34"/>
      <c r="AA44" s="34">
        <f>+W44*1.1</f>
        <v>605000000</v>
      </c>
      <c r="AB44" s="34">
        <f>+AA44</f>
        <v>605000000</v>
      </c>
      <c r="AC44" s="34"/>
      <c r="AD44" s="34"/>
      <c r="AE44" s="34">
        <f>+AA44*1.1</f>
        <v>665500000</v>
      </c>
      <c r="AF44" s="38">
        <f>+AE44</f>
        <v>665500000</v>
      </c>
      <c r="AG44" s="38"/>
      <c r="AH44" s="38"/>
      <c r="AI44" s="34" t="s">
        <v>133</v>
      </c>
      <c r="AJ44" s="2" t="s">
        <v>136</v>
      </c>
    </row>
    <row r="45" spans="1:36" ht="14.4" x14ac:dyDescent="0.3">
      <c r="A45" s="2" t="s">
        <v>105</v>
      </c>
      <c r="B45" s="19">
        <v>23</v>
      </c>
      <c r="C45" s="36" t="s">
        <v>53</v>
      </c>
      <c r="D45" s="37">
        <f>MROUND('[1]F Y U 2024 Presupuesto'!C45,1000)</f>
        <v>697956000</v>
      </c>
      <c r="E45" s="38">
        <f>D45</f>
        <v>697956000</v>
      </c>
      <c r="F45" s="38"/>
      <c r="G45" s="39"/>
      <c r="H45" s="47"/>
      <c r="I45" s="34"/>
      <c r="J45" s="41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>
        <f>W45</f>
        <v>0</v>
      </c>
      <c r="Y45" s="34"/>
      <c r="Z45" s="34"/>
      <c r="AA45" s="34">
        <f t="shared" ref="AA45:AA68" si="15">+W45*1.05</f>
        <v>0</v>
      </c>
      <c r="AB45" s="34">
        <f>AA45</f>
        <v>0</v>
      </c>
      <c r="AC45" s="34"/>
      <c r="AD45" s="34"/>
      <c r="AE45" s="34">
        <f t="shared" ref="AE45:AE52" si="16">+AA45*1.05</f>
        <v>0</v>
      </c>
      <c r="AF45" s="38">
        <f>AE45</f>
        <v>0</v>
      </c>
      <c r="AG45" s="38"/>
      <c r="AH45" s="39"/>
      <c r="AI45" s="34" t="s">
        <v>132</v>
      </c>
      <c r="AJ45" s="2" t="s">
        <v>136</v>
      </c>
    </row>
    <row r="46" spans="1:36" ht="14.4" x14ac:dyDescent="0.3">
      <c r="A46" s="2" t="s">
        <v>105</v>
      </c>
      <c r="B46" s="22">
        <v>23</v>
      </c>
      <c r="C46" s="36" t="s">
        <v>54</v>
      </c>
      <c r="D46" s="37">
        <f>MROUND('[1]F Y U 2024 Presupuesto'!C46,1000)</f>
        <v>2871110000</v>
      </c>
      <c r="E46" s="52">
        <f>D46</f>
        <v>2871110000</v>
      </c>
      <c r="F46" s="52"/>
      <c r="G46" s="39"/>
      <c r="H46" s="47"/>
      <c r="I46" s="34"/>
      <c r="J46" s="41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>
        <f>+D46+D45</f>
        <v>3569066000</v>
      </c>
      <c r="X46" s="34">
        <f>W46</f>
        <v>3569066000</v>
      </c>
      <c r="Y46" s="34"/>
      <c r="Z46" s="34"/>
      <c r="AA46" s="34">
        <f t="shared" si="15"/>
        <v>3747519300</v>
      </c>
      <c r="AB46" s="34">
        <f>AA46</f>
        <v>3747519300</v>
      </c>
      <c r="AC46" s="34"/>
      <c r="AD46" s="34"/>
      <c r="AE46" s="34">
        <f t="shared" si="16"/>
        <v>3934895265</v>
      </c>
      <c r="AF46" s="52">
        <f>AE46</f>
        <v>3934895265</v>
      </c>
      <c r="AG46" s="52"/>
      <c r="AH46" s="39"/>
      <c r="AI46" s="34" t="s">
        <v>132</v>
      </c>
      <c r="AJ46" s="2" t="s">
        <v>136</v>
      </c>
    </row>
    <row r="47" spans="1:36" ht="14.4" x14ac:dyDescent="0.3">
      <c r="A47" s="2" t="s">
        <v>105</v>
      </c>
      <c r="B47" s="22">
        <v>20</v>
      </c>
      <c r="C47" s="36" t="s">
        <v>55</v>
      </c>
      <c r="D47" s="37">
        <f>MROUND('[1]F Y U 2024 Presupuesto'!C47,1000)</f>
        <v>217044000</v>
      </c>
      <c r="E47" s="52"/>
      <c r="F47" s="52"/>
      <c r="G47" s="39">
        <f>+D47</f>
        <v>217044000</v>
      </c>
      <c r="H47" s="47"/>
      <c r="I47" s="34"/>
      <c r="J47" s="41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>
        <f>+D47*1.05</f>
        <v>227896200</v>
      </c>
      <c r="X47" s="34"/>
      <c r="Y47" s="34"/>
      <c r="Z47" s="34">
        <f>+W47</f>
        <v>227896200</v>
      </c>
      <c r="AA47" s="34">
        <f t="shared" si="15"/>
        <v>239291010</v>
      </c>
      <c r="AB47" s="34"/>
      <c r="AC47" s="34"/>
      <c r="AD47" s="34">
        <f>+AA47</f>
        <v>239291010</v>
      </c>
      <c r="AE47" s="34">
        <f t="shared" si="16"/>
        <v>251255560.5</v>
      </c>
      <c r="AF47" s="52"/>
      <c r="AG47" s="52"/>
      <c r="AH47" s="39">
        <f>+AE47</f>
        <v>251255560.5</v>
      </c>
      <c r="AI47" s="34" t="s">
        <v>120</v>
      </c>
      <c r="AJ47" s="34" t="s">
        <v>136</v>
      </c>
    </row>
    <row r="48" spans="1:36" ht="14.4" x14ac:dyDescent="0.3">
      <c r="A48" s="2" t="s">
        <v>105</v>
      </c>
      <c r="B48" s="22">
        <v>20</v>
      </c>
      <c r="C48" s="36" t="s">
        <v>56</v>
      </c>
      <c r="D48" s="37">
        <f>MROUND('[1]F Y U 2024 Presupuesto'!C48,1000)</f>
        <v>1000000</v>
      </c>
      <c r="E48" s="52"/>
      <c r="F48" s="52"/>
      <c r="G48" s="39">
        <f>+D48</f>
        <v>1000000</v>
      </c>
      <c r="H48" s="47"/>
      <c r="I48" s="34"/>
      <c r="J48" s="41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>
        <f t="shared" ref="W48:W52" si="17">+D48*1.05</f>
        <v>1050000</v>
      </c>
      <c r="X48" s="34"/>
      <c r="Y48" s="34"/>
      <c r="Z48" s="34">
        <f>+W48</f>
        <v>1050000</v>
      </c>
      <c r="AA48" s="34">
        <f t="shared" si="15"/>
        <v>1102500</v>
      </c>
      <c r="AB48" s="34"/>
      <c r="AC48" s="34"/>
      <c r="AD48" s="34">
        <f>+AA48</f>
        <v>1102500</v>
      </c>
      <c r="AE48" s="34">
        <f t="shared" si="16"/>
        <v>1157625</v>
      </c>
      <c r="AF48" s="52"/>
      <c r="AG48" s="52"/>
      <c r="AH48" s="39">
        <f>+AE48</f>
        <v>1157625</v>
      </c>
      <c r="AI48" s="34" t="s">
        <v>120</v>
      </c>
      <c r="AJ48" s="34" t="s">
        <v>136</v>
      </c>
    </row>
    <row r="49" spans="1:36" ht="14.4" x14ac:dyDescent="0.3">
      <c r="A49" s="2" t="s">
        <v>105</v>
      </c>
      <c r="B49" s="22">
        <v>20</v>
      </c>
      <c r="C49" s="36" t="s">
        <v>57</v>
      </c>
      <c r="D49" s="37">
        <v>114118000</v>
      </c>
      <c r="E49" s="52"/>
      <c r="F49" s="52"/>
      <c r="G49" s="39">
        <f>+D49</f>
        <v>114118000</v>
      </c>
      <c r="H49" s="47"/>
      <c r="I49" s="34"/>
      <c r="J49" s="41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>
        <f t="shared" si="17"/>
        <v>119823900</v>
      </c>
      <c r="X49" s="34"/>
      <c r="Y49" s="34"/>
      <c r="Z49" s="34">
        <f>+W49</f>
        <v>119823900</v>
      </c>
      <c r="AA49" s="34">
        <f t="shared" si="15"/>
        <v>125815095</v>
      </c>
      <c r="AB49" s="34"/>
      <c r="AC49" s="34"/>
      <c r="AD49" s="34">
        <f>+AA49</f>
        <v>125815095</v>
      </c>
      <c r="AE49" s="34">
        <f t="shared" si="16"/>
        <v>132105849.75</v>
      </c>
      <c r="AF49" s="52"/>
      <c r="AG49" s="52"/>
      <c r="AH49" s="39">
        <f>+AE49</f>
        <v>132105849.75</v>
      </c>
      <c r="AI49" s="34" t="s">
        <v>120</v>
      </c>
      <c r="AJ49" s="34" t="s">
        <v>136</v>
      </c>
    </row>
    <row r="50" spans="1:36" ht="14.4" x14ac:dyDescent="0.3">
      <c r="A50" s="2" t="s">
        <v>105</v>
      </c>
      <c r="B50" s="22">
        <v>20</v>
      </c>
      <c r="C50" s="36" t="s">
        <v>58</v>
      </c>
      <c r="D50" s="37">
        <f>MROUND('[1]F Y U 2024 Presupuesto'!C49,1000)</f>
        <v>1000000</v>
      </c>
      <c r="E50" s="52"/>
      <c r="F50" s="52"/>
      <c r="G50" s="39">
        <f>+D50</f>
        <v>1000000</v>
      </c>
      <c r="H50" s="47"/>
      <c r="I50" s="34"/>
      <c r="J50" s="41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>
        <f t="shared" si="17"/>
        <v>1050000</v>
      </c>
      <c r="X50" s="34"/>
      <c r="Y50" s="34"/>
      <c r="Z50" s="34">
        <f>+W50</f>
        <v>1050000</v>
      </c>
      <c r="AA50" s="34">
        <f t="shared" si="15"/>
        <v>1102500</v>
      </c>
      <c r="AB50" s="34"/>
      <c r="AC50" s="34"/>
      <c r="AD50" s="34">
        <f>+AA50</f>
        <v>1102500</v>
      </c>
      <c r="AE50" s="34">
        <f t="shared" si="16"/>
        <v>1157625</v>
      </c>
      <c r="AF50" s="52"/>
      <c r="AG50" s="52"/>
      <c r="AH50" s="39">
        <f>+AE50</f>
        <v>1157625</v>
      </c>
      <c r="AI50" s="34" t="s">
        <v>120</v>
      </c>
      <c r="AJ50" s="34" t="s">
        <v>136</v>
      </c>
    </row>
    <row r="51" spans="1:36" ht="14.4" x14ac:dyDescent="0.3">
      <c r="A51" s="2" t="s">
        <v>105</v>
      </c>
      <c r="B51" s="22">
        <v>20</v>
      </c>
      <c r="C51" s="36" t="s">
        <v>59</v>
      </c>
      <c r="D51" s="37">
        <f>MROUND('[1]F Y U 2024 Presupuesto'!C50,1000)</f>
        <v>77643000</v>
      </c>
      <c r="E51" s="52"/>
      <c r="F51" s="52"/>
      <c r="G51" s="39">
        <f>+D51</f>
        <v>77643000</v>
      </c>
      <c r="H51" s="47"/>
      <c r="I51" s="34"/>
      <c r="J51" s="41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>
        <f t="shared" si="17"/>
        <v>81525150</v>
      </c>
      <c r="X51" s="34"/>
      <c r="Y51" s="34"/>
      <c r="Z51" s="34">
        <f>+W51</f>
        <v>81525150</v>
      </c>
      <c r="AA51" s="34">
        <f t="shared" si="15"/>
        <v>85601407.5</v>
      </c>
      <c r="AB51" s="34"/>
      <c r="AC51" s="34"/>
      <c r="AD51" s="34">
        <f>+AA51</f>
        <v>85601407.5</v>
      </c>
      <c r="AE51" s="34">
        <f t="shared" si="16"/>
        <v>89881477.875</v>
      </c>
      <c r="AF51" s="52"/>
      <c r="AG51" s="52"/>
      <c r="AH51" s="39">
        <f>+AE51</f>
        <v>89881477.875</v>
      </c>
      <c r="AI51" s="34" t="s">
        <v>120</v>
      </c>
      <c r="AJ51" s="34" t="s">
        <v>136</v>
      </c>
    </row>
    <row r="52" spans="1:36" ht="14.4" x14ac:dyDescent="0.3">
      <c r="A52" s="2" t="s">
        <v>105</v>
      </c>
      <c r="B52" s="22">
        <v>47</v>
      </c>
      <c r="C52" s="53" t="s">
        <v>60</v>
      </c>
      <c r="D52" s="37">
        <f>MROUND('[1]F Y U 2024 Presupuesto'!C51,1000)</f>
        <v>103859000</v>
      </c>
      <c r="E52" s="52">
        <f>+D52</f>
        <v>103859000</v>
      </c>
      <c r="F52" s="52"/>
      <c r="G52" s="39"/>
      <c r="H52" s="47"/>
      <c r="I52" s="34"/>
      <c r="J52" s="41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>
        <f t="shared" si="17"/>
        <v>109051950</v>
      </c>
      <c r="X52" s="34">
        <f>+W52</f>
        <v>109051950</v>
      </c>
      <c r="Y52" s="34"/>
      <c r="Z52" s="34"/>
      <c r="AA52" s="34">
        <f t="shared" si="15"/>
        <v>114504547.5</v>
      </c>
      <c r="AB52" s="34">
        <f>+AA52</f>
        <v>114504547.5</v>
      </c>
      <c r="AC52" s="34"/>
      <c r="AD52" s="34"/>
      <c r="AE52" s="34">
        <f t="shared" si="16"/>
        <v>120229774.875</v>
      </c>
      <c r="AF52" s="52">
        <f>+AE52</f>
        <v>120229774.875</v>
      </c>
      <c r="AG52" s="52"/>
      <c r="AH52" s="39"/>
      <c r="AI52" s="34" t="s">
        <v>132</v>
      </c>
      <c r="AJ52" s="2" t="s">
        <v>136</v>
      </c>
    </row>
    <row r="53" spans="1:36" ht="14.4" x14ac:dyDescent="0.3">
      <c r="A53" s="2" t="s">
        <v>106</v>
      </c>
      <c r="B53" s="19">
        <v>50</v>
      </c>
      <c r="C53" s="36" t="s">
        <v>61</v>
      </c>
      <c r="D53" s="37">
        <f>MROUND('[1]F Y U 2024 Presupuesto'!C54,1000)</f>
        <v>200000000</v>
      </c>
      <c r="E53" s="38"/>
      <c r="F53" s="38">
        <f>+D53</f>
        <v>200000000</v>
      </c>
      <c r="G53" s="38"/>
      <c r="H53" s="46"/>
      <c r="I53" s="34" t="s">
        <v>44</v>
      </c>
      <c r="J53" s="41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>
        <f t="shared" ref="W53:W55" si="18">+D53*1.05</f>
        <v>210000000</v>
      </c>
      <c r="X53" s="34"/>
      <c r="Y53" s="34">
        <f>+W53</f>
        <v>210000000</v>
      </c>
      <c r="Z53" s="34"/>
      <c r="AA53" s="34">
        <f t="shared" si="15"/>
        <v>220500000</v>
      </c>
      <c r="AB53" s="34"/>
      <c r="AC53" s="34">
        <f>+AA53</f>
        <v>220500000</v>
      </c>
      <c r="AD53" s="34"/>
      <c r="AE53" s="34">
        <f t="shared" ref="AE53:AE70" si="19">+AA53*1.05</f>
        <v>231525000</v>
      </c>
      <c r="AF53" s="38"/>
      <c r="AG53" s="38">
        <f>+AE53</f>
        <v>231525000</v>
      </c>
      <c r="AH53" s="38"/>
      <c r="AI53" s="34" t="s">
        <v>126</v>
      </c>
      <c r="AJ53" s="2" t="s">
        <v>136</v>
      </c>
    </row>
    <row r="54" spans="1:36" ht="14.4" x14ac:dyDescent="0.3">
      <c r="A54" s="2" t="s">
        <v>106</v>
      </c>
      <c r="B54" s="19">
        <v>135</v>
      </c>
      <c r="C54" s="36" t="s">
        <v>62</v>
      </c>
      <c r="D54" s="37">
        <f>MROUND('[1]F Y U 2024 Presupuesto'!C55,1000)</f>
        <v>9000000000</v>
      </c>
      <c r="E54" s="45"/>
      <c r="F54" s="38">
        <f>+D54</f>
        <v>9000000000</v>
      </c>
      <c r="G54" s="39"/>
      <c r="H54" s="44"/>
      <c r="I54" s="34"/>
      <c r="J54" s="41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>
        <f t="shared" si="18"/>
        <v>9450000000</v>
      </c>
      <c r="X54" s="34"/>
      <c r="Y54" s="34">
        <f>+W54</f>
        <v>9450000000</v>
      </c>
      <c r="Z54" s="34"/>
      <c r="AA54" s="34">
        <f t="shared" si="15"/>
        <v>9922500000</v>
      </c>
      <c r="AB54" s="34"/>
      <c r="AC54" s="34">
        <f>+AA54</f>
        <v>9922500000</v>
      </c>
      <c r="AD54" s="34"/>
      <c r="AE54" s="34">
        <f t="shared" si="19"/>
        <v>10418625000</v>
      </c>
      <c r="AF54" s="45"/>
      <c r="AG54" s="38">
        <f>+AE54</f>
        <v>10418625000</v>
      </c>
      <c r="AH54" s="39"/>
      <c r="AI54" s="34" t="s">
        <v>127</v>
      </c>
      <c r="AJ54" s="2" t="s">
        <v>136</v>
      </c>
    </row>
    <row r="55" spans="1:36" ht="14.4" x14ac:dyDescent="0.3">
      <c r="A55" s="2" t="s">
        <v>106</v>
      </c>
      <c r="B55" s="19">
        <v>20</v>
      </c>
      <c r="C55" s="36" t="s">
        <v>63</v>
      </c>
      <c r="D55" s="37">
        <f>MROUND('[1]F Y U 2024 Presupuesto'!C56,1000)</f>
        <v>10000000</v>
      </c>
      <c r="E55" s="38"/>
      <c r="F55" s="38"/>
      <c r="G55" s="38">
        <f>+D55</f>
        <v>10000000</v>
      </c>
      <c r="H55" s="46"/>
      <c r="I55" s="34"/>
      <c r="J55" s="41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>
        <f t="shared" si="18"/>
        <v>10500000</v>
      </c>
      <c r="X55" s="34"/>
      <c r="Y55" s="34"/>
      <c r="Z55" s="34">
        <f>+W55</f>
        <v>10500000</v>
      </c>
      <c r="AA55" s="34">
        <f t="shared" si="15"/>
        <v>11025000</v>
      </c>
      <c r="AB55" s="34"/>
      <c r="AC55" s="34"/>
      <c r="AD55" s="34">
        <f>+AA55</f>
        <v>11025000</v>
      </c>
      <c r="AE55" s="34">
        <f t="shared" si="19"/>
        <v>11576250</v>
      </c>
      <c r="AF55" s="38"/>
      <c r="AG55" s="38"/>
      <c r="AH55" s="38">
        <f>+AE55</f>
        <v>11576250</v>
      </c>
      <c r="AI55" s="34" t="s">
        <v>128</v>
      </c>
      <c r="AJ55" s="2" t="s">
        <v>136</v>
      </c>
    </row>
    <row r="56" spans="1:36" ht="14.4" x14ac:dyDescent="0.3">
      <c r="A56" s="2" t="s">
        <v>106</v>
      </c>
      <c r="B56" s="19">
        <v>20</v>
      </c>
      <c r="C56" s="36" t="s">
        <v>64</v>
      </c>
      <c r="D56" s="37">
        <f>MROUND('[1]F Y U 2024 Presupuesto'!C57,1000)</f>
        <v>300000000</v>
      </c>
      <c r="E56" s="38"/>
      <c r="F56" s="38"/>
      <c r="G56" s="38">
        <f>+D56</f>
        <v>300000000</v>
      </c>
      <c r="H56" s="46"/>
      <c r="I56" s="34"/>
      <c r="J56" s="41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>
        <f>+D56*1.02</f>
        <v>306000000</v>
      </c>
      <c r="X56" s="34"/>
      <c r="Y56" s="34"/>
      <c r="Z56" s="34">
        <f>+W56</f>
        <v>306000000</v>
      </c>
      <c r="AA56" s="34">
        <f t="shared" si="15"/>
        <v>321300000</v>
      </c>
      <c r="AB56" s="34"/>
      <c r="AC56" s="34"/>
      <c r="AD56" s="34">
        <f>+AA56</f>
        <v>321300000</v>
      </c>
      <c r="AE56" s="34">
        <f t="shared" si="19"/>
        <v>337365000</v>
      </c>
      <c r="AF56" s="38"/>
      <c r="AG56" s="38"/>
      <c r="AH56" s="38">
        <f>+AE56</f>
        <v>337365000</v>
      </c>
      <c r="AI56" s="34" t="s">
        <v>124</v>
      </c>
      <c r="AJ56" s="2" t="s">
        <v>136</v>
      </c>
    </row>
    <row r="57" spans="1:36" ht="14.4" x14ac:dyDescent="0.3">
      <c r="A57" s="2" t="s">
        <v>106</v>
      </c>
      <c r="B57" s="19">
        <v>4</v>
      </c>
      <c r="C57" s="36" t="s">
        <v>65</v>
      </c>
      <c r="D57" s="37">
        <f>MROUND('[1]F Y U 2024 Presupuesto'!C58,1000)</f>
        <v>20000000</v>
      </c>
      <c r="E57" s="38">
        <f>+D57</f>
        <v>20000000</v>
      </c>
      <c r="F57" s="38"/>
      <c r="G57" s="38"/>
      <c r="H57" s="46"/>
      <c r="I57" s="34"/>
      <c r="J57" s="41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>
        <f t="shared" ref="W57:W68" si="20">+D57*1.02</f>
        <v>20400000</v>
      </c>
      <c r="X57" s="34">
        <f>+W57</f>
        <v>20400000</v>
      </c>
      <c r="Y57" s="34"/>
      <c r="Z57" s="34"/>
      <c r="AA57" s="34">
        <f t="shared" si="15"/>
        <v>21420000</v>
      </c>
      <c r="AB57" s="34">
        <f>+AA57</f>
        <v>21420000</v>
      </c>
      <c r="AC57" s="34"/>
      <c r="AD57" s="34"/>
      <c r="AE57" s="34">
        <f t="shared" si="19"/>
        <v>22491000</v>
      </c>
      <c r="AF57" s="38">
        <f>+AE57</f>
        <v>22491000</v>
      </c>
      <c r="AG57" s="38"/>
      <c r="AH57" s="38"/>
      <c r="AI57" s="34" t="s">
        <v>124</v>
      </c>
      <c r="AJ57" s="2" t="s">
        <v>136</v>
      </c>
    </row>
    <row r="58" spans="1:36" ht="14.4" x14ac:dyDescent="0.3">
      <c r="A58" s="2" t="s">
        <v>106</v>
      </c>
      <c r="B58" s="19">
        <v>176</v>
      </c>
      <c r="C58" s="36" t="s">
        <v>66</v>
      </c>
      <c r="D58" s="37">
        <f>MROUND('[1]F Y U 2024 Presupuesto'!C59,1000)</f>
        <v>5000000</v>
      </c>
      <c r="E58" s="38"/>
      <c r="F58" s="38">
        <f>+D58</f>
        <v>5000000</v>
      </c>
      <c r="G58" s="38"/>
      <c r="H58" s="46"/>
      <c r="I58" s="34"/>
      <c r="J58" s="41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>
        <f t="shared" si="20"/>
        <v>5100000</v>
      </c>
      <c r="X58" s="34"/>
      <c r="Y58" s="34">
        <f>+W58</f>
        <v>5100000</v>
      </c>
      <c r="Z58" s="34"/>
      <c r="AA58" s="34">
        <f t="shared" si="15"/>
        <v>5355000</v>
      </c>
      <c r="AB58" s="34"/>
      <c r="AC58" s="34">
        <f>+AA58</f>
        <v>5355000</v>
      </c>
      <c r="AD58" s="34"/>
      <c r="AE58" s="34">
        <f t="shared" si="19"/>
        <v>5622750</v>
      </c>
      <c r="AF58" s="38"/>
      <c r="AG58" s="38">
        <f>+AE58</f>
        <v>5622750</v>
      </c>
      <c r="AH58" s="38"/>
      <c r="AI58" s="34" t="s">
        <v>124</v>
      </c>
      <c r="AJ58" s="2" t="s">
        <v>136</v>
      </c>
    </row>
    <row r="59" spans="1:36" ht="14.4" x14ac:dyDescent="0.3">
      <c r="A59" s="2" t="s">
        <v>106</v>
      </c>
      <c r="B59" s="19">
        <v>5</v>
      </c>
      <c r="C59" s="36" t="s">
        <v>67</v>
      </c>
      <c r="D59" s="37">
        <f>MROUND('[1]F Y U 2024 Presupuesto'!C60,1000)</f>
        <v>2000000</v>
      </c>
      <c r="E59" s="38"/>
      <c r="F59" s="38">
        <f>+D59</f>
        <v>2000000</v>
      </c>
      <c r="G59" s="38"/>
      <c r="H59" s="46"/>
      <c r="I59" s="34"/>
      <c r="J59" s="41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>
        <f t="shared" si="20"/>
        <v>2040000</v>
      </c>
      <c r="X59" s="34"/>
      <c r="Y59" s="34">
        <f>+W59</f>
        <v>2040000</v>
      </c>
      <c r="Z59" s="34"/>
      <c r="AA59" s="34">
        <f t="shared" si="15"/>
        <v>2142000</v>
      </c>
      <c r="AB59" s="34"/>
      <c r="AC59" s="34">
        <f>+AA59</f>
        <v>2142000</v>
      </c>
      <c r="AD59" s="34"/>
      <c r="AE59" s="34">
        <f t="shared" si="19"/>
        <v>2249100</v>
      </c>
      <c r="AF59" s="38"/>
      <c r="AG59" s="38">
        <f>+AE59</f>
        <v>2249100</v>
      </c>
      <c r="AH59" s="38"/>
      <c r="AI59" s="34" t="s">
        <v>124</v>
      </c>
      <c r="AJ59" s="2" t="s">
        <v>136</v>
      </c>
    </row>
    <row r="60" spans="1:36" ht="14.4" x14ac:dyDescent="0.3">
      <c r="A60" s="2" t="s">
        <v>106</v>
      </c>
      <c r="B60" s="19">
        <v>33</v>
      </c>
      <c r="C60" s="36" t="s">
        <v>68</v>
      </c>
      <c r="D60" s="37">
        <f>MROUND('[1]F Y U 2024 Presupuesto'!C61,1000)</f>
        <v>1000000</v>
      </c>
      <c r="E60" s="38">
        <f>+D60</f>
        <v>1000000</v>
      </c>
      <c r="F60" s="38"/>
      <c r="G60" s="38"/>
      <c r="H60" s="46"/>
      <c r="I60" s="34"/>
      <c r="J60" s="41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>
        <f t="shared" si="20"/>
        <v>1020000</v>
      </c>
      <c r="X60" s="34">
        <f>+W60</f>
        <v>1020000</v>
      </c>
      <c r="Y60" s="34"/>
      <c r="Z60" s="34"/>
      <c r="AA60" s="34">
        <f t="shared" si="15"/>
        <v>1071000</v>
      </c>
      <c r="AB60" s="34">
        <f>+AA60</f>
        <v>1071000</v>
      </c>
      <c r="AC60" s="34"/>
      <c r="AD60" s="34"/>
      <c r="AE60" s="34">
        <f t="shared" si="19"/>
        <v>1124550</v>
      </c>
      <c r="AF60" s="38">
        <f>+AE60</f>
        <v>1124550</v>
      </c>
      <c r="AG60" s="38"/>
      <c r="AH60" s="38"/>
      <c r="AI60" s="34" t="s">
        <v>124</v>
      </c>
      <c r="AJ60" s="2" t="s">
        <v>136</v>
      </c>
    </row>
    <row r="61" spans="1:36" ht="14.4" x14ac:dyDescent="0.3">
      <c r="A61" s="2" t="s">
        <v>106</v>
      </c>
      <c r="B61" s="19">
        <v>34</v>
      </c>
      <c r="C61" s="36" t="s">
        <v>69</v>
      </c>
      <c r="D61" s="37">
        <f>MROUND('[1]F Y U 2024 Presupuesto'!C62,1000)</f>
        <v>1000000</v>
      </c>
      <c r="E61" s="38">
        <f>+D61</f>
        <v>1000000</v>
      </c>
      <c r="F61" s="38"/>
      <c r="G61" s="38"/>
      <c r="H61" s="46"/>
      <c r="I61" s="34"/>
      <c r="J61" s="41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>
        <f t="shared" si="20"/>
        <v>1020000</v>
      </c>
      <c r="X61" s="34">
        <f>+W61</f>
        <v>1020000</v>
      </c>
      <c r="Y61" s="34"/>
      <c r="Z61" s="34"/>
      <c r="AA61" s="34">
        <f t="shared" si="15"/>
        <v>1071000</v>
      </c>
      <c r="AB61" s="34">
        <f>+AA61</f>
        <v>1071000</v>
      </c>
      <c r="AC61" s="34"/>
      <c r="AD61" s="34"/>
      <c r="AE61" s="34">
        <f t="shared" si="19"/>
        <v>1124550</v>
      </c>
      <c r="AF61" s="38">
        <f>+AE61</f>
        <v>1124550</v>
      </c>
      <c r="AG61" s="38"/>
      <c r="AH61" s="38"/>
      <c r="AI61" s="34" t="s">
        <v>124</v>
      </c>
      <c r="AJ61" s="2" t="s">
        <v>136</v>
      </c>
    </row>
    <row r="62" spans="1:36" ht="14.4" x14ac:dyDescent="0.3">
      <c r="A62" s="2" t="s">
        <v>106</v>
      </c>
      <c r="B62" s="19">
        <v>39</v>
      </c>
      <c r="C62" s="36" t="s">
        <v>70</v>
      </c>
      <c r="D62" s="37">
        <f>MROUND('[1]F Y U 2024 Presupuesto'!C63,1000)</f>
        <v>5000000</v>
      </c>
      <c r="E62" s="38">
        <f>+D62</f>
        <v>5000000</v>
      </c>
      <c r="F62" s="38"/>
      <c r="G62" s="38"/>
      <c r="H62" s="46"/>
      <c r="I62" s="34"/>
      <c r="J62" s="41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>
        <f t="shared" si="20"/>
        <v>5100000</v>
      </c>
      <c r="X62" s="34">
        <f>+W62</f>
        <v>5100000</v>
      </c>
      <c r="Y62" s="34"/>
      <c r="Z62" s="34"/>
      <c r="AA62" s="34">
        <f t="shared" si="15"/>
        <v>5355000</v>
      </c>
      <c r="AB62" s="34">
        <f>+AA62</f>
        <v>5355000</v>
      </c>
      <c r="AC62" s="34"/>
      <c r="AD62" s="34"/>
      <c r="AE62" s="34">
        <f t="shared" si="19"/>
        <v>5622750</v>
      </c>
      <c r="AF62" s="38">
        <f>+AE62</f>
        <v>5622750</v>
      </c>
      <c r="AG62" s="38"/>
      <c r="AH62" s="38"/>
      <c r="AI62" s="34" t="s">
        <v>124</v>
      </c>
      <c r="AJ62" s="2" t="s">
        <v>136</v>
      </c>
    </row>
    <row r="63" spans="1:36" ht="14.4" x14ac:dyDescent="0.3">
      <c r="A63" s="2" t="s">
        <v>106</v>
      </c>
      <c r="B63" s="19">
        <v>41</v>
      </c>
      <c r="C63" s="36" t="s">
        <v>71</v>
      </c>
      <c r="D63" s="37">
        <f>MROUND('[1]F Y U 2024 Presupuesto'!C64,1000)</f>
        <v>1000000</v>
      </c>
      <c r="E63" s="38">
        <f>+D63</f>
        <v>1000000</v>
      </c>
      <c r="F63" s="38"/>
      <c r="G63" s="38"/>
      <c r="H63" s="46"/>
      <c r="I63" s="34"/>
      <c r="J63" s="41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>
        <f t="shared" si="20"/>
        <v>1020000</v>
      </c>
      <c r="X63" s="34">
        <f>+W63</f>
        <v>1020000</v>
      </c>
      <c r="Y63" s="34"/>
      <c r="Z63" s="34"/>
      <c r="AA63" s="34">
        <f t="shared" si="15"/>
        <v>1071000</v>
      </c>
      <c r="AB63" s="34">
        <f>+AA63</f>
        <v>1071000</v>
      </c>
      <c r="AC63" s="34"/>
      <c r="AD63" s="34"/>
      <c r="AE63" s="34">
        <f t="shared" si="19"/>
        <v>1124550</v>
      </c>
      <c r="AF63" s="38">
        <f>+AE63</f>
        <v>1124550</v>
      </c>
      <c r="AG63" s="38"/>
      <c r="AH63" s="38"/>
      <c r="AI63" s="34" t="s">
        <v>124</v>
      </c>
      <c r="AJ63" s="2" t="s">
        <v>136</v>
      </c>
    </row>
    <row r="64" spans="1:36" ht="14.4" x14ac:dyDescent="0.3">
      <c r="A64" s="2" t="s">
        <v>106</v>
      </c>
      <c r="B64" s="19">
        <v>6</v>
      </c>
      <c r="C64" s="36" t="s">
        <v>72</v>
      </c>
      <c r="D64" s="37">
        <f>MROUND('[1]F Y U 2024 Presupuesto'!C65,1000)</f>
        <v>20000000</v>
      </c>
      <c r="E64" s="38">
        <f>+D64</f>
        <v>20000000</v>
      </c>
      <c r="F64" s="38"/>
      <c r="G64" s="38"/>
      <c r="H64" s="46"/>
      <c r="I64" s="34"/>
      <c r="J64" s="41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>
        <f t="shared" si="20"/>
        <v>20400000</v>
      </c>
      <c r="X64" s="34">
        <f>+W64</f>
        <v>20400000</v>
      </c>
      <c r="Y64" s="34"/>
      <c r="Z64" s="34"/>
      <c r="AA64" s="34">
        <f t="shared" si="15"/>
        <v>21420000</v>
      </c>
      <c r="AB64" s="34">
        <f>+AA64</f>
        <v>21420000</v>
      </c>
      <c r="AC64" s="34"/>
      <c r="AD64" s="34"/>
      <c r="AE64" s="34">
        <f t="shared" si="19"/>
        <v>22491000</v>
      </c>
      <c r="AF64" s="38">
        <f>+AE64</f>
        <v>22491000</v>
      </c>
      <c r="AG64" s="38"/>
      <c r="AH64" s="38"/>
      <c r="AI64" s="34" t="s">
        <v>124</v>
      </c>
      <c r="AJ64" s="2" t="s">
        <v>136</v>
      </c>
    </row>
    <row r="65" spans="1:36" ht="14.4" x14ac:dyDescent="0.3">
      <c r="A65" s="2" t="s">
        <v>106</v>
      </c>
      <c r="B65" s="19">
        <v>178</v>
      </c>
      <c r="C65" s="36" t="s">
        <v>73</v>
      </c>
      <c r="D65" s="37">
        <f>MROUND('[1]F Y U 2024 Presupuesto'!C66,1000)</f>
        <v>5000000</v>
      </c>
      <c r="E65" s="38"/>
      <c r="F65" s="38">
        <f>+D65</f>
        <v>5000000</v>
      </c>
      <c r="G65" s="38"/>
      <c r="H65" s="46"/>
      <c r="I65" s="34"/>
      <c r="J65" s="41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>
        <f t="shared" si="20"/>
        <v>5100000</v>
      </c>
      <c r="X65" s="34"/>
      <c r="Y65" s="34">
        <f>+W65</f>
        <v>5100000</v>
      </c>
      <c r="Z65" s="34"/>
      <c r="AA65" s="34">
        <f t="shared" si="15"/>
        <v>5355000</v>
      </c>
      <c r="AB65" s="34"/>
      <c r="AC65" s="34">
        <f>+AA65</f>
        <v>5355000</v>
      </c>
      <c r="AD65" s="34"/>
      <c r="AE65" s="34">
        <f t="shared" si="19"/>
        <v>5622750</v>
      </c>
      <c r="AF65" s="38"/>
      <c r="AG65" s="38">
        <f>+AE65</f>
        <v>5622750</v>
      </c>
      <c r="AH65" s="38"/>
      <c r="AI65" s="34" t="s">
        <v>124</v>
      </c>
      <c r="AJ65" s="2" t="s">
        <v>136</v>
      </c>
    </row>
    <row r="66" spans="1:36" ht="14.4" x14ac:dyDescent="0.3">
      <c r="A66" s="2" t="s">
        <v>106</v>
      </c>
      <c r="B66" s="19">
        <v>42</v>
      </c>
      <c r="C66" s="36" t="s">
        <v>74</v>
      </c>
      <c r="D66" s="37">
        <f>MROUND('[1]F Y U 2024 Presupuesto'!C67,1000)</f>
        <v>30000000</v>
      </c>
      <c r="E66" s="38">
        <f>+D66</f>
        <v>30000000</v>
      </c>
      <c r="F66" s="38"/>
      <c r="G66" s="38"/>
      <c r="H66" s="46"/>
      <c r="I66" s="34"/>
      <c r="J66" s="41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>
        <f t="shared" si="20"/>
        <v>30600000</v>
      </c>
      <c r="X66" s="34">
        <f>+W66</f>
        <v>30600000</v>
      </c>
      <c r="Y66" s="34"/>
      <c r="Z66" s="34"/>
      <c r="AA66" s="34">
        <f t="shared" si="15"/>
        <v>32130000</v>
      </c>
      <c r="AB66" s="34">
        <f>+AA66</f>
        <v>32130000</v>
      </c>
      <c r="AC66" s="34"/>
      <c r="AD66" s="34"/>
      <c r="AE66" s="34">
        <f t="shared" si="19"/>
        <v>33736500</v>
      </c>
      <c r="AF66" s="38">
        <f>+AE66</f>
        <v>33736500</v>
      </c>
      <c r="AG66" s="38"/>
      <c r="AH66" s="38"/>
      <c r="AI66" s="34" t="s">
        <v>124</v>
      </c>
      <c r="AJ66" s="2" t="s">
        <v>136</v>
      </c>
    </row>
    <row r="67" spans="1:36" ht="14.4" x14ac:dyDescent="0.3">
      <c r="A67" s="2" t="s">
        <v>106</v>
      </c>
      <c r="B67" s="19">
        <v>27</v>
      </c>
      <c r="C67" s="36" t="s">
        <v>75</v>
      </c>
      <c r="D67" s="37">
        <f>MROUND('[1]F Y U 2024 Presupuesto'!C68,1000)</f>
        <v>7000000</v>
      </c>
      <c r="E67" s="38">
        <f>+D67</f>
        <v>7000000</v>
      </c>
      <c r="F67" s="38"/>
      <c r="G67" s="38"/>
      <c r="H67" s="46"/>
      <c r="I67" s="34"/>
      <c r="J67" s="41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>
        <f t="shared" si="20"/>
        <v>7140000</v>
      </c>
      <c r="X67" s="34">
        <f>+W67</f>
        <v>7140000</v>
      </c>
      <c r="Y67" s="34"/>
      <c r="Z67" s="34"/>
      <c r="AA67" s="34">
        <f t="shared" si="15"/>
        <v>7497000</v>
      </c>
      <c r="AB67" s="34">
        <f>+AA67</f>
        <v>7497000</v>
      </c>
      <c r="AC67" s="34"/>
      <c r="AD67" s="34"/>
      <c r="AE67" s="34">
        <f t="shared" si="19"/>
        <v>7871850</v>
      </c>
      <c r="AF67" s="38">
        <f>+AE67</f>
        <v>7871850</v>
      </c>
      <c r="AG67" s="38"/>
      <c r="AH67" s="38"/>
      <c r="AI67" s="34" t="s">
        <v>124</v>
      </c>
      <c r="AJ67" s="2" t="s">
        <v>136</v>
      </c>
    </row>
    <row r="68" spans="1:36" ht="14.4" x14ac:dyDescent="0.3">
      <c r="A68" s="2" t="s">
        <v>106</v>
      </c>
      <c r="B68" s="19">
        <v>136</v>
      </c>
      <c r="C68" s="36" t="s">
        <v>76</v>
      </c>
      <c r="D68" s="37">
        <f>MROUND('[1]F Y U 2024 Presupuesto'!C69,1000)</f>
        <v>10000000</v>
      </c>
      <c r="E68" s="38"/>
      <c r="F68" s="38">
        <f>+D68</f>
        <v>10000000</v>
      </c>
      <c r="G68" s="38"/>
      <c r="H68" s="46"/>
      <c r="I68" s="34"/>
      <c r="J68" s="41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>
        <f t="shared" si="20"/>
        <v>10200000</v>
      </c>
      <c r="X68" s="34"/>
      <c r="Y68" s="34">
        <f>+W68</f>
        <v>10200000</v>
      </c>
      <c r="Z68" s="34"/>
      <c r="AA68" s="34">
        <f t="shared" si="15"/>
        <v>10710000</v>
      </c>
      <c r="AB68" s="34"/>
      <c r="AC68" s="34">
        <f>+AA68</f>
        <v>10710000</v>
      </c>
      <c r="AD68" s="34"/>
      <c r="AE68" s="34">
        <f t="shared" si="19"/>
        <v>11245500</v>
      </c>
      <c r="AF68" s="38"/>
      <c r="AG68" s="38">
        <f>+AE68</f>
        <v>11245500</v>
      </c>
      <c r="AH68" s="38"/>
      <c r="AI68" s="34" t="s">
        <v>124</v>
      </c>
      <c r="AJ68" s="2" t="s">
        <v>136</v>
      </c>
    </row>
    <row r="69" spans="1:36" ht="14.4" x14ac:dyDescent="0.3">
      <c r="A69" s="2" t="s">
        <v>106</v>
      </c>
      <c r="B69" s="19">
        <v>157</v>
      </c>
      <c r="C69" s="36" t="s">
        <v>77</v>
      </c>
      <c r="D69" s="37"/>
      <c r="E69" s="38"/>
      <c r="F69" s="38"/>
      <c r="G69" s="38"/>
      <c r="H69" s="46"/>
      <c r="I69" s="34"/>
      <c r="J69" s="41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>
        <v>15000000000</v>
      </c>
      <c r="X69" s="34">
        <f>+W69</f>
        <v>15000000000</v>
      </c>
      <c r="Y69" s="34"/>
      <c r="Z69" s="34"/>
      <c r="AA69" s="34">
        <v>30000000000</v>
      </c>
      <c r="AB69" s="34">
        <f>+AA69</f>
        <v>30000000000</v>
      </c>
      <c r="AC69" s="34"/>
      <c r="AD69" s="34"/>
      <c r="AE69" s="34">
        <f>+W69</f>
        <v>15000000000</v>
      </c>
      <c r="AF69" s="34">
        <f>+X69</f>
        <v>15000000000</v>
      </c>
      <c r="AG69" s="38"/>
      <c r="AH69" s="38"/>
      <c r="AI69" s="34" t="s">
        <v>134</v>
      </c>
    </row>
    <row r="70" spans="1:36" ht="14.4" x14ac:dyDescent="0.3">
      <c r="A70" s="2" t="s">
        <v>106</v>
      </c>
      <c r="B70" s="19">
        <v>20</v>
      </c>
      <c r="C70" s="36" t="s">
        <v>78</v>
      </c>
      <c r="D70" s="37">
        <f>MROUND('[1]F Y U 2024 Presupuesto'!C70,1000)</f>
        <v>200000000</v>
      </c>
      <c r="E70" s="38"/>
      <c r="F70" s="38"/>
      <c r="G70" s="38">
        <f>+D70</f>
        <v>200000000</v>
      </c>
      <c r="H70" s="46"/>
      <c r="I70" s="34"/>
      <c r="J70" s="41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>
        <f>+D70*1.05</f>
        <v>210000000</v>
      </c>
      <c r="X70" s="34"/>
      <c r="Y70" s="34"/>
      <c r="Z70" s="34">
        <f>+W70</f>
        <v>210000000</v>
      </c>
      <c r="AA70" s="34">
        <f t="shared" ref="AA70:AA77" si="21">+W70*1.05</f>
        <v>220500000</v>
      </c>
      <c r="AB70" s="34"/>
      <c r="AC70" s="34"/>
      <c r="AD70" s="34">
        <f>+AA70</f>
        <v>220500000</v>
      </c>
      <c r="AE70" s="34">
        <f t="shared" si="19"/>
        <v>231525000</v>
      </c>
      <c r="AF70" s="38"/>
      <c r="AG70" s="38"/>
      <c r="AH70" s="38">
        <f>+AE70</f>
        <v>231525000</v>
      </c>
      <c r="AI70" s="34" t="s">
        <v>123</v>
      </c>
      <c r="AJ70" s="2" t="s">
        <v>136</v>
      </c>
    </row>
    <row r="71" spans="1:36" ht="14.4" x14ac:dyDescent="0.3">
      <c r="A71" s="2" t="s">
        <v>107</v>
      </c>
      <c r="B71" s="19">
        <v>25</v>
      </c>
      <c r="C71" s="36" t="s">
        <v>79</v>
      </c>
      <c r="D71" s="37">
        <f>MROUND('[1]F Y U 2024 Presupuesto'!C76,1000)</f>
        <v>173431997000</v>
      </c>
      <c r="E71" s="38">
        <f t="shared" ref="E71:E78" si="22">+D71</f>
        <v>173431997000</v>
      </c>
      <c r="F71" s="38"/>
      <c r="G71" s="38"/>
      <c r="H71" s="46"/>
      <c r="I71" s="34"/>
      <c r="J71" s="41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>
        <f>+D71*1.056</f>
        <v>183144188832</v>
      </c>
      <c r="X71" s="34">
        <f t="shared" ref="X71:X78" si="23">+W71</f>
        <v>183144188832</v>
      </c>
      <c r="Y71" s="34"/>
      <c r="Z71" s="34"/>
      <c r="AA71" s="34">
        <f t="shared" si="21"/>
        <v>192301398273.60001</v>
      </c>
      <c r="AB71" s="34">
        <f t="shared" ref="AB71:AB78" si="24">+AA71</f>
        <v>192301398273.60001</v>
      </c>
      <c r="AC71" s="34"/>
      <c r="AD71" s="34"/>
      <c r="AE71" s="34">
        <f t="shared" ref="AE71:AE77" si="25">+AA71*1.05</f>
        <v>201916468187.28003</v>
      </c>
      <c r="AF71" s="38">
        <f t="shared" ref="AF71:AF78" si="26">+AE71</f>
        <v>201916468187.28003</v>
      </c>
      <c r="AG71" s="34"/>
      <c r="AH71" s="34"/>
      <c r="AI71" s="34" t="s">
        <v>129</v>
      </c>
      <c r="AJ71" s="2" t="s">
        <v>136</v>
      </c>
    </row>
    <row r="72" spans="1:36" s="21" customFormat="1" ht="14.4" x14ac:dyDescent="0.3">
      <c r="A72" s="2" t="s">
        <v>107</v>
      </c>
      <c r="B72" s="19">
        <v>26</v>
      </c>
      <c r="C72" s="36" t="s">
        <v>80</v>
      </c>
      <c r="D72" s="37">
        <f>MROUND('[1]F Y U 2024 Presupuesto'!C77,1000)</f>
        <v>33454400000</v>
      </c>
      <c r="E72" s="38">
        <f t="shared" si="22"/>
        <v>33454400000</v>
      </c>
      <c r="F72" s="38"/>
      <c r="G72" s="38"/>
      <c r="H72" s="54"/>
      <c r="I72" s="43"/>
      <c r="J72" s="49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34">
        <f t="shared" ref="W72:W75" si="27">+D72*1.056</f>
        <v>35327846400</v>
      </c>
      <c r="X72" s="34">
        <f t="shared" si="23"/>
        <v>35327846400</v>
      </c>
      <c r="Y72" s="34"/>
      <c r="Z72" s="34"/>
      <c r="AA72" s="34">
        <f t="shared" si="21"/>
        <v>37094238720</v>
      </c>
      <c r="AB72" s="34">
        <f t="shared" si="24"/>
        <v>37094238720</v>
      </c>
      <c r="AC72" s="34"/>
      <c r="AD72" s="34"/>
      <c r="AE72" s="34">
        <f t="shared" si="25"/>
        <v>38948950656</v>
      </c>
      <c r="AF72" s="38">
        <f t="shared" si="26"/>
        <v>38948950656</v>
      </c>
      <c r="AG72" s="43"/>
      <c r="AH72" s="43"/>
      <c r="AI72" s="34" t="s">
        <v>129</v>
      </c>
      <c r="AJ72" s="2" t="s">
        <v>136</v>
      </c>
    </row>
    <row r="73" spans="1:36" ht="14.4" x14ac:dyDescent="0.3">
      <c r="A73" s="2" t="s">
        <v>107</v>
      </c>
      <c r="B73" s="19">
        <v>25</v>
      </c>
      <c r="C73" s="36" t="s">
        <v>81</v>
      </c>
      <c r="D73" s="37">
        <f>MROUND('[1]F Y U 2024 Presupuesto'!C78,1000)</f>
        <v>684320000</v>
      </c>
      <c r="E73" s="38">
        <f t="shared" si="22"/>
        <v>684320000</v>
      </c>
      <c r="F73" s="38"/>
      <c r="G73" s="38"/>
      <c r="H73" s="46"/>
      <c r="I73" s="34"/>
      <c r="J73" s="41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>
        <f t="shared" si="27"/>
        <v>722641920</v>
      </c>
      <c r="X73" s="34">
        <f t="shared" si="23"/>
        <v>722641920</v>
      </c>
      <c r="Y73" s="34"/>
      <c r="Z73" s="34"/>
      <c r="AA73" s="34">
        <f t="shared" si="21"/>
        <v>758774016</v>
      </c>
      <c r="AB73" s="34">
        <f t="shared" si="24"/>
        <v>758774016</v>
      </c>
      <c r="AC73" s="34"/>
      <c r="AD73" s="34"/>
      <c r="AE73" s="34">
        <f t="shared" si="25"/>
        <v>796712716.80000007</v>
      </c>
      <c r="AF73" s="38">
        <f t="shared" si="26"/>
        <v>796712716.80000007</v>
      </c>
      <c r="AG73" s="34"/>
      <c r="AH73" s="34"/>
      <c r="AI73" s="34" t="s">
        <v>129</v>
      </c>
      <c r="AJ73" s="2" t="s">
        <v>136</v>
      </c>
    </row>
    <row r="74" spans="1:36" ht="14.4" x14ac:dyDescent="0.3">
      <c r="A74" s="2" t="s">
        <v>107</v>
      </c>
      <c r="B74" s="19">
        <v>25</v>
      </c>
      <c r="C74" s="36" t="s">
        <v>82</v>
      </c>
      <c r="D74" s="37">
        <f>MROUND('[1]F Y U 2024 Presupuesto'!C79,1000)</f>
        <v>1559043000</v>
      </c>
      <c r="E74" s="38">
        <f t="shared" si="22"/>
        <v>1559043000</v>
      </c>
      <c r="F74" s="38"/>
      <c r="G74" s="38"/>
      <c r="H74" s="46"/>
      <c r="I74" s="34"/>
      <c r="J74" s="41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>
        <f t="shared" si="27"/>
        <v>1646349408</v>
      </c>
      <c r="X74" s="34">
        <f t="shared" si="23"/>
        <v>1646349408</v>
      </c>
      <c r="Y74" s="34"/>
      <c r="Z74" s="34"/>
      <c r="AA74" s="34">
        <f t="shared" si="21"/>
        <v>1728666878.4000001</v>
      </c>
      <c r="AB74" s="34">
        <f t="shared" si="24"/>
        <v>1728666878.4000001</v>
      </c>
      <c r="AC74" s="34"/>
      <c r="AD74" s="34"/>
      <c r="AE74" s="34">
        <f t="shared" si="25"/>
        <v>1815100222.3200002</v>
      </c>
      <c r="AF74" s="38">
        <f t="shared" si="26"/>
        <v>1815100222.3200002</v>
      </c>
      <c r="AG74" s="34"/>
      <c r="AH74" s="34"/>
      <c r="AI74" s="34" t="s">
        <v>129</v>
      </c>
      <c r="AJ74" s="2" t="s">
        <v>136</v>
      </c>
    </row>
    <row r="75" spans="1:36" ht="14.4" x14ac:dyDescent="0.3">
      <c r="A75" s="2" t="s">
        <v>107</v>
      </c>
      <c r="B75" s="19">
        <v>81</v>
      </c>
      <c r="C75" s="36" t="s">
        <v>83</v>
      </c>
      <c r="D75" s="37">
        <f>MROUND('[1]F Y U 2024 Presupuesto'!C80,1000)</f>
        <v>9901551000</v>
      </c>
      <c r="E75" s="38">
        <f t="shared" si="22"/>
        <v>9901551000</v>
      </c>
      <c r="F75" s="38"/>
      <c r="G75" s="38"/>
      <c r="H75" s="46"/>
      <c r="I75" s="34"/>
      <c r="J75" s="41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>
        <f t="shared" si="27"/>
        <v>10456037856</v>
      </c>
      <c r="X75" s="34">
        <f t="shared" si="23"/>
        <v>10456037856</v>
      </c>
      <c r="Y75" s="34"/>
      <c r="Z75" s="34"/>
      <c r="AA75" s="34">
        <f t="shared" si="21"/>
        <v>10978839748.800001</v>
      </c>
      <c r="AB75" s="34">
        <f t="shared" si="24"/>
        <v>10978839748.800001</v>
      </c>
      <c r="AC75" s="34"/>
      <c r="AD75" s="34"/>
      <c r="AE75" s="34">
        <f t="shared" si="25"/>
        <v>11527781736.240002</v>
      </c>
      <c r="AF75" s="38">
        <f t="shared" si="26"/>
        <v>11527781736.240002</v>
      </c>
      <c r="AG75" s="34"/>
      <c r="AH75" s="34"/>
      <c r="AI75" s="34" t="s">
        <v>133</v>
      </c>
      <c r="AJ75" s="2" t="s">
        <v>136</v>
      </c>
    </row>
    <row r="76" spans="1:36" s="21" customFormat="1" ht="14.4" x14ac:dyDescent="0.3">
      <c r="A76" s="2" t="s">
        <v>107</v>
      </c>
      <c r="B76" s="19">
        <v>21</v>
      </c>
      <c r="C76" s="36" t="s">
        <v>84</v>
      </c>
      <c r="D76" s="37">
        <f>MROUND('[1]F Y U 2024 Presupuesto'!C81,1000)</f>
        <v>248000000</v>
      </c>
      <c r="E76" s="38">
        <f t="shared" si="22"/>
        <v>248000000</v>
      </c>
      <c r="F76" s="38"/>
      <c r="G76" s="38"/>
      <c r="H76" s="54"/>
      <c r="I76" s="43"/>
      <c r="J76" s="49"/>
      <c r="K76" s="43"/>
      <c r="L76" s="43"/>
      <c r="M76" s="43"/>
      <c r="N76" s="55">
        <v>4000000</v>
      </c>
      <c r="O76" s="43"/>
      <c r="P76" s="43"/>
      <c r="Q76" s="43"/>
      <c r="R76" s="43"/>
      <c r="S76" s="43"/>
      <c r="T76" s="43"/>
      <c r="U76" s="43"/>
      <c r="V76" s="43"/>
      <c r="W76" s="34">
        <f>+D76*1.02</f>
        <v>252960000</v>
      </c>
      <c r="X76" s="34">
        <f t="shared" si="23"/>
        <v>252960000</v>
      </c>
      <c r="Y76" s="34"/>
      <c r="Z76" s="34"/>
      <c r="AA76" s="34">
        <f t="shared" si="21"/>
        <v>265608000</v>
      </c>
      <c r="AB76" s="34">
        <f t="shared" si="24"/>
        <v>265608000</v>
      </c>
      <c r="AC76" s="34"/>
      <c r="AD76" s="34"/>
      <c r="AE76" s="34">
        <f t="shared" si="25"/>
        <v>278888400</v>
      </c>
      <c r="AF76" s="38">
        <f t="shared" si="26"/>
        <v>278888400</v>
      </c>
      <c r="AG76" s="43"/>
      <c r="AH76" s="43"/>
      <c r="AI76" s="34" t="s">
        <v>124</v>
      </c>
      <c r="AJ76" s="2" t="s">
        <v>136</v>
      </c>
    </row>
    <row r="77" spans="1:36" s="21" customFormat="1" ht="14.4" x14ac:dyDescent="0.3">
      <c r="A77" s="2" t="s">
        <v>107</v>
      </c>
      <c r="B77" s="19">
        <v>81</v>
      </c>
      <c r="C77" s="36" t="s">
        <v>85</v>
      </c>
      <c r="D77" s="37">
        <f>MROUND('[1]F Y U 2024 Presupuesto'!C82,1000)</f>
        <v>10000000</v>
      </c>
      <c r="E77" s="38">
        <f t="shared" si="22"/>
        <v>10000000</v>
      </c>
      <c r="F77" s="38"/>
      <c r="G77" s="38"/>
      <c r="H77" s="54"/>
      <c r="I77" s="43"/>
      <c r="J77" s="49"/>
      <c r="K77" s="43"/>
      <c r="L77" s="43"/>
      <c r="M77" s="43"/>
      <c r="N77" s="55">
        <v>8226708</v>
      </c>
      <c r="O77" s="43"/>
      <c r="P77" s="43"/>
      <c r="Q77" s="43"/>
      <c r="R77" s="43"/>
      <c r="S77" s="43"/>
      <c r="T77" s="43"/>
      <c r="U77" s="43"/>
      <c r="V77" s="43"/>
      <c r="W77" s="34">
        <f>+D77*1.02</f>
        <v>10200000</v>
      </c>
      <c r="X77" s="34">
        <f t="shared" si="23"/>
        <v>10200000</v>
      </c>
      <c r="Y77" s="34"/>
      <c r="Z77" s="34"/>
      <c r="AA77" s="34">
        <f t="shared" si="21"/>
        <v>10710000</v>
      </c>
      <c r="AB77" s="34">
        <f t="shared" si="24"/>
        <v>10710000</v>
      </c>
      <c r="AC77" s="34"/>
      <c r="AD77" s="34"/>
      <c r="AE77" s="34">
        <f t="shared" si="25"/>
        <v>11245500</v>
      </c>
      <c r="AF77" s="38">
        <f t="shared" si="26"/>
        <v>11245500</v>
      </c>
      <c r="AG77" s="43"/>
      <c r="AH77" s="43"/>
      <c r="AI77" s="34" t="s">
        <v>124</v>
      </c>
      <c r="AJ77" s="2" t="s">
        <v>136</v>
      </c>
    </row>
    <row r="78" spans="1:36" s="21" customFormat="1" ht="14.4" x14ac:dyDescent="0.3">
      <c r="A78" s="2" t="s">
        <v>107</v>
      </c>
      <c r="B78" s="19">
        <v>9</v>
      </c>
      <c r="C78" s="36" t="s">
        <v>63</v>
      </c>
      <c r="D78" s="37">
        <v>0</v>
      </c>
      <c r="E78" s="38">
        <f t="shared" si="22"/>
        <v>0</v>
      </c>
      <c r="F78" s="38"/>
      <c r="G78" s="38"/>
      <c r="H78" s="54"/>
      <c r="I78" s="43"/>
      <c r="J78" s="49"/>
      <c r="K78" s="43"/>
      <c r="L78" s="43"/>
      <c r="M78" s="43"/>
      <c r="N78" s="55">
        <v>93990000</v>
      </c>
      <c r="O78" s="43"/>
      <c r="P78" s="43"/>
      <c r="Q78" s="43"/>
      <c r="R78" s="43"/>
      <c r="S78" s="43"/>
      <c r="T78" s="43"/>
      <c r="U78" s="43"/>
      <c r="V78" s="43"/>
      <c r="W78" s="34"/>
      <c r="X78" s="34">
        <f t="shared" si="23"/>
        <v>0</v>
      </c>
      <c r="Y78" s="34"/>
      <c r="Z78" s="34"/>
      <c r="AA78" s="34"/>
      <c r="AB78" s="34">
        <f t="shared" si="24"/>
        <v>0</v>
      </c>
      <c r="AC78" s="34"/>
      <c r="AD78" s="34"/>
      <c r="AE78" s="34"/>
      <c r="AF78" s="38">
        <f t="shared" si="26"/>
        <v>0</v>
      </c>
      <c r="AG78" s="43"/>
      <c r="AH78" s="43"/>
      <c r="AI78" s="34"/>
      <c r="AJ78" s="2"/>
    </row>
    <row r="79" spans="1:36" s="21" customFormat="1" ht="14.4" x14ac:dyDescent="0.3">
      <c r="A79" s="21" t="s">
        <v>108</v>
      </c>
      <c r="B79" s="19">
        <v>61</v>
      </c>
      <c r="C79" s="36" t="s">
        <v>86</v>
      </c>
      <c r="D79" s="37">
        <f>MROUND('[1]F Y U 2024 Presupuesto'!C87,1000)</f>
        <v>5409655000</v>
      </c>
      <c r="E79" s="38">
        <f t="shared" ref="E79:E99" si="28">+D79</f>
        <v>5409655000</v>
      </c>
      <c r="F79" s="38"/>
      <c r="G79" s="38"/>
      <c r="H79" s="54"/>
      <c r="I79" s="43"/>
      <c r="J79" s="49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34">
        <f>+D79*1.05</f>
        <v>5680137750</v>
      </c>
      <c r="X79" s="34">
        <f t="shared" ref="X79:X99" si="29">+W79</f>
        <v>5680137750</v>
      </c>
      <c r="Y79" s="34"/>
      <c r="Z79" s="34"/>
      <c r="AA79" s="34">
        <f t="shared" ref="AA79:AA101" si="30">+W79*1.05</f>
        <v>5964144637.5</v>
      </c>
      <c r="AB79" s="34">
        <f t="shared" ref="AB79:AB99" si="31">+AA79</f>
        <v>5964144637.5</v>
      </c>
      <c r="AC79" s="34"/>
      <c r="AD79" s="34"/>
      <c r="AE79" s="34">
        <f t="shared" ref="AE79:AE99" si="32">+AA79*1.05</f>
        <v>6262351869.375</v>
      </c>
      <c r="AF79" s="38">
        <f t="shared" ref="AF79:AF99" si="33">+AE79</f>
        <v>6262351869.375</v>
      </c>
      <c r="AG79" s="43"/>
      <c r="AH79" s="43"/>
      <c r="AI79" s="34" t="s">
        <v>130</v>
      </c>
      <c r="AJ79" s="2" t="s">
        <v>136</v>
      </c>
    </row>
    <row r="80" spans="1:36" s="21" customFormat="1" ht="14.4" x14ac:dyDescent="0.3">
      <c r="A80" s="21" t="s">
        <v>108</v>
      </c>
      <c r="B80" s="19">
        <v>171</v>
      </c>
      <c r="C80" s="36" t="s">
        <v>87</v>
      </c>
      <c r="D80" s="37">
        <f>MROUND('[1]F Y U 2024 Presupuesto'!C88,1000)</f>
        <v>2148092000</v>
      </c>
      <c r="E80" s="38">
        <f t="shared" si="28"/>
        <v>2148092000</v>
      </c>
      <c r="F80" s="38"/>
      <c r="G80" s="38"/>
      <c r="H80" s="54"/>
      <c r="I80" s="43"/>
      <c r="J80" s="49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34">
        <f t="shared" ref="W80:W99" si="34">+D80*1.05</f>
        <v>2255496600</v>
      </c>
      <c r="X80" s="34">
        <f t="shared" si="29"/>
        <v>2255496600</v>
      </c>
      <c r="Y80" s="34"/>
      <c r="Z80" s="34"/>
      <c r="AA80" s="34">
        <f t="shared" si="30"/>
        <v>2368271430</v>
      </c>
      <c r="AB80" s="34">
        <f t="shared" si="31"/>
        <v>2368271430</v>
      </c>
      <c r="AC80" s="34"/>
      <c r="AD80" s="34"/>
      <c r="AE80" s="34">
        <f t="shared" si="32"/>
        <v>2486685001.5</v>
      </c>
      <c r="AF80" s="38">
        <f t="shared" si="33"/>
        <v>2486685001.5</v>
      </c>
      <c r="AG80" s="43"/>
      <c r="AH80" s="43"/>
      <c r="AI80" s="34" t="s">
        <v>130</v>
      </c>
      <c r="AJ80" s="2" t="s">
        <v>136</v>
      </c>
    </row>
    <row r="81" spans="1:36" s="21" customFormat="1" ht="14.4" x14ac:dyDescent="0.3">
      <c r="A81" s="21" t="s">
        <v>108</v>
      </c>
      <c r="B81" s="19">
        <v>61</v>
      </c>
      <c r="C81" s="36" t="str">
        <f>+'[2]Plan Financiero 2021'!A100</f>
        <v>Rendimientos por Operaciones Financieras. (SGP - Salud Pública )</v>
      </c>
      <c r="D81" s="37">
        <f>MROUND('[1]F Y U 2024 Presupuesto'!C89,1000)</f>
        <v>3000000</v>
      </c>
      <c r="E81" s="38">
        <f t="shared" si="28"/>
        <v>3000000</v>
      </c>
      <c r="F81" s="38"/>
      <c r="G81" s="38"/>
      <c r="H81" s="54"/>
      <c r="I81" s="43"/>
      <c r="J81" s="49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34">
        <f t="shared" si="34"/>
        <v>3150000</v>
      </c>
      <c r="X81" s="34">
        <f t="shared" si="29"/>
        <v>3150000</v>
      </c>
      <c r="Y81" s="34"/>
      <c r="Z81" s="34"/>
      <c r="AA81" s="34">
        <f t="shared" si="30"/>
        <v>3307500</v>
      </c>
      <c r="AB81" s="34">
        <f t="shared" si="31"/>
        <v>3307500</v>
      </c>
      <c r="AC81" s="34"/>
      <c r="AD81" s="34"/>
      <c r="AE81" s="34">
        <f t="shared" si="32"/>
        <v>3472875</v>
      </c>
      <c r="AF81" s="38">
        <f t="shared" si="33"/>
        <v>3472875</v>
      </c>
      <c r="AG81" s="43"/>
      <c r="AH81" s="43"/>
      <c r="AI81" s="34" t="s">
        <v>124</v>
      </c>
      <c r="AJ81" s="2" t="s">
        <v>136</v>
      </c>
    </row>
    <row r="82" spans="1:36" s="21" customFormat="1" ht="14.4" x14ac:dyDescent="0.3">
      <c r="A82" s="21" t="s">
        <v>108</v>
      </c>
      <c r="B82" s="19">
        <v>171</v>
      </c>
      <c r="C82" s="36" t="str">
        <f>+'[2]Plan Financiero 2021'!A101</f>
        <v>Rendimientos por Operaciones Financieras. (SGP - Oferta)</v>
      </c>
      <c r="D82" s="37">
        <f>MROUND('[1]F Y U 2024 Presupuesto'!C90,1000)</f>
        <v>1000000</v>
      </c>
      <c r="E82" s="38">
        <f t="shared" si="28"/>
        <v>1000000</v>
      </c>
      <c r="F82" s="38"/>
      <c r="G82" s="38"/>
      <c r="H82" s="54"/>
      <c r="I82" s="43"/>
      <c r="J82" s="49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34">
        <f t="shared" si="34"/>
        <v>1050000</v>
      </c>
      <c r="X82" s="34">
        <f t="shared" si="29"/>
        <v>1050000</v>
      </c>
      <c r="Y82" s="34"/>
      <c r="Z82" s="34"/>
      <c r="AA82" s="34">
        <f t="shared" si="30"/>
        <v>1102500</v>
      </c>
      <c r="AB82" s="34">
        <f t="shared" si="31"/>
        <v>1102500</v>
      </c>
      <c r="AC82" s="34"/>
      <c r="AD82" s="34"/>
      <c r="AE82" s="34">
        <f t="shared" si="32"/>
        <v>1157625</v>
      </c>
      <c r="AF82" s="38">
        <f t="shared" si="33"/>
        <v>1157625</v>
      </c>
      <c r="AG82" s="43"/>
      <c r="AH82" s="43"/>
      <c r="AI82" s="34" t="s">
        <v>124</v>
      </c>
      <c r="AJ82" s="2" t="s">
        <v>136</v>
      </c>
    </row>
    <row r="83" spans="1:36" s="21" customFormat="1" ht="14.4" x14ac:dyDescent="0.3">
      <c r="A83" s="21" t="s">
        <v>108</v>
      </c>
      <c r="B83" s="19"/>
      <c r="C83" s="36" t="str">
        <f>+'[2]Plan Financiero 2021'!A102</f>
        <v>Rendimientos por Operaciones Financieras. (Fondo Estupefacientes )</v>
      </c>
      <c r="D83" s="37">
        <f>MROUND('[1]F Y U 2024 Presupuesto'!C91,1000)</f>
        <v>1000000</v>
      </c>
      <c r="E83" s="38">
        <f t="shared" si="28"/>
        <v>1000000</v>
      </c>
      <c r="F83" s="38"/>
      <c r="G83" s="38"/>
      <c r="H83" s="54"/>
      <c r="I83" s="43"/>
      <c r="J83" s="49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34">
        <f t="shared" si="34"/>
        <v>1050000</v>
      </c>
      <c r="X83" s="34">
        <f t="shared" si="29"/>
        <v>1050000</v>
      </c>
      <c r="Y83" s="34"/>
      <c r="Z83" s="34"/>
      <c r="AA83" s="34">
        <f t="shared" si="30"/>
        <v>1102500</v>
      </c>
      <c r="AB83" s="34">
        <f t="shared" si="31"/>
        <v>1102500</v>
      </c>
      <c r="AC83" s="34"/>
      <c r="AD83" s="34"/>
      <c r="AE83" s="34">
        <f t="shared" si="32"/>
        <v>1157625</v>
      </c>
      <c r="AF83" s="38">
        <f t="shared" si="33"/>
        <v>1157625</v>
      </c>
      <c r="AG83" s="43"/>
      <c r="AH83" s="43"/>
      <c r="AI83" s="34" t="s">
        <v>124</v>
      </c>
      <c r="AJ83" s="2" t="s">
        <v>136</v>
      </c>
    </row>
    <row r="84" spans="1:36" s="21" customFormat="1" ht="14.4" x14ac:dyDescent="0.3">
      <c r="A84" s="21" t="s">
        <v>108</v>
      </c>
      <c r="B84" s="19"/>
      <c r="C84" s="36" t="str">
        <f>+'[2]Plan Financiero 2021'!A103</f>
        <v>Rendimientos por Operaciones Financieras. (Rentas Cedidas )</v>
      </c>
      <c r="D84" s="37">
        <f>MROUND('[1]F Y U 2024 Presupuesto'!C92,1000)</f>
        <v>2000000</v>
      </c>
      <c r="E84" s="38">
        <f t="shared" si="28"/>
        <v>2000000</v>
      </c>
      <c r="F84" s="38"/>
      <c r="G84" s="38"/>
      <c r="H84" s="54"/>
      <c r="I84" s="43"/>
      <c r="J84" s="49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34">
        <f t="shared" si="34"/>
        <v>2100000</v>
      </c>
      <c r="X84" s="34">
        <f t="shared" si="29"/>
        <v>2100000</v>
      </c>
      <c r="Y84" s="34"/>
      <c r="Z84" s="34"/>
      <c r="AA84" s="34">
        <f t="shared" si="30"/>
        <v>2205000</v>
      </c>
      <c r="AB84" s="34">
        <f t="shared" si="31"/>
        <v>2205000</v>
      </c>
      <c r="AC84" s="34"/>
      <c r="AD84" s="34"/>
      <c r="AE84" s="34">
        <f t="shared" si="32"/>
        <v>2315250</v>
      </c>
      <c r="AF84" s="38">
        <f t="shared" si="33"/>
        <v>2315250</v>
      </c>
      <c r="AG84" s="43"/>
      <c r="AH84" s="43"/>
      <c r="AI84" s="34" t="s">
        <v>124</v>
      </c>
      <c r="AJ84" s="2" t="s">
        <v>136</v>
      </c>
    </row>
    <row r="85" spans="1:36" s="21" customFormat="1" ht="14.4" x14ac:dyDescent="0.3">
      <c r="A85" s="21" t="s">
        <v>108</v>
      </c>
      <c r="B85" s="19"/>
      <c r="C85" s="36" t="s">
        <v>88</v>
      </c>
      <c r="D85" s="37">
        <f>MROUND('[1]F Y U 2024 Presupuesto'!C93,1000)</f>
        <v>13674983000</v>
      </c>
      <c r="E85" s="38">
        <f t="shared" si="28"/>
        <v>13674983000</v>
      </c>
      <c r="F85" s="38"/>
      <c r="G85" s="38"/>
      <c r="H85" s="56">
        <f>+E85+D39+D40+D42</f>
        <v>36958741000</v>
      </c>
      <c r="I85" s="57">
        <f>+H85*14%</f>
        <v>5174223740.000001</v>
      </c>
      <c r="J85" s="58">
        <f>+I85-D39</f>
        <v>-94259.999999046326</v>
      </c>
      <c r="K85" s="55"/>
      <c r="L85" s="55"/>
      <c r="M85" s="55">
        <f>14+46+3</f>
        <v>63</v>
      </c>
      <c r="N85" s="55"/>
      <c r="O85" s="43"/>
      <c r="P85" s="43"/>
      <c r="Q85" s="43"/>
      <c r="R85" s="43"/>
      <c r="S85" s="43"/>
      <c r="T85" s="43"/>
      <c r="U85" s="43"/>
      <c r="V85" s="43"/>
      <c r="W85" s="34">
        <f t="shared" si="34"/>
        <v>14358732150</v>
      </c>
      <c r="X85" s="34">
        <f t="shared" si="29"/>
        <v>14358732150</v>
      </c>
      <c r="Y85" s="34"/>
      <c r="Z85" s="34"/>
      <c r="AA85" s="34">
        <f t="shared" si="30"/>
        <v>15076668757.5</v>
      </c>
      <c r="AB85" s="34">
        <f t="shared" si="31"/>
        <v>15076668757.5</v>
      </c>
      <c r="AC85" s="34"/>
      <c r="AD85" s="34"/>
      <c r="AE85" s="34">
        <f t="shared" si="32"/>
        <v>15830502195.375</v>
      </c>
      <c r="AF85" s="38">
        <f t="shared" si="33"/>
        <v>15830502195.375</v>
      </c>
      <c r="AG85" s="43"/>
      <c r="AH85" s="43"/>
      <c r="AI85" s="34" t="s">
        <v>88</v>
      </c>
      <c r="AJ85" s="2" t="s">
        <v>136</v>
      </c>
    </row>
    <row r="86" spans="1:36" s="21" customFormat="1" ht="14.4" x14ac:dyDescent="0.3">
      <c r="A86" s="21" t="s">
        <v>108</v>
      </c>
      <c r="B86" s="19"/>
      <c r="C86" s="36" t="s">
        <v>89</v>
      </c>
      <c r="D86" s="37">
        <f>MROUND('[1]F Y U 2024 Presupuesto'!C94,1000)</f>
        <v>4294347000</v>
      </c>
      <c r="E86" s="38">
        <f t="shared" si="28"/>
        <v>4294347000</v>
      </c>
      <c r="F86" s="38"/>
      <c r="G86" s="38"/>
      <c r="H86" s="56"/>
      <c r="I86" s="57">
        <f>+H85*3%</f>
        <v>1108762230</v>
      </c>
      <c r="J86" s="59">
        <f>+I86-D40</f>
        <v>652230</v>
      </c>
      <c r="K86" s="55"/>
      <c r="L86" s="55"/>
      <c r="M86" s="55">
        <f>100-M85</f>
        <v>37</v>
      </c>
      <c r="N86" s="55"/>
      <c r="O86" s="43"/>
      <c r="P86" s="43"/>
      <c r="Q86" s="43"/>
      <c r="R86" s="43"/>
      <c r="S86" s="43"/>
      <c r="T86" s="43"/>
      <c r="U86" s="43"/>
      <c r="V86" s="43"/>
      <c r="W86" s="34">
        <f t="shared" si="34"/>
        <v>4509064350</v>
      </c>
      <c r="X86" s="34">
        <f t="shared" si="29"/>
        <v>4509064350</v>
      </c>
      <c r="Y86" s="34"/>
      <c r="Z86" s="34"/>
      <c r="AA86" s="34">
        <f t="shared" si="30"/>
        <v>4734517567.5</v>
      </c>
      <c r="AB86" s="34">
        <f t="shared" si="31"/>
        <v>4734517567.5</v>
      </c>
      <c r="AC86" s="34"/>
      <c r="AD86" s="34"/>
      <c r="AE86" s="34">
        <f t="shared" si="32"/>
        <v>4971243445.875</v>
      </c>
      <c r="AF86" s="38">
        <f t="shared" si="33"/>
        <v>4971243445.875</v>
      </c>
      <c r="AG86" s="43"/>
      <c r="AH86" s="43"/>
      <c r="AI86" s="34" t="s">
        <v>114</v>
      </c>
      <c r="AJ86" s="2" t="s">
        <v>136</v>
      </c>
    </row>
    <row r="87" spans="1:36" s="21" customFormat="1" ht="14.4" x14ac:dyDescent="0.3">
      <c r="A87" s="21" t="s">
        <v>108</v>
      </c>
      <c r="B87" s="19"/>
      <c r="C87" s="36" t="s">
        <v>90</v>
      </c>
      <c r="D87" s="37">
        <f>MROUND('[1]F Y U 2024 Presupuesto'!C95,1000)</f>
        <v>6555523000</v>
      </c>
      <c r="E87" s="38">
        <f t="shared" si="28"/>
        <v>6555523000</v>
      </c>
      <c r="F87" s="38"/>
      <c r="G87" s="38"/>
      <c r="H87" s="56"/>
      <c r="I87" s="57">
        <f>+H85*46%</f>
        <v>17001020860</v>
      </c>
      <c r="J87" s="59">
        <f>+I87-D42</f>
        <v>-309140</v>
      </c>
      <c r="K87" s="55"/>
      <c r="L87" s="55"/>
      <c r="M87" s="55"/>
      <c r="N87" s="55"/>
      <c r="O87" s="43"/>
      <c r="P87" s="43"/>
      <c r="Q87" s="43"/>
      <c r="R87" s="43"/>
      <c r="S87" s="43"/>
      <c r="T87" s="43"/>
      <c r="U87" s="43"/>
      <c r="V87" s="43"/>
      <c r="W87" s="34">
        <f t="shared" si="34"/>
        <v>6883299150</v>
      </c>
      <c r="X87" s="34">
        <f t="shared" si="29"/>
        <v>6883299150</v>
      </c>
      <c r="Y87" s="34"/>
      <c r="Z87" s="34"/>
      <c r="AA87" s="34">
        <f t="shared" si="30"/>
        <v>7227464107.5</v>
      </c>
      <c r="AB87" s="34">
        <f t="shared" si="31"/>
        <v>7227464107.5</v>
      </c>
      <c r="AC87" s="34"/>
      <c r="AD87" s="34"/>
      <c r="AE87" s="34">
        <f t="shared" si="32"/>
        <v>7588837312.875</v>
      </c>
      <c r="AF87" s="38">
        <f t="shared" si="33"/>
        <v>7588837312.875</v>
      </c>
      <c r="AG87" s="43"/>
      <c r="AH87" s="43"/>
      <c r="AI87" s="34" t="s">
        <v>88</v>
      </c>
      <c r="AJ87" s="2" t="s">
        <v>136</v>
      </c>
    </row>
    <row r="88" spans="1:36" s="21" customFormat="1" ht="14.4" x14ac:dyDescent="0.3">
      <c r="A88" s="21" t="s">
        <v>108</v>
      </c>
      <c r="B88" s="19"/>
      <c r="C88" s="36" t="s">
        <v>91</v>
      </c>
      <c r="D88" s="37">
        <f>MROUND('[1]F Y U 2024 Presupuesto'!C96,1000)</f>
        <v>1039156000</v>
      </c>
      <c r="E88" s="38">
        <f t="shared" si="28"/>
        <v>1039156000</v>
      </c>
      <c r="F88" s="38"/>
      <c r="G88" s="38"/>
      <c r="H88" s="56"/>
      <c r="I88" s="57"/>
      <c r="J88" s="59"/>
      <c r="K88" s="55"/>
      <c r="L88" s="55"/>
      <c r="M88" s="55"/>
      <c r="N88" s="55"/>
      <c r="O88" s="43"/>
      <c r="P88" s="43"/>
      <c r="Q88" s="43"/>
      <c r="R88" s="43"/>
      <c r="S88" s="43"/>
      <c r="T88" s="43"/>
      <c r="U88" s="43"/>
      <c r="V88" s="43"/>
      <c r="W88" s="34">
        <f t="shared" si="34"/>
        <v>1091113800</v>
      </c>
      <c r="X88" s="34">
        <f t="shared" si="29"/>
        <v>1091113800</v>
      </c>
      <c r="Y88" s="34"/>
      <c r="Z88" s="34"/>
      <c r="AA88" s="34">
        <f t="shared" si="30"/>
        <v>1145669490</v>
      </c>
      <c r="AB88" s="34">
        <f t="shared" si="31"/>
        <v>1145669490</v>
      </c>
      <c r="AC88" s="34"/>
      <c r="AD88" s="34"/>
      <c r="AE88" s="34">
        <f t="shared" si="32"/>
        <v>1202952964.5</v>
      </c>
      <c r="AF88" s="38">
        <f t="shared" si="33"/>
        <v>1202952964.5</v>
      </c>
      <c r="AG88" s="43"/>
      <c r="AH88" s="43"/>
      <c r="AI88" s="34" t="s">
        <v>88</v>
      </c>
      <c r="AJ88" s="2" t="s">
        <v>136</v>
      </c>
    </row>
    <row r="89" spans="1:36" ht="15.75" customHeight="1" x14ac:dyDescent="0.3">
      <c r="A89" s="21" t="s">
        <v>108</v>
      </c>
      <c r="B89" s="19"/>
      <c r="C89" s="36" t="s">
        <v>92</v>
      </c>
      <c r="D89" s="37">
        <f>MROUND('[1]F Y U 2024 Presupuesto'!C97,1000)</f>
        <v>32160000</v>
      </c>
      <c r="E89" s="38">
        <f t="shared" si="28"/>
        <v>32160000</v>
      </c>
      <c r="F89" s="38"/>
      <c r="G89" s="38"/>
      <c r="H89" s="56"/>
      <c r="I89" s="57"/>
      <c r="J89" s="60"/>
      <c r="K89" s="48"/>
      <c r="L89" s="48"/>
      <c r="M89" s="48"/>
      <c r="N89" s="48"/>
      <c r="O89" s="34"/>
      <c r="P89" s="34"/>
      <c r="Q89" s="34"/>
      <c r="R89" s="34"/>
      <c r="S89" s="34"/>
      <c r="T89" s="34"/>
      <c r="U89" s="34"/>
      <c r="V89" s="34"/>
      <c r="W89" s="34">
        <f t="shared" si="34"/>
        <v>33768000</v>
      </c>
      <c r="X89" s="34">
        <f t="shared" si="29"/>
        <v>33768000</v>
      </c>
      <c r="Y89" s="34"/>
      <c r="Z89" s="34"/>
      <c r="AA89" s="34">
        <f t="shared" si="30"/>
        <v>35456400</v>
      </c>
      <c r="AB89" s="34">
        <f t="shared" si="31"/>
        <v>35456400</v>
      </c>
      <c r="AC89" s="34"/>
      <c r="AD89" s="34"/>
      <c r="AE89" s="34">
        <f t="shared" si="32"/>
        <v>37229220</v>
      </c>
      <c r="AF89" s="38">
        <f t="shared" si="33"/>
        <v>37229220</v>
      </c>
      <c r="AG89" s="34"/>
      <c r="AH89" s="34"/>
      <c r="AI89" s="34" t="s">
        <v>88</v>
      </c>
      <c r="AJ89" s="2" t="s">
        <v>136</v>
      </c>
    </row>
    <row r="90" spans="1:36" s="21" customFormat="1" ht="14.4" x14ac:dyDescent="0.3">
      <c r="A90" s="21" t="s">
        <v>108</v>
      </c>
      <c r="B90" s="19"/>
      <c r="C90" s="36" t="s">
        <v>93</v>
      </c>
      <c r="D90" s="37">
        <f>MROUND('[1]F Y U 2024 Presupuesto'!C98,1000)</f>
        <v>2874685000</v>
      </c>
      <c r="E90" s="38">
        <f t="shared" si="28"/>
        <v>2874685000</v>
      </c>
      <c r="F90" s="38"/>
      <c r="G90" s="38"/>
      <c r="H90" s="56"/>
      <c r="I90" s="57"/>
      <c r="J90" s="59"/>
      <c r="K90" s="55"/>
      <c r="L90" s="55"/>
      <c r="M90" s="55"/>
      <c r="N90" s="55"/>
      <c r="O90" s="43"/>
      <c r="P90" s="43"/>
      <c r="Q90" s="43"/>
      <c r="R90" s="43"/>
      <c r="S90" s="43"/>
      <c r="T90" s="43"/>
      <c r="U90" s="43"/>
      <c r="V90" s="43"/>
      <c r="W90" s="34">
        <f t="shared" si="34"/>
        <v>3018419250</v>
      </c>
      <c r="X90" s="34">
        <f t="shared" si="29"/>
        <v>3018419250</v>
      </c>
      <c r="Y90" s="34"/>
      <c r="Z90" s="34"/>
      <c r="AA90" s="34">
        <f t="shared" si="30"/>
        <v>3169340212.5</v>
      </c>
      <c r="AB90" s="34">
        <f t="shared" si="31"/>
        <v>3169340212.5</v>
      </c>
      <c r="AC90" s="34"/>
      <c r="AD90" s="34"/>
      <c r="AE90" s="34">
        <f t="shared" si="32"/>
        <v>3327807223.125</v>
      </c>
      <c r="AF90" s="38">
        <f t="shared" si="33"/>
        <v>3327807223.125</v>
      </c>
      <c r="AG90" s="43"/>
      <c r="AH90" s="43"/>
      <c r="AI90" s="34" t="s">
        <v>135</v>
      </c>
      <c r="AJ90" s="2" t="s">
        <v>136</v>
      </c>
    </row>
    <row r="91" spans="1:36" ht="14.4" x14ac:dyDescent="0.3">
      <c r="A91" s="21" t="s">
        <v>108</v>
      </c>
      <c r="B91" s="19"/>
      <c r="C91" s="36" t="s">
        <v>94</v>
      </c>
      <c r="D91" s="37">
        <f>MROUND('[1]F Y U 2024 Presupuesto'!C99,1000)</f>
        <v>935708000</v>
      </c>
      <c r="E91" s="38">
        <f t="shared" si="28"/>
        <v>935708000</v>
      </c>
      <c r="F91" s="38"/>
      <c r="G91" s="38"/>
      <c r="H91" s="56"/>
      <c r="I91" s="57"/>
      <c r="J91" s="60"/>
      <c r="K91" s="48"/>
      <c r="L91" s="48"/>
      <c r="M91" s="48"/>
      <c r="N91" s="48"/>
      <c r="O91" s="34"/>
      <c r="P91" s="34"/>
      <c r="Q91" s="34"/>
      <c r="R91" s="34"/>
      <c r="S91" s="34"/>
      <c r="T91" s="34"/>
      <c r="U91" s="34"/>
      <c r="V91" s="34"/>
      <c r="W91" s="34">
        <f t="shared" si="34"/>
        <v>982493400</v>
      </c>
      <c r="X91" s="34">
        <f t="shared" si="29"/>
        <v>982493400</v>
      </c>
      <c r="Y91" s="34"/>
      <c r="Z91" s="34"/>
      <c r="AA91" s="34">
        <f t="shared" si="30"/>
        <v>1031618070</v>
      </c>
      <c r="AB91" s="34">
        <f t="shared" si="31"/>
        <v>1031618070</v>
      </c>
      <c r="AC91" s="34"/>
      <c r="AD91" s="34"/>
      <c r="AE91" s="34">
        <f t="shared" si="32"/>
        <v>1083198973.5</v>
      </c>
      <c r="AF91" s="38">
        <f t="shared" si="33"/>
        <v>1083198973.5</v>
      </c>
      <c r="AG91" s="34"/>
      <c r="AH91" s="34"/>
      <c r="AI91" s="34" t="s">
        <v>111</v>
      </c>
      <c r="AJ91" s="2" t="s">
        <v>136</v>
      </c>
    </row>
    <row r="92" spans="1:36" ht="14.4" x14ac:dyDescent="0.3">
      <c r="A92" s="21" t="s">
        <v>108</v>
      </c>
      <c r="B92" s="19"/>
      <c r="C92" s="36" t="s">
        <v>95</v>
      </c>
      <c r="D92" s="37">
        <f>MROUND('[1]F Y U 2024 Presupuesto'!C100,1000)</f>
        <v>2710326000</v>
      </c>
      <c r="E92" s="38">
        <f t="shared" si="28"/>
        <v>2710326000</v>
      </c>
      <c r="F92" s="38"/>
      <c r="G92" s="38"/>
      <c r="H92" s="56"/>
      <c r="I92" s="57"/>
      <c r="J92" s="60"/>
      <c r="K92" s="48"/>
      <c r="L92" s="48"/>
      <c r="M92" s="48"/>
      <c r="N92" s="48"/>
      <c r="O92" s="34"/>
      <c r="P92" s="34"/>
      <c r="Q92" s="34"/>
      <c r="R92" s="34"/>
      <c r="S92" s="34"/>
      <c r="T92" s="34"/>
      <c r="U92" s="34"/>
      <c r="V92" s="34"/>
      <c r="W92" s="34">
        <f t="shared" si="34"/>
        <v>2845842300</v>
      </c>
      <c r="X92" s="34">
        <f t="shared" si="29"/>
        <v>2845842300</v>
      </c>
      <c r="Y92" s="34"/>
      <c r="Z92" s="34"/>
      <c r="AA92" s="34">
        <f t="shared" si="30"/>
        <v>2988134415</v>
      </c>
      <c r="AB92" s="34">
        <f t="shared" si="31"/>
        <v>2988134415</v>
      </c>
      <c r="AC92" s="34"/>
      <c r="AD92" s="34"/>
      <c r="AE92" s="34">
        <f t="shared" si="32"/>
        <v>3137541135.75</v>
      </c>
      <c r="AF92" s="38">
        <f t="shared" si="33"/>
        <v>3137541135.75</v>
      </c>
      <c r="AG92" s="34"/>
      <c r="AH92" s="34"/>
      <c r="AI92" s="34" t="s">
        <v>122</v>
      </c>
      <c r="AJ92" s="2" t="s">
        <v>136</v>
      </c>
    </row>
    <row r="93" spans="1:36" s="21" customFormat="1" ht="14.4" x14ac:dyDescent="0.3">
      <c r="A93" s="21" t="s">
        <v>108</v>
      </c>
      <c r="B93" s="19"/>
      <c r="C93" s="36" t="s">
        <v>96</v>
      </c>
      <c r="D93" s="37">
        <f>MROUND('[1]F Y U 2024 Presupuesto'!C101,1000)</f>
        <v>1496247000</v>
      </c>
      <c r="E93" s="38">
        <f t="shared" si="28"/>
        <v>1496247000</v>
      </c>
      <c r="F93" s="38"/>
      <c r="G93" s="38"/>
      <c r="H93" s="56"/>
      <c r="I93" s="57"/>
      <c r="J93" s="59"/>
      <c r="K93" s="55"/>
      <c r="L93" s="55"/>
      <c r="M93" s="55"/>
      <c r="N93" s="55"/>
      <c r="O93" s="43"/>
      <c r="P93" s="43"/>
      <c r="Q93" s="43"/>
      <c r="R93" s="43"/>
      <c r="S93" s="43"/>
      <c r="T93" s="43"/>
      <c r="U93" s="43"/>
      <c r="V93" s="43"/>
      <c r="W93" s="34">
        <f t="shared" si="34"/>
        <v>1571059350</v>
      </c>
      <c r="X93" s="34">
        <f t="shared" si="29"/>
        <v>1571059350</v>
      </c>
      <c r="Y93" s="34"/>
      <c r="Z93" s="34"/>
      <c r="AA93" s="34">
        <f t="shared" si="30"/>
        <v>1649612317.5</v>
      </c>
      <c r="AB93" s="34">
        <f t="shared" si="31"/>
        <v>1649612317.5</v>
      </c>
      <c r="AC93" s="34"/>
      <c r="AD93" s="34"/>
      <c r="AE93" s="34">
        <f t="shared" si="32"/>
        <v>1732092933.375</v>
      </c>
      <c r="AF93" s="38">
        <f t="shared" si="33"/>
        <v>1732092933.375</v>
      </c>
      <c r="AG93" s="43"/>
      <c r="AH93" s="43"/>
      <c r="AI93" s="34" t="s">
        <v>111</v>
      </c>
      <c r="AJ93" s="2" t="s">
        <v>136</v>
      </c>
    </row>
    <row r="94" spans="1:36" ht="14.4" x14ac:dyDescent="0.3">
      <c r="A94" s="21" t="s">
        <v>108</v>
      </c>
      <c r="B94" s="19"/>
      <c r="C94" s="36" t="s">
        <v>97</v>
      </c>
      <c r="D94" s="37">
        <f>MROUND('[1]F Y U 2024 Presupuesto'!C102,1000)</f>
        <v>300000000</v>
      </c>
      <c r="E94" s="38">
        <f t="shared" si="28"/>
        <v>300000000</v>
      </c>
      <c r="F94" s="38"/>
      <c r="G94" s="38"/>
      <c r="H94" s="46"/>
      <c r="I94" s="48"/>
      <c r="J94" s="60"/>
      <c r="K94" s="48"/>
      <c r="L94" s="48"/>
      <c r="M94" s="48"/>
      <c r="N94" s="48"/>
      <c r="O94" s="34"/>
      <c r="P94" s="34"/>
      <c r="Q94" s="34"/>
      <c r="R94" s="34"/>
      <c r="S94" s="34"/>
      <c r="T94" s="34"/>
      <c r="U94" s="34"/>
      <c r="V94" s="34"/>
      <c r="W94" s="34">
        <f t="shared" si="34"/>
        <v>315000000</v>
      </c>
      <c r="X94" s="34">
        <f t="shared" si="29"/>
        <v>315000000</v>
      </c>
      <c r="Y94" s="34"/>
      <c r="Z94" s="34"/>
      <c r="AA94" s="34">
        <f t="shared" si="30"/>
        <v>330750000</v>
      </c>
      <c r="AB94" s="34">
        <f t="shared" si="31"/>
        <v>330750000</v>
      </c>
      <c r="AC94" s="34"/>
      <c r="AD94" s="34"/>
      <c r="AE94" s="34">
        <f t="shared" si="32"/>
        <v>347287500</v>
      </c>
      <c r="AF94" s="38">
        <f t="shared" si="33"/>
        <v>347287500</v>
      </c>
      <c r="AG94" s="34"/>
      <c r="AH94" s="34"/>
      <c r="AI94" s="34" t="s">
        <v>137</v>
      </c>
      <c r="AJ94" s="2" t="s">
        <v>136</v>
      </c>
    </row>
    <row r="95" spans="1:36" s="21" customFormat="1" ht="14.4" x14ac:dyDescent="0.3">
      <c r="A95" s="21" t="s">
        <v>108</v>
      </c>
      <c r="B95" s="19"/>
      <c r="C95" s="36" t="s">
        <v>98</v>
      </c>
      <c r="D95" s="37">
        <f>MROUND('[1]F Y U 2024 Presupuesto'!C103,1000)</f>
        <v>15500000000</v>
      </c>
      <c r="E95" s="38">
        <f t="shared" si="28"/>
        <v>15500000000</v>
      </c>
      <c r="F95" s="38"/>
      <c r="G95" s="38"/>
      <c r="H95" s="54"/>
      <c r="I95" s="55"/>
      <c r="J95" s="59"/>
      <c r="K95" s="55"/>
      <c r="L95" s="55"/>
      <c r="M95" s="55"/>
      <c r="N95" s="55"/>
      <c r="O95" s="43"/>
      <c r="P95" s="43"/>
      <c r="Q95" s="43"/>
      <c r="R95" s="43"/>
      <c r="S95" s="43"/>
      <c r="T95" s="43"/>
      <c r="U95" s="43"/>
      <c r="V95" s="43"/>
      <c r="W95" s="34">
        <f t="shared" si="34"/>
        <v>16275000000</v>
      </c>
      <c r="X95" s="34">
        <f t="shared" si="29"/>
        <v>16275000000</v>
      </c>
      <c r="Y95" s="34"/>
      <c r="Z95" s="34"/>
      <c r="AA95" s="34">
        <f t="shared" si="30"/>
        <v>17088750000</v>
      </c>
      <c r="AB95" s="34">
        <f t="shared" si="31"/>
        <v>17088750000</v>
      </c>
      <c r="AC95" s="34"/>
      <c r="AD95" s="34"/>
      <c r="AE95" s="34">
        <f t="shared" si="32"/>
        <v>17943187500</v>
      </c>
      <c r="AF95" s="38">
        <f t="shared" si="33"/>
        <v>17943187500</v>
      </c>
      <c r="AG95" s="43"/>
      <c r="AH95" s="43"/>
      <c r="AI95" s="34" t="s">
        <v>115</v>
      </c>
      <c r="AJ95" s="2" t="s">
        <v>136</v>
      </c>
    </row>
    <row r="96" spans="1:36" s="21" customFormat="1" ht="14.4" x14ac:dyDescent="0.3">
      <c r="A96" s="21" t="s">
        <v>108</v>
      </c>
      <c r="B96" s="19"/>
      <c r="C96" s="36" t="s">
        <v>99</v>
      </c>
      <c r="D96" s="37">
        <f>MROUND('[1]F Y U 2024 Presupuesto'!C104,1000)</f>
        <v>5061794000</v>
      </c>
      <c r="E96" s="38">
        <f t="shared" si="28"/>
        <v>5061794000</v>
      </c>
      <c r="F96" s="38"/>
      <c r="G96" s="38"/>
      <c r="H96" s="54"/>
      <c r="I96" s="55"/>
      <c r="J96" s="59"/>
      <c r="K96" s="55"/>
      <c r="L96" s="55"/>
      <c r="M96" s="55"/>
      <c r="N96" s="55"/>
      <c r="O96" s="43"/>
      <c r="P96" s="43"/>
      <c r="Q96" s="43"/>
      <c r="R96" s="43"/>
      <c r="S96" s="43"/>
      <c r="T96" s="43"/>
      <c r="U96" s="43"/>
      <c r="V96" s="43"/>
      <c r="W96" s="34">
        <f t="shared" si="34"/>
        <v>5314883700</v>
      </c>
      <c r="X96" s="34">
        <f t="shared" si="29"/>
        <v>5314883700</v>
      </c>
      <c r="Y96" s="34"/>
      <c r="Z96" s="34"/>
      <c r="AA96" s="34">
        <f t="shared" si="30"/>
        <v>5580627885</v>
      </c>
      <c r="AB96" s="34">
        <f t="shared" si="31"/>
        <v>5580627885</v>
      </c>
      <c r="AC96" s="34"/>
      <c r="AD96" s="34"/>
      <c r="AE96" s="34">
        <f t="shared" si="32"/>
        <v>5859659279.25</v>
      </c>
      <c r="AF96" s="38">
        <f t="shared" si="33"/>
        <v>5859659279.25</v>
      </c>
      <c r="AG96" s="43"/>
      <c r="AH96" s="43"/>
      <c r="AI96" s="34" t="s">
        <v>115</v>
      </c>
      <c r="AJ96" s="2" t="s">
        <v>136</v>
      </c>
    </row>
    <row r="97" spans="1:36" s="21" customFormat="1" ht="14.4" x14ac:dyDescent="0.3">
      <c r="A97" s="21" t="s">
        <v>108</v>
      </c>
      <c r="B97" s="19" t="s">
        <v>100</v>
      </c>
      <c r="C97" s="36" t="s">
        <v>101</v>
      </c>
      <c r="D97" s="37">
        <f>MROUND('[1]F Y U 2024 Presupuesto'!C105,1000)</f>
        <v>2166183000</v>
      </c>
      <c r="E97" s="38">
        <f t="shared" si="28"/>
        <v>2166183000</v>
      </c>
      <c r="F97" s="38"/>
      <c r="G97" s="38"/>
      <c r="H97" s="54"/>
      <c r="I97" s="55"/>
      <c r="J97" s="59"/>
      <c r="K97" s="55"/>
      <c r="L97" s="55"/>
      <c r="M97" s="55"/>
      <c r="N97" s="55"/>
      <c r="O97" s="43"/>
      <c r="P97" s="43"/>
      <c r="Q97" s="43"/>
      <c r="R97" s="43"/>
      <c r="S97" s="43"/>
      <c r="T97" s="43"/>
      <c r="U97" s="43"/>
      <c r="V97" s="43"/>
      <c r="W97" s="34">
        <f t="shared" si="34"/>
        <v>2274492150</v>
      </c>
      <c r="X97" s="34">
        <f t="shared" si="29"/>
        <v>2274492150</v>
      </c>
      <c r="Y97" s="34"/>
      <c r="Z97" s="34"/>
      <c r="AA97" s="34">
        <f t="shared" si="30"/>
        <v>2388216757.5</v>
      </c>
      <c r="AB97" s="34">
        <f t="shared" si="31"/>
        <v>2388216757.5</v>
      </c>
      <c r="AC97" s="34"/>
      <c r="AD97" s="34"/>
      <c r="AE97" s="34">
        <f t="shared" si="32"/>
        <v>2507627595.375</v>
      </c>
      <c r="AF97" s="38">
        <f t="shared" si="33"/>
        <v>2507627595.375</v>
      </c>
      <c r="AG97" s="43"/>
      <c r="AH97" s="43"/>
      <c r="AI97" s="34" t="s">
        <v>125</v>
      </c>
      <c r="AJ97" s="2" t="s">
        <v>136</v>
      </c>
    </row>
    <row r="98" spans="1:36" s="21" customFormat="1" ht="14.4" x14ac:dyDescent="0.3">
      <c r="A98" s="21" t="s">
        <v>108</v>
      </c>
      <c r="B98" s="19"/>
      <c r="C98" s="36" t="str">
        <f>+'[2]Plan Financiero 2021'!A127</f>
        <v>IVA Cedido Sobre Licores, Vinos, Aperitivos y Similares</v>
      </c>
      <c r="D98" s="37">
        <f>MROUND('[1]F Y U 2024 Presupuesto'!C106,1000)</f>
        <v>2874685000</v>
      </c>
      <c r="E98" s="38">
        <f t="shared" si="28"/>
        <v>2874685000</v>
      </c>
      <c r="F98" s="38"/>
      <c r="G98" s="38"/>
      <c r="H98" s="54"/>
      <c r="I98" s="55"/>
      <c r="J98" s="59"/>
      <c r="K98" s="55"/>
      <c r="L98" s="55"/>
      <c r="M98" s="55"/>
      <c r="N98" s="55"/>
      <c r="O98" s="43"/>
      <c r="P98" s="43"/>
      <c r="Q98" s="43"/>
      <c r="R98" s="43"/>
      <c r="S98" s="43"/>
      <c r="T98" s="43"/>
      <c r="U98" s="43"/>
      <c r="V98" s="43"/>
      <c r="W98" s="34">
        <f t="shared" si="34"/>
        <v>3018419250</v>
      </c>
      <c r="X98" s="34">
        <f t="shared" si="29"/>
        <v>3018419250</v>
      </c>
      <c r="Y98" s="34"/>
      <c r="Z98" s="34"/>
      <c r="AA98" s="34">
        <f t="shared" si="30"/>
        <v>3169340212.5</v>
      </c>
      <c r="AB98" s="34">
        <f t="shared" si="31"/>
        <v>3169340212.5</v>
      </c>
      <c r="AC98" s="34"/>
      <c r="AD98" s="34"/>
      <c r="AE98" s="34">
        <f t="shared" si="32"/>
        <v>3327807223.125</v>
      </c>
      <c r="AF98" s="38">
        <f t="shared" si="33"/>
        <v>3327807223.125</v>
      </c>
      <c r="AG98" s="43"/>
      <c r="AH98" s="43"/>
      <c r="AI98" s="34" t="s">
        <v>111</v>
      </c>
      <c r="AJ98" s="2" t="s">
        <v>136</v>
      </c>
    </row>
    <row r="99" spans="1:36" s="21" customFormat="1" ht="14.4" x14ac:dyDescent="0.3">
      <c r="A99" s="21" t="s">
        <v>108</v>
      </c>
      <c r="B99" s="22"/>
      <c r="C99" s="61" t="s">
        <v>102</v>
      </c>
      <c r="D99" s="37">
        <f>MROUND('[1]F Y U 2024 Presupuesto'!C107,1000)</f>
        <v>3963289000</v>
      </c>
      <c r="E99" s="52">
        <f t="shared" si="28"/>
        <v>3963289000</v>
      </c>
      <c r="F99" s="52"/>
      <c r="G99" s="52"/>
      <c r="H99" s="54"/>
      <c r="I99" s="55"/>
      <c r="J99" s="59"/>
      <c r="K99" s="55"/>
      <c r="L99" s="55"/>
      <c r="M99" s="55"/>
      <c r="N99" s="55"/>
      <c r="O99" s="43"/>
      <c r="P99" s="43"/>
      <c r="Q99" s="43"/>
      <c r="R99" s="43"/>
      <c r="S99" s="43"/>
      <c r="T99" s="43"/>
      <c r="U99" s="43"/>
      <c r="V99" s="43"/>
      <c r="W99" s="34">
        <f t="shared" si="34"/>
        <v>4161453450</v>
      </c>
      <c r="X99" s="34">
        <f t="shared" si="29"/>
        <v>4161453450</v>
      </c>
      <c r="Y99" s="34"/>
      <c r="Z99" s="34"/>
      <c r="AA99" s="34">
        <f t="shared" si="30"/>
        <v>4369526122.5</v>
      </c>
      <c r="AB99" s="34">
        <f t="shared" si="31"/>
        <v>4369526122.5</v>
      </c>
      <c r="AC99" s="34"/>
      <c r="AD99" s="34"/>
      <c r="AE99" s="34">
        <f t="shared" si="32"/>
        <v>4588002428.625</v>
      </c>
      <c r="AF99" s="52">
        <f t="shared" si="33"/>
        <v>4588002428.625</v>
      </c>
      <c r="AG99" s="43"/>
      <c r="AH99" s="43"/>
      <c r="AI99" s="34" t="s">
        <v>133</v>
      </c>
      <c r="AJ99" s="2" t="s">
        <v>136</v>
      </c>
    </row>
    <row r="100" spans="1:36" s="21" customFormat="1" ht="14.4" x14ac:dyDescent="0.3">
      <c r="A100" s="21" t="s">
        <v>109</v>
      </c>
      <c r="B100" s="17">
        <v>27</v>
      </c>
      <c r="C100" s="36" t="s">
        <v>103</v>
      </c>
      <c r="D100" s="37">
        <f>MROUND('[1]F Y U 2024 Presupuesto'!C111,1000)</f>
        <v>4052617000</v>
      </c>
      <c r="E100" s="38">
        <f>+D100</f>
        <v>4052617000</v>
      </c>
      <c r="F100" s="62"/>
      <c r="G100" s="62"/>
      <c r="H100" s="54"/>
      <c r="I100" s="43"/>
      <c r="J100" s="49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34">
        <f>+D100*1.05</f>
        <v>4255247850</v>
      </c>
      <c r="X100" s="34">
        <f>+W100</f>
        <v>4255247850</v>
      </c>
      <c r="Y100" s="34"/>
      <c r="Z100" s="34"/>
      <c r="AA100" s="34">
        <f t="shared" si="30"/>
        <v>4468010242.5</v>
      </c>
      <c r="AB100" s="34">
        <f>+AA100</f>
        <v>4468010242.5</v>
      </c>
      <c r="AC100" s="34"/>
      <c r="AD100" s="34"/>
      <c r="AE100" s="34">
        <f>+AA100*1.05</f>
        <v>4691410754.625</v>
      </c>
      <c r="AF100" s="38">
        <f>+AE100</f>
        <v>4691410754.625</v>
      </c>
      <c r="AG100" s="43"/>
      <c r="AH100" s="43"/>
      <c r="AI100" s="34" t="s">
        <v>131</v>
      </c>
      <c r="AJ100" s="2" t="s">
        <v>136</v>
      </c>
    </row>
    <row r="101" spans="1:36" s="21" customFormat="1" ht="14.4" x14ac:dyDescent="0.3">
      <c r="A101" s="21" t="s">
        <v>110</v>
      </c>
      <c r="B101" s="18"/>
      <c r="C101" s="36" t="s">
        <v>104</v>
      </c>
      <c r="D101" s="37">
        <f>MROUND('[1]F Y U 2024 Presupuesto'!C115,1000)</f>
        <v>2461968000</v>
      </c>
      <c r="E101" s="38">
        <f>+D101</f>
        <v>2461968000</v>
      </c>
      <c r="F101" s="38"/>
      <c r="G101" s="38"/>
      <c r="H101" s="54"/>
      <c r="I101" s="55"/>
      <c r="J101" s="59"/>
      <c r="K101" s="55"/>
      <c r="L101" s="55"/>
      <c r="M101" s="55"/>
      <c r="N101" s="55"/>
      <c r="O101" s="43"/>
      <c r="P101" s="43"/>
      <c r="Q101" s="43"/>
      <c r="R101" s="43"/>
      <c r="S101" s="43"/>
      <c r="T101" s="43"/>
      <c r="U101" s="43"/>
      <c r="V101" s="43"/>
      <c r="W101" s="34">
        <f>+D101*1.19</f>
        <v>2929741920</v>
      </c>
      <c r="X101" s="34">
        <f>+W101</f>
        <v>2929741920</v>
      </c>
      <c r="Y101" s="34"/>
      <c r="Z101" s="34"/>
      <c r="AA101" s="34">
        <f t="shared" si="30"/>
        <v>3076229016</v>
      </c>
      <c r="AB101" s="34">
        <f>+AA101</f>
        <v>3076229016</v>
      </c>
      <c r="AC101" s="34"/>
      <c r="AD101" s="34"/>
      <c r="AE101" s="34">
        <f>+AA101*1.05</f>
        <v>3230040466.8000002</v>
      </c>
      <c r="AF101" s="38">
        <f>+AE101</f>
        <v>3230040466.8000002</v>
      </c>
      <c r="AG101" s="43"/>
      <c r="AH101" s="43"/>
      <c r="AI101" s="34" t="s">
        <v>118</v>
      </c>
      <c r="AJ101" s="2" t="s">
        <v>136</v>
      </c>
    </row>
    <row r="102" spans="1:36" x14ac:dyDescent="0.3">
      <c r="D102" s="21">
        <f t="shared" ref="D102:V102" si="35">SUM(D7:D101)</f>
        <v>508273313000</v>
      </c>
      <c r="E102" s="21">
        <f t="shared" si="35"/>
        <v>323481440400</v>
      </c>
      <c r="F102" s="21">
        <f t="shared" si="35"/>
        <v>54571697600</v>
      </c>
      <c r="G102" s="21">
        <f t="shared" si="35"/>
        <v>130220175000</v>
      </c>
      <c r="H102" s="21">
        <f t="shared" si="35"/>
        <v>36958741000</v>
      </c>
      <c r="I102" s="21">
        <f t="shared" si="35"/>
        <v>126748238830</v>
      </c>
      <c r="J102" s="21">
        <f t="shared" si="35"/>
        <v>29716390230</v>
      </c>
      <c r="K102" s="21">
        <f t="shared" si="35"/>
        <v>17592297248</v>
      </c>
      <c r="L102" s="21">
        <f t="shared" si="35"/>
        <v>51405788000</v>
      </c>
      <c r="M102" s="21">
        <f t="shared" si="35"/>
        <v>7496627100</v>
      </c>
      <c r="N102" s="21">
        <f t="shared" si="35"/>
        <v>106217108</v>
      </c>
      <c r="O102" s="21">
        <f t="shared" si="35"/>
        <v>0</v>
      </c>
      <c r="P102" s="21">
        <f t="shared" si="35"/>
        <v>22489881000</v>
      </c>
      <c r="Q102" s="21">
        <f t="shared" si="35"/>
        <v>0</v>
      </c>
      <c r="R102" s="21">
        <f t="shared" si="35"/>
        <v>0</v>
      </c>
      <c r="S102" s="21">
        <f t="shared" si="35"/>
        <v>7496627000</v>
      </c>
      <c r="T102" s="21">
        <f t="shared" si="35"/>
        <v>14993254000</v>
      </c>
      <c r="U102" s="21">
        <f t="shared" si="35"/>
        <v>-796000</v>
      </c>
      <c r="V102" s="21">
        <f t="shared" si="35"/>
        <v>0</v>
      </c>
      <c r="W102" s="21">
        <f>SUM(W7:W101)</f>
        <v>558097342656</v>
      </c>
      <c r="X102" s="21">
        <f t="shared" ref="X102:AF102" si="36">SUM(X7:X101)</f>
        <v>358432229512</v>
      </c>
      <c r="Y102" s="21">
        <f t="shared" si="36"/>
        <v>61004160114</v>
      </c>
      <c r="Z102" s="21">
        <f t="shared" si="36"/>
        <v>138660953030</v>
      </c>
      <c r="AA102" s="21">
        <f t="shared" si="36"/>
        <v>609641587282.19995</v>
      </c>
      <c r="AB102" s="21">
        <f t="shared" si="36"/>
        <v>393342643167.64001</v>
      </c>
      <c r="AC102" s="21">
        <f t="shared" si="36"/>
        <v>68428583577.059998</v>
      </c>
      <c r="AD102" s="21">
        <f t="shared" si="36"/>
        <v>147870360537.5</v>
      </c>
      <c r="AE102" s="21">
        <f t="shared" si="36"/>
        <v>634723675634.29602</v>
      </c>
      <c r="AF102" s="2">
        <f t="shared" si="36"/>
        <v>399762372802.60162</v>
      </c>
    </row>
    <row r="103" spans="1:36" x14ac:dyDescent="0.3">
      <c r="W103" s="2" t="s">
        <v>136</v>
      </c>
      <c r="AA103" s="2" t="s">
        <v>136</v>
      </c>
    </row>
  </sheetData>
  <autoFilter ref="A6:WVU103" xr:uid="{F2256CBF-1912-4A07-9BCB-593434F066B6}"/>
  <mergeCells count="17">
    <mergeCell ref="B2:G2"/>
    <mergeCell ref="W2:Z2"/>
    <mergeCell ref="AA2:AD2"/>
    <mergeCell ref="AE2:AH2"/>
    <mergeCell ref="B3:G3"/>
    <mergeCell ref="W3:Z3"/>
    <mergeCell ref="AA3:AD3"/>
    <mergeCell ref="AE3:AH3"/>
    <mergeCell ref="H8:H9"/>
    <mergeCell ref="B4:G4"/>
    <mergeCell ref="W4:Z4"/>
    <mergeCell ref="AA4:AD4"/>
    <mergeCell ref="AE4:AH4"/>
    <mergeCell ref="B5:G5"/>
    <mergeCell ref="W5:Z5"/>
    <mergeCell ref="AA5:AD5"/>
    <mergeCell ref="AE5:A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Eugenia Londoño Giraldo</dc:creator>
  <cp:lastModifiedBy>Beatriz Eugenia Londoño Giraldo</cp:lastModifiedBy>
  <dcterms:created xsi:type="dcterms:W3CDTF">2024-02-19T22:45:36Z</dcterms:created>
  <dcterms:modified xsi:type="dcterms:W3CDTF">2024-02-20T17:00:39Z</dcterms:modified>
</cp:coreProperties>
</file>