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finitivo\"/>
    </mc:Choice>
  </mc:AlternateContent>
  <bookViews>
    <workbookView xWindow="-120" yWindow="-120" windowWidth="20736" windowHeight="11160"/>
  </bookViews>
  <sheets>
    <sheet name="2023" sheetId="4" r:id="rId1"/>
    <sheet name="Hoja1" sheetId="13" r:id="rId2"/>
    <sheet name="Hoja2" sheetId="10" r:id="rId3"/>
    <sheet name="Hoja3" sheetId="11" r:id="rId4"/>
  </sheets>
  <definedNames>
    <definedName name="AMAZONAS">#REF!</definedName>
    <definedName name="ANTIOQUIA">#REF!</definedName>
    <definedName name="ARAUCA">#REF!</definedName>
    <definedName name="ATLÁNTICO">#REF!</definedName>
    <definedName name="BOGOTÁ">#REF!</definedName>
    <definedName name="BOLÍVAR">#REF!</definedName>
    <definedName name="BOYACÁ">#REF!</definedName>
    <definedName name="CALDAS">#REF!</definedName>
    <definedName name="CAQUETÁ">#REF!</definedName>
    <definedName name="CASANARE">#REF!</definedName>
    <definedName name="CAUCA">#REF!</definedName>
    <definedName name="CESAR">#REF!</definedName>
    <definedName name="CHOCÓ">#REF!</definedName>
    <definedName name="CÓRDOBA">#REF!</definedName>
    <definedName name="CUNDINAMARCA">#REF!</definedName>
    <definedName name="DEPARTAMENTO">#REF!</definedName>
    <definedName name="DEPTO">#REF!</definedName>
    <definedName name="GUAINÍA">#REF!</definedName>
    <definedName name="GUAVIARE">#REF!</definedName>
    <definedName name="HUILA">#REF!</definedName>
    <definedName name="LA_GUAJIRA">#REF!</definedName>
    <definedName name="MAGDALENA">#REF!</definedName>
    <definedName name="META">#REF!</definedName>
    <definedName name="NARIÑO">#REF!</definedName>
    <definedName name="NORTE_DE_SANTANDER">#REF!</definedName>
    <definedName name="PUTUMAYO">#REF!</definedName>
    <definedName name="QUINDÍO">#REF!</definedName>
    <definedName name="RISARALDA">#REF!</definedName>
    <definedName name="SAN_ANDRÉS">#REF!</definedName>
    <definedName name="SANTANDER">#REF!</definedName>
    <definedName name="SUCRE">#REF!</definedName>
    <definedName name="TOLIMA">#REF!</definedName>
    <definedName name="VALLE_DEL_CAUCA">#REF!</definedName>
    <definedName name="VAUPÉS">#REF!</definedName>
    <definedName name="VICHADA">#REF!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4" l="1"/>
  <c r="L6" i="4"/>
  <c r="L10" i="4"/>
  <c r="L9" i="4"/>
  <c r="L13" i="4"/>
  <c r="L14" i="4"/>
  <c r="L12" i="4"/>
  <c r="L17" i="4"/>
  <c r="L16" i="4"/>
  <c r="L18" i="4"/>
  <c r="L20" i="4"/>
  <c r="L23" i="4"/>
  <c r="L22" i="4"/>
  <c r="L24" i="4"/>
  <c r="L27" i="4"/>
  <c r="L26" i="4"/>
  <c r="L29" i="4"/>
  <c r="L28" i="4"/>
  <c r="L32" i="4"/>
  <c r="L31" i="4"/>
  <c r="L34" i="4"/>
  <c r="L35" i="4"/>
  <c r="L37" i="4"/>
  <c r="L33" i="4"/>
  <c r="L5" i="4"/>
  <c r="L40" i="4"/>
  <c r="L39" i="4"/>
  <c r="L41" i="4"/>
  <c r="L44" i="4"/>
  <c r="L43" i="4"/>
  <c r="L46" i="4"/>
  <c r="L45" i="4"/>
  <c r="L47" i="4"/>
  <c r="L49" i="4"/>
  <c r="L38" i="4"/>
  <c r="L52" i="4"/>
  <c r="L54" i="4"/>
  <c r="L57" i="4"/>
  <c r="L59" i="4"/>
  <c r="L62" i="4"/>
  <c r="L65" i="4"/>
  <c r="L67" i="4"/>
  <c r="L70" i="4"/>
  <c r="L72" i="4"/>
  <c r="L74" i="4"/>
  <c r="L76" i="4"/>
  <c r="L78" i="4"/>
  <c r="L81" i="4"/>
  <c r="L80" i="4"/>
  <c r="L84" i="4"/>
  <c r="L83" i="4"/>
  <c r="L86" i="4"/>
  <c r="L90" i="4"/>
  <c r="L92" i="4"/>
  <c r="L94" i="4"/>
  <c r="L97" i="4"/>
  <c r="L99" i="4"/>
  <c r="L101" i="4"/>
  <c r="L103" i="4"/>
  <c r="L106" i="4"/>
  <c r="L108" i="4"/>
  <c r="L112" i="4"/>
  <c r="L51" i="4"/>
  <c r="L115" i="4"/>
  <c r="L117" i="4"/>
  <c r="L119" i="4"/>
  <c r="L123" i="4"/>
  <c r="L122" i="4"/>
  <c r="L125" i="4"/>
  <c r="L124" i="4"/>
  <c r="L114" i="4"/>
  <c r="L127" i="4"/>
  <c r="L126" i="4"/>
  <c r="L135" i="4"/>
  <c r="L134" i="4"/>
  <c r="L136" i="4"/>
  <c r="L140" i="4"/>
  <c r="L141" i="4"/>
  <c r="L139" i="4"/>
  <c r="L144" i="4"/>
  <c r="L145" i="4"/>
  <c r="L143" i="4"/>
  <c r="L133" i="4"/>
  <c r="L131" i="4"/>
  <c r="L130" i="4"/>
  <c r="L147" i="4"/>
  <c r="N7" i="4"/>
  <c r="N6" i="4"/>
  <c r="N10" i="4"/>
  <c r="N9" i="4"/>
  <c r="N13" i="4"/>
  <c r="N14" i="4"/>
  <c r="N12" i="4"/>
  <c r="N17" i="4"/>
  <c r="N16" i="4"/>
  <c r="N18" i="4"/>
  <c r="N20" i="4"/>
  <c r="N22" i="4"/>
  <c r="N24" i="4"/>
  <c r="N27" i="4"/>
  <c r="N26" i="4"/>
  <c r="N29" i="4"/>
  <c r="N28" i="4"/>
  <c r="N32" i="4"/>
  <c r="N31" i="4"/>
  <c r="N34" i="4"/>
  <c r="N35" i="4"/>
  <c r="N37" i="4"/>
  <c r="N33" i="4"/>
  <c r="N5" i="4"/>
  <c r="N40" i="4"/>
  <c r="N39" i="4"/>
  <c r="N42" i="4"/>
  <c r="N41" i="4"/>
  <c r="N44" i="4"/>
  <c r="N43" i="4"/>
  <c r="N46" i="4"/>
  <c r="N45" i="4"/>
  <c r="N47" i="4"/>
  <c r="N49" i="4"/>
  <c r="N38" i="4"/>
  <c r="N52" i="4"/>
  <c r="N54" i="4"/>
  <c r="N57" i="4"/>
  <c r="N59" i="4"/>
  <c r="N62" i="4"/>
  <c r="N65" i="4"/>
  <c r="N67" i="4"/>
  <c r="N70" i="4"/>
  <c r="N72" i="4"/>
  <c r="N74" i="4"/>
  <c r="N76" i="4"/>
  <c r="N78" i="4"/>
  <c r="N81" i="4"/>
  <c r="N80" i="4"/>
  <c r="N84" i="4"/>
  <c r="N83" i="4"/>
  <c r="N86" i="4"/>
  <c r="N90" i="4"/>
  <c r="N92" i="4"/>
  <c r="N94" i="4"/>
  <c r="N97" i="4"/>
  <c r="N99" i="4"/>
  <c r="N101" i="4"/>
  <c r="N103" i="4"/>
  <c r="N106" i="4"/>
  <c r="N108" i="4"/>
  <c r="N112" i="4"/>
  <c r="N51" i="4"/>
  <c r="N115" i="4"/>
  <c r="N117" i="4"/>
  <c r="N119" i="4"/>
  <c r="N123" i="4"/>
  <c r="N122" i="4"/>
  <c r="N125" i="4"/>
  <c r="N124" i="4"/>
  <c r="N114" i="4"/>
  <c r="N128" i="4"/>
  <c r="N129" i="4"/>
  <c r="N127" i="4"/>
  <c r="N126" i="4"/>
  <c r="N135" i="4"/>
  <c r="N134" i="4"/>
  <c r="N136" i="4"/>
  <c r="N140" i="4"/>
  <c r="N141" i="4"/>
  <c r="N139" i="4"/>
  <c r="N144" i="4"/>
  <c r="N145" i="4"/>
  <c r="N143" i="4"/>
  <c r="N133" i="4"/>
  <c r="N132" i="4"/>
  <c r="N131" i="4"/>
  <c r="N130" i="4"/>
  <c r="N147" i="4"/>
  <c r="P7" i="4"/>
  <c r="P6" i="4"/>
  <c r="P10" i="4"/>
  <c r="P9" i="4"/>
  <c r="P13" i="4"/>
  <c r="P14" i="4"/>
  <c r="P12" i="4"/>
  <c r="P17" i="4"/>
  <c r="P16" i="4"/>
  <c r="P18" i="4"/>
  <c r="P21" i="4"/>
  <c r="P20" i="4"/>
  <c r="P22" i="4"/>
  <c r="P24" i="4"/>
  <c r="P27" i="4"/>
  <c r="P26" i="4"/>
  <c r="P29" i="4"/>
  <c r="P28" i="4"/>
  <c r="P32" i="4"/>
  <c r="P31" i="4"/>
  <c r="P34" i="4"/>
  <c r="P35" i="4"/>
  <c r="P37" i="4"/>
  <c r="P33" i="4"/>
  <c r="P5" i="4"/>
  <c r="P40" i="4"/>
  <c r="P39" i="4"/>
  <c r="P42" i="4"/>
  <c r="P41" i="4"/>
  <c r="P44" i="4"/>
  <c r="P43" i="4"/>
  <c r="P46" i="4"/>
  <c r="P45" i="4"/>
  <c r="P47" i="4"/>
  <c r="P49" i="4"/>
  <c r="P38" i="4"/>
  <c r="P52" i="4"/>
  <c r="P54" i="4"/>
  <c r="P57" i="4"/>
  <c r="P59" i="4"/>
  <c r="P62" i="4"/>
  <c r="P65" i="4"/>
  <c r="P70" i="4"/>
  <c r="P72" i="4"/>
  <c r="P74" i="4"/>
  <c r="P76" i="4"/>
  <c r="P78" i="4"/>
  <c r="P81" i="4"/>
  <c r="P80" i="4"/>
  <c r="P84" i="4"/>
  <c r="P83" i="4"/>
  <c r="P86" i="4"/>
  <c r="P90" i="4"/>
  <c r="P92" i="4"/>
  <c r="P94" i="4"/>
  <c r="P97" i="4"/>
  <c r="P99" i="4"/>
  <c r="P101" i="4"/>
  <c r="P103" i="4"/>
  <c r="P106" i="4"/>
  <c r="P108" i="4"/>
  <c r="P112" i="4"/>
  <c r="P51" i="4"/>
  <c r="P115" i="4"/>
  <c r="P117" i="4"/>
  <c r="P119" i="4"/>
  <c r="P123" i="4"/>
  <c r="P122" i="4"/>
  <c r="P125" i="4"/>
  <c r="P124" i="4"/>
  <c r="P114" i="4"/>
  <c r="P128" i="4"/>
  <c r="P129" i="4"/>
  <c r="P127" i="4"/>
  <c r="P126" i="4"/>
  <c r="P135" i="4"/>
  <c r="P134" i="4"/>
  <c r="P136" i="4"/>
  <c r="P140" i="4"/>
  <c r="P141" i="4"/>
  <c r="P139" i="4"/>
  <c r="P144" i="4"/>
  <c r="P145" i="4"/>
  <c r="P143" i="4"/>
  <c r="P133" i="4"/>
  <c r="P132" i="4"/>
  <c r="P131" i="4"/>
  <c r="P130" i="4"/>
  <c r="P147" i="4"/>
  <c r="R7" i="4"/>
  <c r="R6" i="4"/>
  <c r="R9" i="4"/>
  <c r="R13" i="4"/>
  <c r="R14" i="4"/>
  <c r="R12" i="4"/>
  <c r="R16" i="4"/>
  <c r="R20" i="4"/>
  <c r="R22" i="4"/>
  <c r="R24" i="4"/>
  <c r="R26" i="4"/>
  <c r="R28" i="4"/>
  <c r="R32" i="4"/>
  <c r="R31" i="4"/>
  <c r="R34" i="4"/>
  <c r="R35" i="4"/>
  <c r="R37" i="4"/>
  <c r="R33" i="4"/>
  <c r="R5" i="4"/>
  <c r="R40" i="4"/>
  <c r="R39" i="4"/>
  <c r="R42" i="4"/>
  <c r="R41" i="4"/>
  <c r="R44" i="4"/>
  <c r="R43" i="4"/>
  <c r="R46" i="4"/>
  <c r="R45" i="4"/>
  <c r="R47" i="4"/>
  <c r="R49" i="4"/>
  <c r="R38" i="4"/>
  <c r="R52" i="4"/>
  <c r="R54" i="4"/>
  <c r="R57" i="4"/>
  <c r="R59" i="4"/>
  <c r="R62" i="4"/>
  <c r="R65" i="4"/>
  <c r="R67" i="4"/>
  <c r="R70" i="4"/>
  <c r="R72" i="4"/>
  <c r="R74" i="4"/>
  <c r="R76" i="4"/>
  <c r="R78" i="4"/>
  <c r="R81" i="4"/>
  <c r="R80" i="4"/>
  <c r="R84" i="4"/>
  <c r="R83" i="4"/>
  <c r="R86" i="4"/>
  <c r="R90" i="4"/>
  <c r="R92" i="4"/>
  <c r="R94" i="4"/>
  <c r="R97" i="4"/>
  <c r="R99" i="4"/>
  <c r="R101" i="4"/>
  <c r="R103" i="4"/>
  <c r="R106" i="4"/>
  <c r="R108" i="4"/>
  <c r="R112" i="4"/>
  <c r="R51" i="4"/>
  <c r="R115" i="4"/>
  <c r="R117" i="4"/>
  <c r="R119" i="4"/>
  <c r="R123" i="4"/>
  <c r="R122" i="4"/>
  <c r="R125" i="4"/>
  <c r="R124" i="4"/>
  <c r="R114" i="4"/>
  <c r="R128" i="4"/>
  <c r="R129" i="4"/>
  <c r="R127" i="4"/>
  <c r="R126" i="4"/>
  <c r="R135" i="4"/>
  <c r="R134" i="4"/>
  <c r="R136" i="4"/>
  <c r="R140" i="4"/>
  <c r="R141" i="4"/>
  <c r="R139" i="4"/>
  <c r="R144" i="4"/>
  <c r="R145" i="4"/>
  <c r="R143" i="4"/>
  <c r="R133" i="4"/>
  <c r="R132" i="4"/>
  <c r="R131" i="4"/>
  <c r="R130" i="4"/>
  <c r="R147" i="4"/>
  <c r="F6" i="4"/>
  <c r="F9" i="4"/>
  <c r="F12" i="4"/>
  <c r="F16" i="4"/>
  <c r="F18" i="4"/>
  <c r="F20" i="4"/>
  <c r="F22" i="4"/>
  <c r="F24" i="4"/>
  <c r="F26" i="4"/>
  <c r="F28" i="4"/>
  <c r="F31" i="4"/>
  <c r="F33" i="4"/>
  <c r="F5" i="4"/>
  <c r="F39" i="4"/>
  <c r="F41" i="4"/>
  <c r="F43" i="4"/>
  <c r="F45" i="4"/>
  <c r="F47" i="4"/>
  <c r="F49" i="4"/>
  <c r="F38" i="4"/>
  <c r="F52" i="4"/>
  <c r="F54" i="4"/>
  <c r="F57" i="4"/>
  <c r="F59" i="4"/>
  <c r="F62" i="4"/>
  <c r="F65" i="4"/>
  <c r="F67" i="4"/>
  <c r="F70" i="4"/>
  <c r="F72" i="4"/>
  <c r="F74" i="4"/>
  <c r="F76" i="4"/>
  <c r="F78" i="4"/>
  <c r="F80" i="4"/>
  <c r="F83" i="4"/>
  <c r="F86" i="4"/>
  <c r="F90" i="4"/>
  <c r="F92" i="4"/>
  <c r="F94" i="4"/>
  <c r="F97" i="4"/>
  <c r="F99" i="4"/>
  <c r="F101" i="4"/>
  <c r="F103" i="4"/>
  <c r="F106" i="4"/>
  <c r="F108" i="4"/>
  <c r="F112" i="4"/>
  <c r="F51" i="4"/>
  <c r="F117" i="4"/>
  <c r="F119" i="4"/>
  <c r="F122" i="4"/>
  <c r="F124" i="4"/>
  <c r="F114" i="4"/>
  <c r="F127" i="4"/>
  <c r="F126" i="4"/>
  <c r="F131" i="4"/>
  <c r="F130" i="4"/>
  <c r="F134" i="4"/>
  <c r="F136" i="4"/>
  <c r="F139" i="4"/>
  <c r="F143" i="4"/>
  <c r="F133" i="4"/>
  <c r="F147" i="4"/>
  <c r="N149" i="4"/>
  <c r="H115" i="4"/>
  <c r="H117" i="4"/>
  <c r="H119" i="4"/>
  <c r="H122" i="4"/>
  <c r="H124" i="4"/>
  <c r="H114" i="4"/>
  <c r="E115" i="4"/>
  <c r="E117" i="4"/>
  <c r="E119" i="4"/>
  <c r="E122" i="4"/>
  <c r="E124" i="4"/>
  <c r="E114" i="4"/>
  <c r="H52" i="4"/>
  <c r="H54" i="4"/>
  <c r="H57" i="4"/>
  <c r="H59" i="4"/>
  <c r="H62" i="4"/>
  <c r="H65" i="4"/>
  <c r="H67" i="4"/>
  <c r="H70" i="4"/>
  <c r="H72" i="4"/>
  <c r="H74" i="4"/>
  <c r="H76" i="4"/>
  <c r="H78" i="4"/>
  <c r="H80" i="4"/>
  <c r="H83" i="4"/>
  <c r="H86" i="4"/>
  <c r="H90" i="4"/>
  <c r="H92" i="4"/>
  <c r="H94" i="4"/>
  <c r="H97" i="4"/>
  <c r="H99" i="4"/>
  <c r="H101" i="4"/>
  <c r="H103" i="4"/>
  <c r="H106" i="4"/>
  <c r="H108" i="4"/>
  <c r="H112" i="4"/>
  <c r="H51" i="4"/>
  <c r="E52" i="4"/>
  <c r="E54" i="4"/>
  <c r="E57" i="4"/>
  <c r="E59" i="4"/>
  <c r="E62" i="4"/>
  <c r="E65" i="4"/>
  <c r="E67" i="4"/>
  <c r="E70" i="4"/>
  <c r="E72" i="4"/>
  <c r="E74" i="4"/>
  <c r="E76" i="4"/>
  <c r="E78" i="4"/>
  <c r="E80" i="4"/>
  <c r="E83" i="4"/>
  <c r="E86" i="4"/>
  <c r="E90" i="4"/>
  <c r="E92" i="4"/>
  <c r="E94" i="4"/>
  <c r="E97" i="4"/>
  <c r="E99" i="4"/>
  <c r="E101" i="4"/>
  <c r="E103" i="4"/>
  <c r="E106" i="4"/>
  <c r="E108" i="4"/>
  <c r="E112" i="4"/>
  <c r="E51" i="4"/>
  <c r="H47" i="4"/>
  <c r="E47" i="4"/>
  <c r="H45" i="4"/>
  <c r="E45" i="4"/>
  <c r="H43" i="4"/>
  <c r="E43" i="4"/>
  <c r="H41" i="4"/>
  <c r="E41" i="4"/>
  <c r="H39" i="4"/>
  <c r="E39" i="4"/>
  <c r="H6" i="4"/>
  <c r="H9" i="4"/>
  <c r="H12" i="4"/>
  <c r="H16" i="4"/>
  <c r="H18" i="4"/>
  <c r="H20" i="4"/>
  <c r="H22" i="4"/>
  <c r="H24" i="4"/>
  <c r="H26" i="4"/>
  <c r="H28" i="4"/>
  <c r="H31" i="4"/>
  <c r="H33" i="4"/>
  <c r="H5" i="4"/>
  <c r="E6" i="4"/>
  <c r="E9" i="4"/>
  <c r="E12" i="4"/>
  <c r="E16" i="4"/>
  <c r="E18" i="4"/>
  <c r="E20" i="4"/>
  <c r="E22" i="4"/>
  <c r="E24" i="4"/>
  <c r="E26" i="4"/>
  <c r="E28" i="4"/>
  <c r="E31" i="4"/>
  <c r="E33" i="4"/>
  <c r="E5" i="4"/>
  <c r="R18" i="4"/>
  <c r="F115" i="4"/>
  <c r="I124" i="4"/>
  <c r="G124" i="4"/>
  <c r="S125" i="4"/>
  <c r="S124" i="4"/>
  <c r="Q125" i="4"/>
  <c r="Q124" i="4"/>
  <c r="O125" i="4"/>
  <c r="O124" i="4"/>
  <c r="M125" i="4"/>
  <c r="M124" i="4"/>
  <c r="I125" i="4"/>
  <c r="G125" i="4"/>
  <c r="O6" i="4"/>
  <c r="M6" i="4"/>
  <c r="Q6" i="4"/>
  <c r="S6" i="4"/>
  <c r="M7" i="4"/>
  <c r="O7" i="4"/>
  <c r="Q7" i="4"/>
  <c r="S7" i="4"/>
  <c r="M9" i="4"/>
  <c r="O9" i="4"/>
  <c r="Q9" i="4"/>
  <c r="S9" i="4"/>
  <c r="M10" i="4"/>
  <c r="O10" i="4"/>
  <c r="Q10" i="4"/>
  <c r="S10" i="4"/>
  <c r="M12" i="4"/>
  <c r="O12" i="4"/>
  <c r="Q12" i="4"/>
  <c r="S12" i="4"/>
  <c r="M13" i="4"/>
  <c r="O13" i="4"/>
  <c r="Q13" i="4"/>
  <c r="S13" i="4"/>
  <c r="M14" i="4"/>
  <c r="O14" i="4"/>
  <c r="Q14" i="4"/>
  <c r="S14" i="4"/>
  <c r="M16" i="4"/>
  <c r="O16" i="4"/>
  <c r="Q16" i="4"/>
  <c r="S16" i="4"/>
  <c r="M17" i="4"/>
  <c r="O17" i="4"/>
  <c r="Q17" i="4"/>
  <c r="S17" i="4"/>
  <c r="M20" i="4"/>
  <c r="O20" i="4"/>
  <c r="Q20" i="4"/>
  <c r="S20" i="4"/>
  <c r="M21" i="4"/>
  <c r="O21" i="4"/>
  <c r="Q21" i="4"/>
  <c r="S21" i="4"/>
  <c r="M22" i="4"/>
  <c r="O22" i="4"/>
  <c r="Q22" i="4"/>
  <c r="S22" i="4"/>
  <c r="M23" i="4"/>
  <c r="O23" i="4"/>
  <c r="Q23" i="4"/>
  <c r="S23" i="4"/>
  <c r="M26" i="4"/>
  <c r="O26" i="4"/>
  <c r="Q26" i="4"/>
  <c r="S26" i="4"/>
  <c r="M27" i="4"/>
  <c r="O27" i="4"/>
  <c r="Q27" i="4"/>
  <c r="S27" i="4"/>
  <c r="M28" i="4"/>
  <c r="O28" i="4"/>
  <c r="Q28" i="4"/>
  <c r="S28" i="4"/>
  <c r="M29" i="4"/>
  <c r="O29" i="4"/>
  <c r="Q29" i="4"/>
  <c r="S29" i="4"/>
  <c r="M31" i="4"/>
  <c r="O31" i="4"/>
  <c r="Q31" i="4"/>
  <c r="S31" i="4"/>
  <c r="M32" i="4"/>
  <c r="O32" i="4"/>
  <c r="Q32" i="4"/>
  <c r="S32" i="4"/>
  <c r="M33" i="4"/>
  <c r="O33" i="4"/>
  <c r="Q33" i="4"/>
  <c r="S33" i="4"/>
  <c r="M34" i="4"/>
  <c r="O34" i="4"/>
  <c r="Q34" i="4"/>
  <c r="S34" i="4"/>
  <c r="M35" i="4"/>
  <c r="O35" i="4"/>
  <c r="Q35" i="4"/>
  <c r="S35" i="4"/>
  <c r="M37" i="4"/>
  <c r="O37" i="4"/>
  <c r="Q37" i="4"/>
  <c r="S37" i="4"/>
  <c r="M38" i="4"/>
  <c r="O38" i="4"/>
  <c r="Q38" i="4"/>
  <c r="S38" i="4"/>
  <c r="M39" i="4"/>
  <c r="O39" i="4"/>
  <c r="Q39" i="4"/>
  <c r="S39" i="4"/>
  <c r="M40" i="4"/>
  <c r="O40" i="4"/>
  <c r="Q40" i="4"/>
  <c r="S40" i="4"/>
  <c r="M41" i="4"/>
  <c r="O41" i="4"/>
  <c r="Q41" i="4"/>
  <c r="S41" i="4"/>
  <c r="M42" i="4"/>
  <c r="O42" i="4"/>
  <c r="Q42" i="4"/>
  <c r="S42" i="4"/>
  <c r="M43" i="4"/>
  <c r="O43" i="4"/>
  <c r="Q43" i="4"/>
  <c r="S43" i="4"/>
  <c r="M44" i="4"/>
  <c r="O44" i="4"/>
  <c r="Q44" i="4"/>
  <c r="S44" i="4"/>
  <c r="M45" i="4"/>
  <c r="O45" i="4"/>
  <c r="Q45" i="4"/>
  <c r="S45" i="4"/>
  <c r="M46" i="4"/>
  <c r="O46" i="4"/>
  <c r="Q46" i="4"/>
  <c r="S46" i="4"/>
  <c r="M47" i="4"/>
  <c r="O47" i="4"/>
  <c r="Q47" i="4"/>
  <c r="S47" i="4"/>
  <c r="M48" i="4"/>
  <c r="O48" i="4"/>
  <c r="Q48" i="4"/>
  <c r="S48" i="4"/>
  <c r="M51" i="4"/>
  <c r="O51" i="4"/>
  <c r="Q51" i="4"/>
  <c r="S51" i="4"/>
  <c r="M52" i="4"/>
  <c r="O52" i="4"/>
  <c r="Q52" i="4"/>
  <c r="S52" i="4"/>
  <c r="M53" i="4"/>
  <c r="O53" i="4"/>
  <c r="Q53" i="4"/>
  <c r="S53" i="4"/>
  <c r="M54" i="4"/>
  <c r="O54" i="4"/>
  <c r="Q54" i="4"/>
  <c r="S54" i="4"/>
  <c r="M55" i="4"/>
  <c r="O55" i="4"/>
  <c r="Q55" i="4"/>
  <c r="S55" i="4"/>
  <c r="M56" i="4"/>
  <c r="O56" i="4"/>
  <c r="Q56" i="4"/>
  <c r="S56" i="4"/>
  <c r="M57" i="4"/>
  <c r="O57" i="4"/>
  <c r="Q57" i="4"/>
  <c r="S57" i="4"/>
  <c r="M58" i="4"/>
  <c r="O58" i="4"/>
  <c r="Q58" i="4"/>
  <c r="S58" i="4"/>
  <c r="M59" i="4"/>
  <c r="O59" i="4"/>
  <c r="Q59" i="4"/>
  <c r="S59" i="4"/>
  <c r="M60" i="4"/>
  <c r="O60" i="4"/>
  <c r="Q60" i="4"/>
  <c r="S60" i="4"/>
  <c r="M61" i="4"/>
  <c r="O61" i="4"/>
  <c r="Q61" i="4"/>
  <c r="S61" i="4"/>
  <c r="M62" i="4"/>
  <c r="O62" i="4"/>
  <c r="Q62" i="4"/>
  <c r="S62" i="4"/>
  <c r="M63" i="4"/>
  <c r="O63" i="4"/>
  <c r="Q63" i="4"/>
  <c r="S63" i="4"/>
  <c r="M64" i="4"/>
  <c r="O64" i="4"/>
  <c r="Q64" i="4"/>
  <c r="S64" i="4"/>
  <c r="M65" i="4"/>
  <c r="O65" i="4"/>
  <c r="Q65" i="4"/>
  <c r="S65" i="4"/>
  <c r="M66" i="4"/>
  <c r="O66" i="4"/>
  <c r="Q66" i="4"/>
  <c r="S66" i="4"/>
  <c r="M70" i="4"/>
  <c r="O70" i="4"/>
  <c r="Q70" i="4"/>
  <c r="S70" i="4"/>
  <c r="M71" i="4"/>
  <c r="O71" i="4"/>
  <c r="Q71" i="4"/>
  <c r="S71" i="4"/>
  <c r="M74" i="4"/>
  <c r="O74" i="4"/>
  <c r="Q74" i="4"/>
  <c r="S74" i="4"/>
  <c r="M75" i="4"/>
  <c r="O75" i="4"/>
  <c r="Q75" i="4"/>
  <c r="S75" i="4"/>
  <c r="M76" i="4"/>
  <c r="O76" i="4"/>
  <c r="Q76" i="4"/>
  <c r="S76" i="4"/>
  <c r="M77" i="4"/>
  <c r="O77" i="4"/>
  <c r="Q77" i="4"/>
  <c r="S77" i="4"/>
  <c r="M78" i="4"/>
  <c r="O78" i="4"/>
  <c r="Q78" i="4"/>
  <c r="S78" i="4"/>
  <c r="M79" i="4"/>
  <c r="O79" i="4"/>
  <c r="Q79" i="4"/>
  <c r="S79" i="4"/>
  <c r="M80" i="4"/>
  <c r="O80" i="4"/>
  <c r="Q80" i="4"/>
  <c r="S80" i="4"/>
  <c r="M81" i="4"/>
  <c r="O81" i="4"/>
  <c r="Q81" i="4"/>
  <c r="S81" i="4"/>
  <c r="M82" i="4"/>
  <c r="O82" i="4"/>
  <c r="Q82" i="4"/>
  <c r="S82" i="4"/>
  <c r="M83" i="4"/>
  <c r="O83" i="4"/>
  <c r="Q83" i="4"/>
  <c r="S83" i="4"/>
  <c r="M84" i="4"/>
  <c r="O84" i="4"/>
  <c r="Q84" i="4"/>
  <c r="S84" i="4"/>
  <c r="M85" i="4"/>
  <c r="O85" i="4"/>
  <c r="Q85" i="4"/>
  <c r="S85" i="4"/>
  <c r="M86" i="4"/>
  <c r="O86" i="4"/>
  <c r="Q86" i="4"/>
  <c r="S86" i="4"/>
  <c r="M87" i="4"/>
  <c r="O87" i="4"/>
  <c r="Q87" i="4"/>
  <c r="S87" i="4"/>
  <c r="M88" i="4"/>
  <c r="O88" i="4"/>
  <c r="Q88" i="4"/>
  <c r="S88" i="4"/>
  <c r="M89" i="4"/>
  <c r="O89" i="4"/>
  <c r="Q89" i="4"/>
  <c r="S89" i="4"/>
  <c r="M90" i="4"/>
  <c r="O90" i="4"/>
  <c r="Q90" i="4"/>
  <c r="S90" i="4"/>
  <c r="M91" i="4"/>
  <c r="O91" i="4"/>
  <c r="Q91" i="4"/>
  <c r="S91" i="4"/>
  <c r="M92" i="4"/>
  <c r="O92" i="4"/>
  <c r="Q92" i="4"/>
  <c r="S92" i="4"/>
  <c r="M93" i="4"/>
  <c r="O93" i="4"/>
  <c r="Q93" i="4"/>
  <c r="S93" i="4"/>
  <c r="M94" i="4"/>
  <c r="O94" i="4"/>
  <c r="Q94" i="4"/>
  <c r="S94" i="4"/>
  <c r="M95" i="4"/>
  <c r="O95" i="4"/>
  <c r="Q95" i="4"/>
  <c r="S95" i="4"/>
  <c r="M96" i="4"/>
  <c r="O96" i="4"/>
  <c r="Q96" i="4"/>
  <c r="S96" i="4"/>
  <c r="M97" i="4"/>
  <c r="O97" i="4"/>
  <c r="Q97" i="4"/>
  <c r="S97" i="4"/>
  <c r="M98" i="4"/>
  <c r="O98" i="4"/>
  <c r="Q98" i="4"/>
  <c r="S98" i="4"/>
  <c r="M99" i="4"/>
  <c r="O99" i="4"/>
  <c r="Q99" i="4"/>
  <c r="S99" i="4"/>
  <c r="M100" i="4"/>
  <c r="O100" i="4"/>
  <c r="Q100" i="4"/>
  <c r="S100" i="4"/>
  <c r="M101" i="4"/>
  <c r="O101" i="4"/>
  <c r="Q101" i="4"/>
  <c r="S101" i="4"/>
  <c r="M102" i="4"/>
  <c r="O102" i="4"/>
  <c r="Q102" i="4"/>
  <c r="S102" i="4"/>
  <c r="M103" i="4"/>
  <c r="O103" i="4"/>
  <c r="Q103" i="4"/>
  <c r="S103" i="4"/>
  <c r="M104" i="4"/>
  <c r="O104" i="4"/>
  <c r="Q104" i="4"/>
  <c r="S104" i="4"/>
  <c r="M105" i="4"/>
  <c r="O105" i="4"/>
  <c r="Q105" i="4"/>
  <c r="S105" i="4"/>
  <c r="M106" i="4"/>
  <c r="O106" i="4"/>
  <c r="Q106" i="4"/>
  <c r="S106" i="4"/>
  <c r="M107" i="4"/>
  <c r="O107" i="4"/>
  <c r="Q107" i="4"/>
  <c r="S107" i="4"/>
  <c r="M108" i="4"/>
  <c r="O108" i="4"/>
  <c r="Q108" i="4"/>
  <c r="S108" i="4"/>
  <c r="M110" i="4"/>
  <c r="O110" i="4"/>
  <c r="Q110" i="4"/>
  <c r="S110" i="4"/>
  <c r="M111" i="4"/>
  <c r="O111" i="4"/>
  <c r="Q111" i="4"/>
  <c r="S111" i="4"/>
  <c r="M112" i="4"/>
  <c r="O112" i="4"/>
  <c r="Q112" i="4"/>
  <c r="S112" i="4"/>
  <c r="M113" i="4"/>
  <c r="O113" i="4"/>
  <c r="Q113" i="4"/>
  <c r="S113" i="4"/>
  <c r="O114" i="4"/>
  <c r="Q114" i="4"/>
  <c r="S114" i="4"/>
  <c r="M122" i="4"/>
  <c r="O122" i="4"/>
  <c r="Q122" i="4"/>
  <c r="S122" i="4"/>
  <c r="M123" i="4"/>
  <c r="O123" i="4"/>
  <c r="Q123" i="4"/>
  <c r="S123" i="4"/>
  <c r="M126" i="4"/>
  <c r="O126" i="4"/>
  <c r="Q126" i="4"/>
  <c r="S126" i="4"/>
  <c r="M127" i="4"/>
  <c r="O127" i="4"/>
  <c r="Q127" i="4"/>
  <c r="S127" i="4"/>
  <c r="M128" i="4"/>
  <c r="O128" i="4"/>
  <c r="Q128" i="4"/>
  <c r="S128" i="4"/>
  <c r="M129" i="4"/>
  <c r="O129" i="4"/>
  <c r="Q129" i="4"/>
  <c r="S129" i="4"/>
  <c r="M130" i="4"/>
  <c r="O130" i="4"/>
  <c r="Q130" i="4"/>
  <c r="S130" i="4"/>
  <c r="M131" i="4"/>
  <c r="O131" i="4"/>
  <c r="Q131" i="4"/>
  <c r="S131" i="4"/>
  <c r="M132" i="4"/>
  <c r="O132" i="4"/>
  <c r="Q132" i="4"/>
  <c r="S132" i="4"/>
  <c r="M133" i="4"/>
  <c r="O133" i="4"/>
  <c r="Q133" i="4"/>
  <c r="S133" i="4"/>
  <c r="M134" i="4"/>
  <c r="O134" i="4"/>
  <c r="Q134" i="4"/>
  <c r="S134" i="4"/>
  <c r="M135" i="4"/>
  <c r="O135" i="4"/>
  <c r="Q135" i="4"/>
  <c r="S135" i="4"/>
  <c r="M136" i="4"/>
  <c r="O136" i="4"/>
  <c r="Q136" i="4"/>
  <c r="S136" i="4"/>
  <c r="M137" i="4"/>
  <c r="O137" i="4"/>
  <c r="Q137" i="4"/>
  <c r="S137" i="4"/>
  <c r="M138" i="4"/>
  <c r="O138" i="4"/>
  <c r="Q138" i="4"/>
  <c r="S138" i="4"/>
  <c r="M139" i="4"/>
  <c r="O139" i="4"/>
  <c r="Q139" i="4"/>
  <c r="S139" i="4"/>
  <c r="M140" i="4"/>
  <c r="O140" i="4"/>
  <c r="Q140" i="4"/>
  <c r="S140" i="4"/>
  <c r="M141" i="4"/>
  <c r="O141" i="4"/>
  <c r="Q141" i="4"/>
  <c r="S141" i="4"/>
  <c r="M143" i="4"/>
  <c r="O143" i="4"/>
  <c r="Q143" i="4"/>
  <c r="S143" i="4"/>
  <c r="M144" i="4"/>
  <c r="O144" i="4"/>
  <c r="Q144" i="4"/>
  <c r="S144" i="4"/>
  <c r="M145" i="4"/>
  <c r="O145" i="4"/>
  <c r="Q145" i="4"/>
  <c r="S145" i="4"/>
  <c r="O5" i="4"/>
  <c r="M5" i="4"/>
  <c r="Q5" i="4"/>
  <c r="S5" i="4"/>
  <c r="I145" i="4"/>
  <c r="I144" i="4"/>
  <c r="I142" i="4"/>
  <c r="I141" i="4"/>
  <c r="I140" i="4"/>
  <c r="I138" i="4"/>
  <c r="I137" i="4"/>
  <c r="I135" i="4"/>
  <c r="I132" i="4"/>
  <c r="I129" i="4"/>
  <c r="I128" i="4"/>
  <c r="I123" i="4"/>
  <c r="I121" i="4"/>
  <c r="I120" i="4"/>
  <c r="I118" i="4"/>
  <c r="I116" i="4"/>
  <c r="I113" i="4"/>
  <c r="I111" i="4"/>
  <c r="I110" i="4"/>
  <c r="I109" i="4"/>
  <c r="I107" i="4"/>
  <c r="I105" i="4"/>
  <c r="I104" i="4"/>
  <c r="I102" i="4"/>
  <c r="I100" i="4"/>
  <c r="I98" i="4"/>
  <c r="I96" i="4"/>
  <c r="I95" i="4"/>
  <c r="I93" i="4"/>
  <c r="I91" i="4"/>
  <c r="I89" i="4"/>
  <c r="I88" i="4"/>
  <c r="I87" i="4"/>
  <c r="I85" i="4"/>
  <c r="I84" i="4"/>
  <c r="I82" i="4"/>
  <c r="I81" i="4"/>
  <c r="I79" i="4"/>
  <c r="I77" i="4"/>
  <c r="I75" i="4"/>
  <c r="I73" i="4"/>
  <c r="I71" i="4"/>
  <c r="I69" i="4"/>
  <c r="I68" i="4"/>
  <c r="I66" i="4"/>
  <c r="I64" i="4"/>
  <c r="I63" i="4"/>
  <c r="I61" i="4"/>
  <c r="I60" i="4"/>
  <c r="I58" i="4"/>
  <c r="I56" i="4"/>
  <c r="I55" i="4"/>
  <c r="I53" i="4"/>
  <c r="I50" i="4"/>
  <c r="I48" i="4"/>
  <c r="I46" i="4"/>
  <c r="I44" i="4"/>
  <c r="I42" i="4"/>
  <c r="I40" i="4"/>
  <c r="I37" i="4"/>
  <c r="I36" i="4"/>
  <c r="I35" i="4"/>
  <c r="I34" i="4"/>
  <c r="I32" i="4"/>
  <c r="I30" i="4"/>
  <c r="I29" i="4"/>
  <c r="I27" i="4"/>
  <c r="I25" i="4"/>
  <c r="I23" i="4"/>
  <c r="I21" i="4"/>
  <c r="I19" i="4"/>
  <c r="I17" i="4"/>
  <c r="I15" i="4"/>
  <c r="I14" i="4"/>
  <c r="I13" i="4"/>
  <c r="I11" i="4"/>
  <c r="I10" i="4"/>
  <c r="I8" i="4"/>
  <c r="I7" i="4"/>
  <c r="G145" i="4"/>
  <c r="G144" i="4"/>
  <c r="G142" i="4"/>
  <c r="G141" i="4"/>
  <c r="G140" i="4"/>
  <c r="G138" i="4"/>
  <c r="G137" i="4"/>
  <c r="G135" i="4"/>
  <c r="G132" i="4"/>
  <c r="G129" i="4"/>
  <c r="G128" i="4"/>
  <c r="G123" i="4"/>
  <c r="G121" i="4"/>
  <c r="G120" i="4"/>
  <c r="G118" i="4"/>
  <c r="G116" i="4"/>
  <c r="G113" i="4"/>
  <c r="G111" i="4"/>
  <c r="G110" i="4"/>
  <c r="G109" i="4"/>
  <c r="G107" i="4"/>
  <c r="G105" i="4"/>
  <c r="G104" i="4"/>
  <c r="G102" i="4"/>
  <c r="G100" i="4"/>
  <c r="G98" i="4"/>
  <c r="G96" i="4"/>
  <c r="G95" i="4"/>
  <c r="G93" i="4"/>
  <c r="G91" i="4"/>
  <c r="G89" i="4"/>
  <c r="G88" i="4"/>
  <c r="G87" i="4"/>
  <c r="G85" i="4"/>
  <c r="G84" i="4"/>
  <c r="G82" i="4"/>
  <c r="G81" i="4"/>
  <c r="G79" i="4"/>
  <c r="G77" i="4"/>
  <c r="G75" i="4"/>
  <c r="G73" i="4"/>
  <c r="G71" i="4"/>
  <c r="G69" i="4"/>
  <c r="G68" i="4"/>
  <c r="G66" i="4"/>
  <c r="G64" i="4"/>
  <c r="G63" i="4"/>
  <c r="G61" i="4"/>
  <c r="G60" i="4"/>
  <c r="G58" i="4"/>
  <c r="G56" i="4"/>
  <c r="G55" i="4"/>
  <c r="G53" i="4"/>
  <c r="G50" i="4"/>
  <c r="G48" i="4"/>
  <c r="G46" i="4"/>
  <c r="G44" i="4"/>
  <c r="G42" i="4"/>
  <c r="G40" i="4"/>
  <c r="G37" i="4"/>
  <c r="G36" i="4"/>
  <c r="G35" i="4"/>
  <c r="G34" i="4"/>
  <c r="G32" i="4"/>
  <c r="G30" i="4"/>
  <c r="G29" i="4"/>
  <c r="G27" i="4"/>
  <c r="G25" i="4"/>
  <c r="G23" i="4"/>
  <c r="G21" i="4"/>
  <c r="G19" i="4"/>
  <c r="G17" i="4"/>
  <c r="G15" i="4"/>
  <c r="G14" i="4"/>
  <c r="G13" i="4"/>
  <c r="G11" i="4"/>
  <c r="G10" i="4"/>
  <c r="G8" i="4"/>
  <c r="G7" i="4"/>
  <c r="G119" i="4"/>
  <c r="I108" i="4"/>
  <c r="I67" i="4"/>
  <c r="G59" i="4"/>
  <c r="I54" i="4"/>
  <c r="I62" i="4"/>
  <c r="I59" i="4"/>
  <c r="I86" i="4"/>
  <c r="I103" i="4"/>
  <c r="I119" i="4"/>
  <c r="I33" i="4"/>
  <c r="G62" i="4"/>
  <c r="G108" i="4"/>
  <c r="G33" i="4"/>
  <c r="G103" i="4"/>
  <c r="G86" i="4"/>
  <c r="G54" i="4"/>
  <c r="G67" i="4"/>
  <c r="H136" i="4"/>
  <c r="H143" i="4"/>
  <c r="E143" i="4"/>
  <c r="H139" i="4"/>
  <c r="E139" i="4"/>
  <c r="I139" i="4"/>
  <c r="E136" i="4"/>
  <c r="H134" i="4"/>
  <c r="E134" i="4"/>
  <c r="H131" i="4"/>
  <c r="E131" i="4"/>
  <c r="E130" i="4"/>
  <c r="H127" i="4"/>
  <c r="E127" i="4"/>
  <c r="E126" i="4"/>
  <c r="I115" i="4"/>
  <c r="I106" i="4"/>
  <c r="I97" i="4"/>
  <c r="I94" i="4"/>
  <c r="I83" i="4"/>
  <c r="I80" i="4"/>
  <c r="G80" i="4"/>
  <c r="J74" i="4"/>
  <c r="I74" i="4"/>
  <c r="G74" i="4"/>
  <c r="I72" i="4"/>
  <c r="J70" i="4"/>
  <c r="I70" i="4"/>
  <c r="H49" i="4"/>
  <c r="E49" i="4"/>
  <c r="I49" i="4"/>
  <c r="I45" i="4"/>
  <c r="I43" i="4"/>
  <c r="G43" i="4"/>
  <c r="I28" i="4"/>
  <c r="I18" i="4"/>
  <c r="G18" i="4"/>
  <c r="I9" i="4"/>
  <c r="G9" i="4"/>
  <c r="G16" i="4"/>
  <c r="G26" i="4"/>
  <c r="G31" i="4"/>
  <c r="G41" i="4"/>
  <c r="G92" i="4"/>
  <c r="G12" i="4"/>
  <c r="I16" i="4"/>
  <c r="G20" i="4"/>
  <c r="I22" i="4"/>
  <c r="G24" i="4"/>
  <c r="I26" i="4"/>
  <c r="I31" i="4"/>
  <c r="G39" i="4"/>
  <c r="I41" i="4"/>
  <c r="G57" i="4"/>
  <c r="I65" i="4"/>
  <c r="G76" i="4"/>
  <c r="I78" i="4"/>
  <c r="G90" i="4"/>
  <c r="I92" i="4"/>
  <c r="G99" i="4"/>
  <c r="I101" i="4"/>
  <c r="G117" i="4"/>
  <c r="I122" i="4"/>
  <c r="G134" i="4"/>
  <c r="G143" i="4"/>
  <c r="G22" i="4"/>
  <c r="G65" i="4"/>
  <c r="G78" i="4"/>
  <c r="G101" i="4"/>
  <c r="G122" i="4"/>
  <c r="G127" i="4"/>
  <c r="G136" i="4"/>
  <c r="I136" i="4"/>
  <c r="I6" i="4"/>
  <c r="I12" i="4"/>
  <c r="I20" i="4"/>
  <c r="I24" i="4"/>
  <c r="G28" i="4"/>
  <c r="I39" i="4"/>
  <c r="I47" i="4"/>
  <c r="I57" i="4"/>
  <c r="I76" i="4"/>
  <c r="G83" i="4"/>
  <c r="I90" i="4"/>
  <c r="G97" i="4"/>
  <c r="I99" i="4"/>
  <c r="G106" i="4"/>
  <c r="I117" i="4"/>
  <c r="G131" i="4"/>
  <c r="I134" i="4"/>
  <c r="G139" i="4"/>
  <c r="I143" i="4"/>
  <c r="G6" i="4"/>
  <c r="G47" i="4"/>
  <c r="G45" i="4"/>
  <c r="G52" i="4"/>
  <c r="G72" i="4"/>
  <c r="H130" i="4"/>
  <c r="I130" i="4"/>
  <c r="I131" i="4"/>
  <c r="G112" i="4"/>
  <c r="H126" i="4"/>
  <c r="I126" i="4"/>
  <c r="I127" i="4"/>
  <c r="G49" i="4"/>
  <c r="I52" i="4"/>
  <c r="G70" i="4"/>
  <c r="G94" i="4"/>
  <c r="G115" i="4"/>
  <c r="I112" i="4"/>
  <c r="G130" i="4"/>
  <c r="H38" i="4"/>
  <c r="E133" i="4"/>
  <c r="E38" i="4"/>
  <c r="H133" i="4"/>
  <c r="I133" i="4"/>
  <c r="I5" i="4"/>
  <c r="G5" i="4"/>
  <c r="G114" i="4"/>
  <c r="G133" i="4"/>
  <c r="G38" i="4"/>
  <c r="I38" i="4"/>
  <c r="I51" i="4"/>
  <c r="I114" i="4"/>
  <c r="G126" i="4"/>
  <c r="H147" i="4"/>
  <c r="E147" i="4"/>
  <c r="I147" i="4"/>
  <c r="G51" i="4"/>
  <c r="Q147" i="4"/>
  <c r="S147" i="4"/>
  <c r="O147" i="4"/>
  <c r="G147" i="4"/>
  <c r="M114" i="4"/>
  <c r="M147" i="4"/>
</calcChain>
</file>

<file path=xl/sharedStrings.xml><?xml version="1.0" encoding="utf-8"?>
<sst xmlns="http://schemas.openxmlformats.org/spreadsheetml/2006/main" count="300" uniqueCount="105">
  <si>
    <t>SECTOR/PRODUCTO/FUENTE</t>
  </si>
  <si>
    <t>COMPROMISOS</t>
  </si>
  <si>
    <t>OBLIGACIONES</t>
  </si>
  <si>
    <t>PAGOS</t>
  </si>
  <si>
    <t>PRIMERA INFANCIA                ( Madres Gestantes- Edades 0-5 años)</t>
  </si>
  <si>
    <t>ADOLESCENCIA                      ( 12-17 años)</t>
  </si>
  <si>
    <t>EDUCACION</t>
  </si>
  <si>
    <t>INGRESOS CORRIENTES DE LIBRE DESTINACION</t>
  </si>
  <si>
    <t>Infraestructura educativa mantenida</t>
  </si>
  <si>
    <t>ESTAMPILLAS</t>
  </si>
  <si>
    <t>SGP-EDUCACION-PRESTACION DE SERVICIOS</t>
  </si>
  <si>
    <t>APORTES NACION - ALIMENTACION ESCOLAR</t>
  </si>
  <si>
    <t>RECURSOS DEL BALANCE DE LIBRE DESTINACION</t>
  </si>
  <si>
    <t>Servicio de apoyo para el fortalecimiento de escuelas de padres</t>
  </si>
  <si>
    <t>Servicio educativo</t>
  </si>
  <si>
    <t>INCLUSION SOCIAL Y RECONCILIACION</t>
  </si>
  <si>
    <t>Documentos de lineamientos tecnicos4102035</t>
  </si>
  <si>
    <t xml:space="preserve">Servicios de promoción de los derechos de los niños, niñas, adolescentes y jóvenes </t>
  </si>
  <si>
    <t>Servicio dirigidos a la atención de niños, niñas, adolescentes y jóvenes, con enfoque pedagógico y restaurativo encaminados a la inclusión social</t>
  </si>
  <si>
    <t>SALUD Y PROTECCION SOCIAL</t>
  </si>
  <si>
    <t>SGP-SALUD-SALUD PUBLICA</t>
  </si>
  <si>
    <t>Documentos de lineamientos tecnicos1903001</t>
  </si>
  <si>
    <t>Documentos de lineamientos tecnicos1905014</t>
  </si>
  <si>
    <t>Documentos de planeacion1905015</t>
  </si>
  <si>
    <t>SGP-SALUD-SUBSIDIO A LA OFERTA</t>
  </si>
  <si>
    <t>Servicio de auditoria y visitas inspectivas</t>
  </si>
  <si>
    <t>Servicio de registro sanitario</t>
  </si>
  <si>
    <t>VIVIENDA, CIUDAD Y TERRITORIO</t>
  </si>
  <si>
    <t>SGP-AGUA POTABLE Y SANEAMIENTO BASICO</t>
  </si>
  <si>
    <t>Documentos de planeacion4003006</t>
  </si>
  <si>
    <t>AGRICULTURA Y DESARROLLO RURAL</t>
  </si>
  <si>
    <t>CULTURA</t>
  </si>
  <si>
    <t>Servicio de educación informal en áreas artísticas y culturales</t>
  </si>
  <si>
    <t>Servicio de circulación artística y cultural</t>
  </si>
  <si>
    <t>Servicios bibliotecarios</t>
  </si>
  <si>
    <t>Servicio de divulgación y publicaciones</t>
  </si>
  <si>
    <t xml:space="preserve">CURSOS DEL VIDA </t>
  </si>
  <si>
    <t>INFANCIA                         ( 6 - 11 años )</t>
  </si>
  <si>
    <t xml:space="preserve">R.B. ESTAMPILLAS </t>
  </si>
  <si>
    <t xml:space="preserve">INGRESOS CORRIENTES DE LIBRE DESTINACION </t>
  </si>
  <si>
    <t xml:space="preserve">R.B. SGP-SALUD-SALUD PUBLICA </t>
  </si>
  <si>
    <t xml:space="preserve">R.B. SGP-SALUD-SUBSIDIO A LA OFERTA </t>
  </si>
  <si>
    <t xml:space="preserve">ESTAMPILLAS </t>
  </si>
  <si>
    <t>Servicio de accesibilidad a contenidos web para fines pedagógicos</t>
  </si>
  <si>
    <t>Servicio de apoyo a la permanencia con alimentación escolar</t>
  </si>
  <si>
    <t>Servicio de apoyo a proyectos pedagógicos productivos</t>
  </si>
  <si>
    <t>Servicio de articulación entre la educación media y el sector productivo.</t>
  </si>
  <si>
    <t>Servicio de atención integral para la primera infancia</t>
  </si>
  <si>
    <t>Servicio de fomento para la permanencia en programas de educación formal</t>
  </si>
  <si>
    <t>Servicio de fomento para la prevención de riesgos sociales en entornos escolares</t>
  </si>
  <si>
    <t>Servicio de gestión de riesgos y desastres en establecimientos educativos</t>
  </si>
  <si>
    <t>Servicio educación formal por modelos educativos flexibles</t>
  </si>
  <si>
    <t xml:space="preserve">PARTICIPACION Y DERECHOS DE EXPLOTACION DEL EJERCICIO DEL MONOPOLIO DE LICORES DESTILADOS Y ALCOHOLES POTABLES </t>
  </si>
  <si>
    <t xml:space="preserve">SGP-EDUCACION-CANCELACION DE PRESTACIONES SOCIALES DEL MAGISTERIO </t>
  </si>
  <si>
    <t>Servicio de asistencia técnica a comunidades en temas de fortalecimiento del tejido social y construcción de escenarios comunitarios protectores de derechos</t>
  </si>
  <si>
    <t>Servicio de atención integral a la primera infancia</t>
  </si>
  <si>
    <t>Servicio de promoción de temas de dinámica relacional y desarrollo autónomo</t>
  </si>
  <si>
    <t>RECURSO ORDINARIO</t>
  </si>
  <si>
    <t>SUPERÁVIT RECURSO ORDINARIO</t>
  </si>
  <si>
    <t>Cuartos fríos adecuados1905012</t>
  </si>
  <si>
    <t>Servicio de adopción y seguimiento de acciones y medidas especiales</t>
  </si>
  <si>
    <t>Servicio de análisis de laboratorio</t>
  </si>
  <si>
    <t>Servicio de apoyo financiero para el fortalecimiento patrimonial de las empresas prestadoras de salud con participación financiera de las entidades territoriales</t>
  </si>
  <si>
    <t>Servicio de asistencia técnica en inspección, vigilancia y control</t>
  </si>
  <si>
    <t>Servicio de atención en salud publica en situaciones de emergencias y desastres</t>
  </si>
  <si>
    <t>Servicio de evaluación, aprobación y seguimiento de planes de gestión integral del riesgo</t>
  </si>
  <si>
    <t>Servicio de gestión del riesgo en temas de consumo de sustancias psicoactivas</t>
  </si>
  <si>
    <t>Servicio de gestión del riesgo en temas de salud sexual y reproductiva</t>
  </si>
  <si>
    <t>Servicio de gestión del riesgo en temas de trastornos mentales</t>
  </si>
  <si>
    <t>Servicio de gestión del riesgo para abordar condiciones crónicas prevalentes</t>
  </si>
  <si>
    <t>Servicio de gestión del riesgo para abordar situaciones de salud relacionadas con condiciones ambientales</t>
  </si>
  <si>
    <t>Servicio de gestión del riesgo para abordar situaciones prevalentes de origen laboral</t>
  </si>
  <si>
    <t>Servicio de gestión del riesgo para enfermedades emergentes, reemergentes y desatendidas</t>
  </si>
  <si>
    <t>Servicio de gestión del riesgo para enfermedades inmunoprevenibles</t>
  </si>
  <si>
    <t>Servicio de gestión del riesgo para temas de consumo, aprovechamiento biológico, calidad e inocuidad de los alimentos</t>
  </si>
  <si>
    <t>Servicio de información de vigilancia epidemiológica</t>
  </si>
  <si>
    <t>Servicio de inspección, vigilancia y control1903011</t>
  </si>
  <si>
    <t>Servicio de promoción de la salud y prevención de riesgos asociados a condiciones no transmisibles</t>
  </si>
  <si>
    <t>Servicio de promoción, prevención, vigilancia y control de vectores y zoonosis</t>
  </si>
  <si>
    <t xml:space="preserve">R.B. OTRAS CONTRIBUCIONES </t>
  </si>
  <si>
    <t xml:space="preserve">SISTEMA GENERAL DE SEGURIDAD SOCIAL EN SALUD - FONDOS ESPECIALES DEL MINISTERIO DE SALUD Y PROTECCION SOCIAL </t>
  </si>
  <si>
    <t>Estudios de pre inversión e inversion4003042</t>
  </si>
  <si>
    <t>Servicios de apoyo financiero para la ejecución de proyectos de acueductos y alcantarillado</t>
  </si>
  <si>
    <t>Servicios de apoyo financiero para la ejecución de proyectos de acueductos y de manejo de aguas residuales</t>
  </si>
  <si>
    <t>TECNOLOGÍAS DE LA INFORMACIÓN Y LAS COMUNICACIONES</t>
  </si>
  <si>
    <t>Servicio de educación informal en tecnologías de la información y las comunicaciones.</t>
  </si>
  <si>
    <t>Servicio de educación informal en el marco de la conservación de la biodiversidad y los Servicio ecosistémicos.</t>
  </si>
  <si>
    <t>SUPERÁVIT ESTAMPILLAS</t>
  </si>
  <si>
    <t>TOTALES</t>
  </si>
  <si>
    <t>CATEGORIA DE INVERSIÓN</t>
  </si>
  <si>
    <t xml:space="preserve">EDUCACIÓN Y FORMACIÓN INTEGRAL </t>
  </si>
  <si>
    <t>ALIMENTACIÓN Y NUTRICIÓN</t>
  </si>
  <si>
    <t>PROTECCIÓN Y PREVENCIÓN DE LAS VULNERACIONES</t>
  </si>
  <si>
    <t>SALUD</t>
  </si>
  <si>
    <t xml:space="preserve">SEXUALIDAD AUTONOMA Y RESPONSABLE </t>
  </si>
  <si>
    <t>DEPORTE, RECREACIÓN, CULTURA, JUEGO, CIENCI, TECNOLOGIA E INNOVACIÓN (CTEI) Y MEDIO AMBIENTE</t>
  </si>
  <si>
    <t>No.</t>
  </si>
  <si>
    <t>OPORTUNIDADES PARA LA TRANSICIÓN A LA JUVENTUD</t>
  </si>
  <si>
    <t xml:space="preserve">GOBIERNO Y CAPACIDADES </t>
  </si>
  <si>
    <t>DEPORTE,RECREACIÓN, CULTURA, JUEGO, CIENCIA, TECNOLOGIA E INNOVACIÓN (CTEI) Y MEDIO AMBIENTE</t>
  </si>
  <si>
    <t>OBLIGACIONES/COMPROMISOS</t>
  </si>
  <si>
    <t>PAGOS/
COMPROMISOS</t>
  </si>
  <si>
    <t>Servicio de mantenimiento a la infraestructura deportiva</t>
  </si>
  <si>
    <t>OTROS</t>
  </si>
  <si>
    <t>PARTICIPACIÓN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</si>
</sst>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[$€-2]\ * #,##0.00_ ;_ [$€-2]\ * \-#,##0.00_ ;_ [$€-2]\ * &quot;-&quot;??_ "/>
    <numFmt numFmtId="165" formatCode="_(&quot;$&quot;\ * #,##0.00_);_(&quot;$&quot;\ * \(#,##0.00\);_(&quot;$&quot;\ * &quot;-&quot;??_);_(@_)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92D050"/>
        <bgColor theme="4" tint="-0.249977111117893"/>
      </patternFill>
    </fill>
    <fill>
      <patternFill patternType="solid">
        <fgColor theme="8" tint="-0.499984740745262"/>
        <bgColor theme="4" tint="-0.249977111117893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4506668294322"/>
        <bgColor theme="4" tint="0.79998168889431442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4" tint="-0.2499465926084170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5" borderId="0" xfId="0" applyFill="1"/>
    <xf numFmtId="0" fontId="2" fillId="3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0" fillId="5" borderId="0" xfId="0" applyFill="1" applyAlignment="1">
      <alignment horizontal="center"/>
    </xf>
    <xf numFmtId="43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justify" vertical="center" wrapText="1"/>
    </xf>
    <xf numFmtId="0" fontId="0" fillId="5" borderId="1" xfId="0" applyFill="1" applyBorder="1"/>
    <xf numFmtId="0" fontId="2" fillId="3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6" fontId="0" fillId="0" borderId="1" xfId="4" applyNumberFormat="1" applyFont="1" applyBorder="1" applyAlignment="1">
      <alignment horizontal="justify" vertical="center"/>
    </xf>
    <xf numFmtId="166" fontId="0" fillId="5" borderId="0" xfId="4" applyNumberFormat="1" applyFont="1" applyFill="1" applyBorder="1" applyAlignment="1">
      <alignment horizontal="justify" vertical="center"/>
    </xf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165" fontId="0" fillId="5" borderId="0" xfId="4" applyFont="1" applyFill="1" applyBorder="1" applyAlignment="1">
      <alignment horizontal="justify" vertical="center"/>
    </xf>
    <xf numFmtId="166" fontId="3" fillId="5" borderId="0" xfId="4" applyNumberFormat="1" applyFont="1" applyFill="1" applyBorder="1" applyAlignment="1">
      <alignment horizontal="justify" vertical="center"/>
    </xf>
    <xf numFmtId="0" fontId="0" fillId="5" borderId="0" xfId="0" applyFill="1" applyBorder="1" applyAlignment="1">
      <alignment horizontal="justify" vertical="center"/>
    </xf>
    <xf numFmtId="166" fontId="2" fillId="5" borderId="0" xfId="4" applyNumberFormat="1" applyFont="1" applyFill="1" applyBorder="1" applyAlignment="1">
      <alignment horizontal="justify" vertical="center"/>
    </xf>
    <xf numFmtId="166" fontId="0" fillId="0" borderId="1" xfId="4" applyNumberFormat="1" applyFont="1" applyBorder="1" applyAlignment="1">
      <alignment horizontal="justify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center" vertical="center" wrapText="1"/>
    </xf>
    <xf numFmtId="165" fontId="3" fillId="3" borderId="1" xfId="4" applyFont="1" applyFill="1" applyBorder="1" applyAlignment="1">
      <alignment horizontal="justify" vertical="center"/>
    </xf>
    <xf numFmtId="166" fontId="3" fillId="4" borderId="1" xfId="4" applyNumberFormat="1" applyFont="1" applyFill="1" applyBorder="1" applyAlignment="1">
      <alignment horizontal="justify" vertical="center"/>
    </xf>
    <xf numFmtId="166" fontId="0" fillId="5" borderId="1" xfId="4" applyNumberFormat="1" applyFont="1" applyFill="1" applyBorder="1" applyAlignment="1">
      <alignment horizontal="justify" vertical="center"/>
    </xf>
    <xf numFmtId="166" fontId="5" fillId="5" borderId="1" xfId="4" applyNumberFormat="1" applyFont="1" applyFill="1" applyBorder="1" applyAlignment="1">
      <alignment horizontal="justify" vertical="center"/>
    </xf>
    <xf numFmtId="166" fontId="3" fillId="3" borderId="1" xfId="4" applyNumberFormat="1" applyFont="1" applyFill="1" applyBorder="1" applyAlignment="1">
      <alignment horizontal="justify" vertical="center"/>
    </xf>
    <xf numFmtId="166" fontId="3" fillId="6" borderId="1" xfId="4" applyNumberFormat="1" applyFont="1" applyFill="1" applyBorder="1" applyAlignment="1">
      <alignment horizontal="justify" vertical="center"/>
    </xf>
    <xf numFmtId="166" fontId="0" fillId="0" borderId="1" xfId="4" applyNumberFormat="1" applyFont="1" applyFill="1" applyBorder="1" applyAlignment="1">
      <alignment horizontal="justify" vertical="center"/>
    </xf>
    <xf numFmtId="166" fontId="4" fillId="5" borderId="1" xfId="4" applyNumberFormat="1" applyFont="1" applyFill="1" applyBorder="1" applyAlignment="1" applyProtection="1">
      <alignment horizontal="justify" vertical="center"/>
      <protection locked="0"/>
    </xf>
    <xf numFmtId="166" fontId="4" fillId="5" borderId="1" xfId="4" quotePrefix="1" applyNumberFormat="1" applyFont="1" applyFill="1" applyBorder="1" applyAlignment="1" applyProtection="1">
      <alignment horizontal="justify" vertical="center"/>
      <protection locked="0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justify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left" vertical="center" wrapText="1"/>
    </xf>
    <xf numFmtId="166" fontId="3" fillId="10" borderId="1" xfId="4" applyNumberFormat="1" applyFont="1" applyFill="1" applyBorder="1" applyAlignment="1">
      <alignment horizontal="justify" vertical="center"/>
    </xf>
    <xf numFmtId="43" fontId="0" fillId="5" borderId="1" xfId="1" applyFont="1" applyFill="1" applyBorder="1" applyAlignment="1">
      <alignment horizontal="justify" vertical="center" wrapText="1"/>
    </xf>
    <xf numFmtId="43" fontId="0" fillId="5" borderId="1" xfId="1" applyFont="1" applyFill="1" applyBorder="1" applyAlignment="1">
      <alignment horizontal="center" vertical="center" wrapText="1"/>
    </xf>
    <xf numFmtId="166" fontId="3" fillId="12" borderId="1" xfId="4" applyNumberFormat="1" applyFont="1" applyFill="1" applyBorder="1" applyAlignment="1">
      <alignment horizontal="justify" vertical="center" wrapText="1"/>
    </xf>
    <xf numFmtId="166" fontId="0" fillId="5" borderId="1" xfId="4" applyNumberFormat="1" applyFont="1" applyFill="1" applyBorder="1" applyAlignment="1">
      <alignment horizontal="justify" vertical="center" wrapText="1"/>
    </xf>
    <xf numFmtId="166" fontId="5" fillId="5" borderId="1" xfId="4" applyNumberFormat="1" applyFont="1" applyFill="1" applyBorder="1" applyAlignment="1" applyProtection="1">
      <alignment horizontal="justify" vertical="center"/>
      <protection locked="0"/>
    </xf>
    <xf numFmtId="166" fontId="5" fillId="5" borderId="1" xfId="4" quotePrefix="1" applyNumberFormat="1" applyFont="1" applyFill="1" applyBorder="1" applyAlignment="1" applyProtection="1">
      <alignment horizontal="justify" vertical="center"/>
      <protection locked="0"/>
    </xf>
    <xf numFmtId="0" fontId="2" fillId="7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10" borderId="1" xfId="0" applyFont="1" applyFill="1" applyBorder="1" applyAlignment="1">
      <alignment horizontal="justify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justify" vertical="center" wrapText="1"/>
    </xf>
    <xf numFmtId="0" fontId="3" fillId="6" borderId="1" xfId="0" quotePrefix="1" applyFont="1" applyFill="1" applyBorder="1" applyAlignment="1">
      <alignment horizontal="justify" vertical="center" wrapText="1"/>
    </xf>
    <xf numFmtId="44" fontId="0" fillId="0" borderId="1" xfId="2" applyFont="1" applyBorder="1" applyAlignment="1">
      <alignment horizontal="center" vertical="center"/>
    </xf>
    <xf numFmtId="10" fontId="2" fillId="9" borderId="1" xfId="5" applyNumberFormat="1" applyFont="1" applyFill="1" applyBorder="1" applyAlignment="1">
      <alignment horizontal="right" vertical="center" wrapText="1"/>
    </xf>
    <xf numFmtId="10" fontId="3" fillId="3" borderId="1" xfId="5" applyNumberFormat="1" applyFont="1" applyFill="1" applyBorder="1" applyAlignment="1">
      <alignment horizontal="right" vertical="center"/>
    </xf>
    <xf numFmtId="10" fontId="3" fillId="4" borderId="1" xfId="5" applyNumberFormat="1" applyFont="1" applyFill="1" applyBorder="1" applyAlignment="1">
      <alignment horizontal="right" vertical="center"/>
    </xf>
    <xf numFmtId="10" fontId="0" fillId="0" borderId="1" xfId="5" applyNumberFormat="1" applyFont="1" applyBorder="1" applyAlignment="1">
      <alignment horizontal="right" vertical="center"/>
    </xf>
    <xf numFmtId="10" fontId="0" fillId="0" borderId="1" xfId="5" applyNumberFormat="1" applyFont="1" applyBorder="1" applyAlignment="1">
      <alignment horizontal="right" vertical="center" wrapText="1"/>
    </xf>
    <xf numFmtId="10" fontId="0" fillId="5" borderId="1" xfId="5" applyNumberFormat="1" applyFont="1" applyFill="1" applyBorder="1" applyAlignment="1">
      <alignment horizontal="right" vertical="center"/>
    </xf>
    <xf numFmtId="10" fontId="0" fillId="5" borderId="1" xfId="5" applyNumberFormat="1" applyFont="1" applyFill="1" applyBorder="1" applyAlignment="1">
      <alignment horizontal="right" vertical="center" wrapText="1"/>
    </xf>
    <xf numFmtId="10" fontId="3" fillId="10" borderId="1" xfId="5" applyNumberFormat="1" applyFont="1" applyFill="1" applyBorder="1" applyAlignment="1">
      <alignment horizontal="right" vertical="center"/>
    </xf>
    <xf numFmtId="10" fontId="3" fillId="6" borderId="1" xfId="5" applyNumberFormat="1" applyFont="1" applyFill="1" applyBorder="1" applyAlignment="1">
      <alignment horizontal="right" vertical="center"/>
    </xf>
    <xf numFmtId="10" fontId="3" fillId="12" borderId="1" xfId="5" applyNumberFormat="1" applyFont="1" applyFill="1" applyBorder="1" applyAlignment="1">
      <alignment horizontal="right" vertical="center" wrapText="1"/>
    </xf>
    <xf numFmtId="10" fontId="0" fillId="0" borderId="0" xfId="0" applyNumberFormat="1" applyAlignment="1">
      <alignment horizontal="right"/>
    </xf>
    <xf numFmtId="10" fontId="6" fillId="0" borderId="0" xfId="0" applyNumberFormat="1" applyFont="1" applyBorder="1" applyAlignment="1">
      <alignment horizontal="right" vertical="center"/>
    </xf>
    <xf numFmtId="10" fontId="0" fillId="0" borderId="0" xfId="0" applyNumberFormat="1" applyBorder="1" applyAlignment="1">
      <alignment horizontal="right"/>
    </xf>
    <xf numFmtId="10" fontId="4" fillId="8" borderId="1" xfId="5" applyNumberFormat="1" applyFont="1" applyFill="1" applyBorder="1" applyAlignment="1">
      <alignment horizontal="right" vertical="center" wrapText="1"/>
    </xf>
    <xf numFmtId="10" fontId="5" fillId="5" borderId="1" xfId="5" applyNumberFormat="1" applyFont="1" applyFill="1" applyBorder="1" applyAlignment="1">
      <alignment horizontal="right" vertical="center"/>
    </xf>
    <xf numFmtId="10" fontId="0" fillId="0" borderId="1" xfId="5" applyNumberFormat="1" applyFont="1" applyFill="1" applyBorder="1" applyAlignment="1">
      <alignment horizontal="right" vertical="center"/>
    </xf>
    <xf numFmtId="10" fontId="5" fillId="5" borderId="1" xfId="5" applyNumberFormat="1" applyFont="1" applyFill="1" applyBorder="1" applyAlignment="1" applyProtection="1">
      <alignment horizontal="right" vertical="center"/>
      <protection locked="0"/>
    </xf>
    <xf numFmtId="10" fontId="4" fillId="5" borderId="1" xfId="5" applyNumberFormat="1" applyFont="1" applyFill="1" applyBorder="1" applyAlignment="1" applyProtection="1">
      <alignment horizontal="right" vertical="center"/>
      <protection locked="0"/>
    </xf>
    <xf numFmtId="10" fontId="0" fillId="0" borderId="0" xfId="5" applyNumberFormat="1" applyFont="1" applyAlignment="1">
      <alignment horizontal="right"/>
    </xf>
    <xf numFmtId="10" fontId="5" fillId="5" borderId="1" xfId="5" quotePrefix="1" applyNumberFormat="1" applyFont="1" applyFill="1" applyBorder="1" applyAlignment="1" applyProtection="1">
      <alignment horizontal="right" vertical="center"/>
      <protection locked="0"/>
    </xf>
    <xf numFmtId="10" fontId="4" fillId="5" borderId="1" xfId="5" quotePrefix="1" applyNumberFormat="1" applyFont="1" applyFill="1" applyBorder="1" applyAlignment="1" applyProtection="1">
      <alignment horizontal="right" vertical="center"/>
      <protection locked="0"/>
    </xf>
    <xf numFmtId="166" fontId="2" fillId="13" borderId="1" xfId="4" applyNumberFormat="1" applyFont="1" applyFill="1" applyBorder="1" applyAlignment="1">
      <alignment horizontal="justify" vertical="center"/>
    </xf>
    <xf numFmtId="10" fontId="2" fillId="13" borderId="1" xfId="5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13" borderId="2" xfId="0" applyFont="1" applyFill="1" applyBorder="1" applyAlignment="1">
      <alignment horizontal="center" vertical="center" wrapText="1"/>
    </xf>
    <xf numFmtId="0" fontId="2" fillId="13" borderId="3" xfId="0" applyFont="1" applyFill="1" applyBorder="1" applyAlignment="1">
      <alignment horizontal="center" vertical="center" wrapText="1"/>
    </xf>
    <xf numFmtId="0" fontId="2" fillId="13" borderId="4" xfId="0" applyFont="1" applyFill="1" applyBorder="1" applyAlignment="1">
      <alignment horizontal="center" vertical="center" wrapText="1"/>
    </xf>
  </cellXfs>
  <cellStyles count="7">
    <cellStyle name="Millares" xfId="1" builtinId="3"/>
    <cellStyle name="Millares 2 2 2" xfId="6"/>
    <cellStyle name="Moneda" xfId="2" builtinId="4"/>
    <cellStyle name="Moneda 2" xfId="4"/>
    <cellStyle name="Normal" xfId="0" builtinId="0"/>
    <cellStyle name="Normal 2 2" xfId="3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N155"/>
  <sheetViews>
    <sheetView showGridLines="0" tabSelected="1" zoomScale="79" zoomScaleNormal="79" workbookViewId="0">
      <selection activeCell="A2" sqref="A2"/>
    </sheetView>
  </sheetViews>
  <sheetFormatPr baseColWidth="10" defaultColWidth="10.88671875" defaultRowHeight="14.4" x14ac:dyDescent="0.3"/>
  <cols>
    <col min="3" max="3" width="22.6640625" customWidth="1"/>
    <col min="4" max="4" width="44.88671875" customWidth="1"/>
    <col min="5" max="5" width="25.88671875" bestFit="1" customWidth="1"/>
    <col min="6" max="6" width="24.5546875" customWidth="1"/>
    <col min="7" max="7" width="17.44140625" style="73" customWidth="1"/>
    <col min="8" max="8" width="25" customWidth="1"/>
    <col min="9" max="9" width="18.109375" style="75" customWidth="1"/>
    <col min="10" max="11" width="8" style="20" customWidth="1"/>
    <col min="12" max="12" width="18" customWidth="1"/>
    <col min="13" max="13" width="14.5546875" style="81" customWidth="1"/>
    <col min="14" max="14" width="20.21875" customWidth="1"/>
    <col min="15" max="15" width="14.5546875" style="81" bestFit="1" customWidth="1"/>
    <col min="16" max="16" width="23.109375" customWidth="1"/>
    <col min="17" max="17" width="14.5546875" style="81" bestFit="1" customWidth="1"/>
    <col min="18" max="18" width="17.21875" customWidth="1"/>
    <col min="19" max="19" width="14.88671875" style="81" bestFit="1" customWidth="1"/>
    <col min="20" max="40" width="10.88671875" style="2"/>
  </cols>
  <sheetData>
    <row r="3" spans="2:40" ht="42.75" customHeight="1" x14ac:dyDescent="0.3">
      <c r="D3" s="86">
        <v>2023</v>
      </c>
      <c r="E3" s="86"/>
      <c r="F3" s="86"/>
      <c r="G3" s="86"/>
      <c r="H3" s="86"/>
      <c r="I3" s="74"/>
      <c r="L3" s="87" t="s">
        <v>36</v>
      </c>
      <c r="M3" s="87"/>
      <c r="N3" s="87"/>
      <c r="O3" s="87"/>
      <c r="P3" s="87"/>
      <c r="Q3" s="87"/>
      <c r="R3" s="87"/>
      <c r="S3" s="87"/>
    </row>
    <row r="4" spans="2:40" s="1" customFormat="1" ht="47.25" customHeight="1" x14ac:dyDescent="0.3">
      <c r="B4" s="27" t="s">
        <v>96</v>
      </c>
      <c r="C4" s="27" t="s">
        <v>89</v>
      </c>
      <c r="D4" s="50" t="s">
        <v>0</v>
      </c>
      <c r="E4" s="50" t="s">
        <v>1</v>
      </c>
      <c r="F4" s="50" t="s">
        <v>2</v>
      </c>
      <c r="G4" s="63" t="s">
        <v>100</v>
      </c>
      <c r="H4" s="50" t="s">
        <v>3</v>
      </c>
      <c r="I4" s="63" t="s">
        <v>101</v>
      </c>
      <c r="J4" s="21"/>
      <c r="K4" s="21"/>
      <c r="L4" s="28" t="s">
        <v>4</v>
      </c>
      <c r="M4" s="76" t="s">
        <v>104</v>
      </c>
      <c r="N4" s="29" t="s">
        <v>37</v>
      </c>
      <c r="O4" s="76" t="s">
        <v>104</v>
      </c>
      <c r="P4" s="29" t="s">
        <v>5</v>
      </c>
      <c r="Q4" s="76" t="s">
        <v>104</v>
      </c>
      <c r="R4" s="29" t="s">
        <v>103</v>
      </c>
      <c r="S4" s="76" t="s">
        <v>104</v>
      </c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2:40" ht="62.25" customHeight="1" x14ac:dyDescent="0.3">
      <c r="B5" s="51">
        <v>3</v>
      </c>
      <c r="C5" s="52" t="s">
        <v>90</v>
      </c>
      <c r="D5" s="53" t="s">
        <v>6</v>
      </c>
      <c r="E5" s="30">
        <f>+E6+E9+E12+E16+E18+E20+E22+E24+E26+E28+E31+E33</f>
        <v>56759118016</v>
      </c>
      <c r="F5" s="30">
        <f>+F6+F9+F12+F16+F18+F20+F22+F24+F26+F28+F31+F33</f>
        <v>38753314254</v>
      </c>
      <c r="G5" s="64">
        <f>+F5/E5</f>
        <v>0.68276808394160937</v>
      </c>
      <c r="H5" s="30">
        <f>+H6+H9+H12+H16+H18+H20+H22+H24+H26+H28+H31+H33</f>
        <v>38753314254</v>
      </c>
      <c r="I5" s="64">
        <f>+H5/E5</f>
        <v>0.68276808394160937</v>
      </c>
      <c r="J5" s="22"/>
      <c r="K5" s="22"/>
      <c r="L5" s="30">
        <f>+L6+L9+L12+L16+L18+L20+L22+L24+L26+L28+L31+L33</f>
        <v>3412614074.8818946</v>
      </c>
      <c r="M5" s="64">
        <f>+L5/F5</f>
        <v>8.8059928307413216E-2</v>
      </c>
      <c r="N5" s="30">
        <f>+N6+N9+N12+N16+N18+N20+N22+N24+N26+N28+N31+N33</f>
        <v>17020148635.350842</v>
      </c>
      <c r="O5" s="64">
        <f>+N5/F5</f>
        <v>0.43919207848381825</v>
      </c>
      <c r="P5" s="30">
        <f>+P6+P9+P12+P16+P18+P20+P22+P24+P26+P28+P31+P33</f>
        <v>16292890220.013102</v>
      </c>
      <c r="Q5" s="64">
        <f>+P5/F5</f>
        <v>0.42042572444836507</v>
      </c>
      <c r="R5" s="30">
        <f>+R6+R9+R12+R16+R20+R22+R24+R26+R28+R31+R33</f>
        <v>2027661323.754158</v>
      </c>
      <c r="S5" s="64">
        <f>+R5/F5</f>
        <v>5.232226876040335E-2</v>
      </c>
    </row>
    <row r="6" spans="2:40" ht="48" customHeight="1" x14ac:dyDescent="0.3">
      <c r="B6" s="54">
        <v>3</v>
      </c>
      <c r="C6" s="55" t="s">
        <v>90</v>
      </c>
      <c r="D6" s="57" t="s">
        <v>8</v>
      </c>
      <c r="E6" s="31">
        <f>+E7+E8</f>
        <v>743982500</v>
      </c>
      <c r="F6" s="31">
        <f>+F7+F8</f>
        <v>149450000</v>
      </c>
      <c r="G6" s="65">
        <f t="shared" ref="G6:G35" si="0">+F6/E6</f>
        <v>0.20087838087589427</v>
      </c>
      <c r="H6" s="31">
        <f>+H7+H8</f>
        <v>149450000</v>
      </c>
      <c r="I6" s="65">
        <f t="shared" ref="I6:I35" si="1">+H6/E6</f>
        <v>0.20087838087589427</v>
      </c>
      <c r="J6" s="23"/>
      <c r="K6" s="23"/>
      <c r="L6" s="31">
        <f>+L7+L8</f>
        <v>9086560</v>
      </c>
      <c r="M6" s="65">
        <f>+L6/F6</f>
        <v>6.08E-2</v>
      </c>
      <c r="N6" s="31">
        <f>+N7+N8</f>
        <v>47569935</v>
      </c>
      <c r="O6" s="65">
        <f t="shared" ref="O6:O35" si="2">+N6/F6</f>
        <v>0.31830000000000003</v>
      </c>
      <c r="P6" s="31">
        <f>+P7+P8</f>
        <v>77519715</v>
      </c>
      <c r="Q6" s="65">
        <f t="shared" ref="Q6:Q35" si="3">+P6/F6</f>
        <v>0.51870000000000005</v>
      </c>
      <c r="R6" s="31">
        <f>R7+R8</f>
        <v>15273790</v>
      </c>
      <c r="S6" s="65">
        <f t="shared" ref="S6:S35" si="4">+R6/F6</f>
        <v>0.1022</v>
      </c>
    </row>
    <row r="7" spans="2:40" ht="48" customHeight="1" x14ac:dyDescent="0.3">
      <c r="B7" s="8">
        <v>3</v>
      </c>
      <c r="C7" s="9" t="s">
        <v>90</v>
      </c>
      <c r="D7" s="56" t="s">
        <v>9</v>
      </c>
      <c r="E7" s="32">
        <v>733982500</v>
      </c>
      <c r="F7" s="18">
        <v>149450000</v>
      </c>
      <c r="G7" s="66">
        <f t="shared" si="0"/>
        <v>0.20361520880947434</v>
      </c>
      <c r="H7" s="18">
        <v>149450000</v>
      </c>
      <c r="I7" s="66">
        <f t="shared" si="1"/>
        <v>0.20361520880947434</v>
      </c>
      <c r="J7" s="24"/>
      <c r="K7" s="24"/>
      <c r="L7" s="62">
        <f>F7*6.08/100</f>
        <v>9086560</v>
      </c>
      <c r="M7" s="66">
        <f t="shared" ref="M7:M35" si="5">+L7/F7</f>
        <v>6.08E-2</v>
      </c>
      <c r="N7" s="62">
        <f>F7*31.83/100</f>
        <v>47569935</v>
      </c>
      <c r="O7" s="66">
        <f>+N7/F7</f>
        <v>0.31830000000000003</v>
      </c>
      <c r="P7" s="62">
        <f>F7*51.87/100</f>
        <v>77519715</v>
      </c>
      <c r="Q7" s="66">
        <f>+P7/F7</f>
        <v>0.51870000000000005</v>
      </c>
      <c r="R7" s="62">
        <f>F7*10.22/100</f>
        <v>15273790</v>
      </c>
      <c r="S7" s="66">
        <f>R7/F7</f>
        <v>0.1022</v>
      </c>
    </row>
    <row r="8" spans="2:40" ht="48" customHeight="1" x14ac:dyDescent="0.3">
      <c r="B8" s="8">
        <v>3</v>
      </c>
      <c r="C8" s="9" t="s">
        <v>90</v>
      </c>
      <c r="D8" s="56" t="s">
        <v>7</v>
      </c>
      <c r="E8" s="47">
        <v>10000000</v>
      </c>
      <c r="F8" s="26">
        <v>0</v>
      </c>
      <c r="G8" s="67">
        <f t="shared" si="0"/>
        <v>0</v>
      </c>
      <c r="H8" s="26">
        <v>0</v>
      </c>
      <c r="I8" s="67">
        <f t="shared" si="1"/>
        <v>0</v>
      </c>
      <c r="J8" s="24"/>
      <c r="K8" s="24"/>
      <c r="L8" s="18"/>
      <c r="M8" s="66"/>
      <c r="N8" s="18"/>
      <c r="O8" s="66"/>
      <c r="P8" s="18"/>
      <c r="Q8" s="66"/>
      <c r="R8" s="18"/>
      <c r="S8" s="66"/>
    </row>
    <row r="9" spans="2:40" ht="48" customHeight="1" x14ac:dyDescent="0.3">
      <c r="B9" s="54">
        <v>3</v>
      </c>
      <c r="C9" s="55" t="s">
        <v>90</v>
      </c>
      <c r="D9" s="57" t="s">
        <v>43</v>
      </c>
      <c r="E9" s="31">
        <f>+E10+E11</f>
        <v>450080195</v>
      </c>
      <c r="F9" s="31">
        <f t="shared" ref="F9:R9" si="6">+F10+F11</f>
        <v>1600000</v>
      </c>
      <c r="G9" s="65">
        <f t="shared" si="0"/>
        <v>3.5549220289508628E-3</v>
      </c>
      <c r="H9" s="31">
        <f t="shared" si="6"/>
        <v>1600000</v>
      </c>
      <c r="I9" s="65">
        <f t="shared" si="1"/>
        <v>3.5549220289508628E-3</v>
      </c>
      <c r="J9" s="23"/>
      <c r="K9" s="23"/>
      <c r="L9" s="31">
        <f t="shared" si="6"/>
        <v>148932.2191272052</v>
      </c>
      <c r="M9" s="65">
        <f t="shared" si="5"/>
        <v>9.3082636954503251E-2</v>
      </c>
      <c r="N9" s="31">
        <f t="shared" si="6"/>
        <v>742804.08542246977</v>
      </c>
      <c r="O9" s="65">
        <f t="shared" si="2"/>
        <v>0.46425255338904359</v>
      </c>
      <c r="P9" s="31">
        <f t="shared" si="6"/>
        <v>708263.69545032503</v>
      </c>
      <c r="Q9" s="65">
        <f t="shared" si="3"/>
        <v>0.44266480965645316</v>
      </c>
      <c r="R9" s="31">
        <f t="shared" si="6"/>
        <v>0</v>
      </c>
      <c r="S9" s="65">
        <f t="shared" si="4"/>
        <v>0</v>
      </c>
    </row>
    <row r="10" spans="2:40" ht="48" customHeight="1" x14ac:dyDescent="0.3">
      <c r="B10" s="8">
        <v>3</v>
      </c>
      <c r="C10" s="9" t="s">
        <v>90</v>
      </c>
      <c r="D10" s="14" t="s">
        <v>7</v>
      </c>
      <c r="E10" s="18">
        <v>4800000</v>
      </c>
      <c r="F10" s="26">
        <v>1600000</v>
      </c>
      <c r="G10" s="67">
        <f t="shared" si="0"/>
        <v>0.33333333333333331</v>
      </c>
      <c r="H10" s="26">
        <v>1600000</v>
      </c>
      <c r="I10" s="67">
        <f t="shared" si="1"/>
        <v>0.33333333333333331</v>
      </c>
      <c r="J10" s="24"/>
      <c r="K10" s="24"/>
      <c r="L10" s="32">
        <f>($H$10/4308)*401</f>
        <v>148932.2191272052</v>
      </c>
      <c r="M10" s="68">
        <f t="shared" si="5"/>
        <v>9.3082636954503251E-2</v>
      </c>
      <c r="N10" s="32">
        <f>($H$10/4308)*2000</f>
        <v>742804.08542246977</v>
      </c>
      <c r="O10" s="68">
        <f t="shared" si="2"/>
        <v>0.46425255338904359</v>
      </c>
      <c r="P10" s="32">
        <f>($H$10/4308)*1907</f>
        <v>708263.69545032503</v>
      </c>
      <c r="Q10" s="68">
        <f t="shared" si="3"/>
        <v>0.44266480965645316</v>
      </c>
      <c r="R10" s="32"/>
      <c r="S10" s="68">
        <f t="shared" si="4"/>
        <v>0</v>
      </c>
    </row>
    <row r="11" spans="2:40" ht="48" customHeight="1" x14ac:dyDescent="0.3">
      <c r="B11" s="8">
        <v>3</v>
      </c>
      <c r="C11" s="9" t="s">
        <v>90</v>
      </c>
      <c r="D11" s="14" t="s">
        <v>10</v>
      </c>
      <c r="E11" s="26">
        <v>445280195</v>
      </c>
      <c r="F11" s="26">
        <v>0</v>
      </c>
      <c r="G11" s="67">
        <f t="shared" si="0"/>
        <v>0</v>
      </c>
      <c r="H11" s="26">
        <v>0</v>
      </c>
      <c r="I11" s="67">
        <f t="shared" si="1"/>
        <v>0</v>
      </c>
      <c r="J11" s="24"/>
      <c r="K11" s="24"/>
      <c r="L11" s="18"/>
      <c r="M11" s="66"/>
      <c r="N11" s="18"/>
      <c r="O11" s="66"/>
      <c r="P11" s="18"/>
      <c r="Q11" s="66"/>
      <c r="R11" s="18"/>
      <c r="S11" s="66"/>
    </row>
    <row r="12" spans="2:40" ht="48" customHeight="1" x14ac:dyDescent="0.3">
      <c r="B12" s="54">
        <v>2</v>
      </c>
      <c r="C12" s="55" t="s">
        <v>91</v>
      </c>
      <c r="D12" s="57" t="s">
        <v>44</v>
      </c>
      <c r="E12" s="31">
        <f>+E13+E14+E15</f>
        <v>11801511722</v>
      </c>
      <c r="F12" s="31">
        <f>+F13+F14+F15</f>
        <v>60150000</v>
      </c>
      <c r="G12" s="65">
        <f t="shared" si="0"/>
        <v>5.0968046651066147E-3</v>
      </c>
      <c r="H12" s="31">
        <f>+H13+H14+H15</f>
        <v>60150000</v>
      </c>
      <c r="I12" s="65">
        <f t="shared" si="1"/>
        <v>5.0968046651066147E-3</v>
      </c>
      <c r="J12" s="23"/>
      <c r="K12" s="23"/>
      <c r="L12" s="31">
        <f>+L13+L14+L15</f>
        <v>6022057.9885688331</v>
      </c>
      <c r="M12" s="65">
        <f t="shared" si="5"/>
        <v>0.10011733979333055</v>
      </c>
      <c r="N12" s="31">
        <f>+N13+N14+N15</f>
        <v>29893996.744767025</v>
      </c>
      <c r="O12" s="65">
        <f t="shared" si="2"/>
        <v>0.49699080207426477</v>
      </c>
      <c r="P12" s="31">
        <f>+P13+P14+P15</f>
        <v>23687520.345206104</v>
      </c>
      <c r="Q12" s="65">
        <f t="shared" si="3"/>
        <v>0.39380748703584545</v>
      </c>
      <c r="R12" s="31">
        <f>+R13+R14+R15</f>
        <v>546424.92145804153</v>
      </c>
      <c r="S12" s="65">
        <f t="shared" si="4"/>
        <v>9.0843710965592944E-3</v>
      </c>
    </row>
    <row r="13" spans="2:40" ht="48" customHeight="1" x14ac:dyDescent="0.3">
      <c r="B13" s="8">
        <v>2</v>
      </c>
      <c r="C13" s="9" t="s">
        <v>91</v>
      </c>
      <c r="D13" s="14" t="s">
        <v>11</v>
      </c>
      <c r="E13" s="18">
        <v>6862357011</v>
      </c>
      <c r="F13" s="18">
        <v>18000000</v>
      </c>
      <c r="G13" s="66">
        <f t="shared" si="0"/>
        <v>2.623005473359509E-3</v>
      </c>
      <c r="H13" s="18">
        <v>18000000</v>
      </c>
      <c r="I13" s="66">
        <f t="shared" si="1"/>
        <v>2.623005473359509E-3</v>
      </c>
      <c r="J13" s="24"/>
      <c r="K13" s="24"/>
      <c r="L13" s="32">
        <f>($H$13/26419)*2645</f>
        <v>1802112.1162799501</v>
      </c>
      <c r="M13" s="68">
        <f t="shared" si="5"/>
        <v>0.10011733979333057</v>
      </c>
      <c r="N13" s="32">
        <f>($H$13/26419)*13130</f>
        <v>8945834.4373367652</v>
      </c>
      <c r="O13" s="68">
        <f t="shared" si="2"/>
        <v>0.49699080207426471</v>
      </c>
      <c r="P13" s="32">
        <f>($H$13/26419)*10404</f>
        <v>7088534.7666452182</v>
      </c>
      <c r="Q13" s="68">
        <f t="shared" si="3"/>
        <v>0.39380748703584545</v>
      </c>
      <c r="R13" s="32">
        <f>($H$13/26419)*240</f>
        <v>163518.67973806732</v>
      </c>
      <c r="S13" s="68">
        <f t="shared" si="4"/>
        <v>9.0843710965592961E-3</v>
      </c>
    </row>
    <row r="14" spans="2:40" ht="48" customHeight="1" x14ac:dyDescent="0.3">
      <c r="B14" s="8">
        <v>2</v>
      </c>
      <c r="C14" s="9" t="s">
        <v>91</v>
      </c>
      <c r="D14" s="14" t="s">
        <v>7</v>
      </c>
      <c r="E14" s="18">
        <v>4812188678</v>
      </c>
      <c r="F14" s="18">
        <v>42150000</v>
      </c>
      <c r="G14" s="66">
        <f t="shared" si="0"/>
        <v>8.7590081811833725E-3</v>
      </c>
      <c r="H14" s="18">
        <v>42150000</v>
      </c>
      <c r="I14" s="66">
        <f t="shared" si="1"/>
        <v>8.7590081811833725E-3</v>
      </c>
      <c r="J14" s="24"/>
      <c r="K14" s="24"/>
      <c r="L14" s="32">
        <f>($H$14/26419)*2645</f>
        <v>4219945.8722888827</v>
      </c>
      <c r="M14" s="68">
        <f t="shared" si="5"/>
        <v>0.10011733979333055</v>
      </c>
      <c r="N14" s="32">
        <f>($H$14/26419)*13130</f>
        <v>20948162.30743026</v>
      </c>
      <c r="O14" s="68">
        <f t="shared" si="2"/>
        <v>0.49699080207426477</v>
      </c>
      <c r="P14" s="32">
        <f>($H$14/26419)*10404</f>
        <v>16598985.578560885</v>
      </c>
      <c r="Q14" s="68">
        <f t="shared" si="3"/>
        <v>0.39380748703584545</v>
      </c>
      <c r="R14" s="32">
        <f>($H$14/26419)*240</f>
        <v>382906.24171997426</v>
      </c>
      <c r="S14" s="68">
        <f t="shared" si="4"/>
        <v>9.0843710965592944E-3</v>
      </c>
    </row>
    <row r="15" spans="2:40" ht="48" customHeight="1" x14ac:dyDescent="0.3">
      <c r="B15" s="8">
        <v>2</v>
      </c>
      <c r="C15" s="9" t="s">
        <v>91</v>
      </c>
      <c r="D15" s="14" t="s">
        <v>12</v>
      </c>
      <c r="E15" s="26">
        <v>126966033</v>
      </c>
      <c r="F15" s="26">
        <v>0</v>
      </c>
      <c r="G15" s="67">
        <f t="shared" si="0"/>
        <v>0</v>
      </c>
      <c r="H15" s="26">
        <v>0</v>
      </c>
      <c r="I15" s="67">
        <f t="shared" si="1"/>
        <v>0</v>
      </c>
      <c r="J15" s="24"/>
      <c r="K15" s="24"/>
      <c r="L15" s="18"/>
      <c r="M15" s="66"/>
      <c r="N15" s="18"/>
      <c r="O15" s="66"/>
      <c r="P15" s="18"/>
      <c r="Q15" s="66"/>
      <c r="R15" s="18"/>
      <c r="S15" s="66"/>
    </row>
    <row r="16" spans="2:40" ht="48" customHeight="1" x14ac:dyDescent="0.3">
      <c r="B16" s="54">
        <v>9</v>
      </c>
      <c r="C16" s="55" t="s">
        <v>97</v>
      </c>
      <c r="D16" s="57" t="s">
        <v>45</v>
      </c>
      <c r="E16" s="31">
        <f>+E17</f>
        <v>19200000</v>
      </c>
      <c r="F16" s="31">
        <f t="shared" ref="F16:R16" si="7">+F17</f>
        <v>3200000</v>
      </c>
      <c r="G16" s="65">
        <f t="shared" si="0"/>
        <v>0.16666666666666666</v>
      </c>
      <c r="H16" s="31">
        <f t="shared" si="7"/>
        <v>3200000</v>
      </c>
      <c r="I16" s="65">
        <f t="shared" si="1"/>
        <v>0.16666666666666666</v>
      </c>
      <c r="J16" s="23"/>
      <c r="K16" s="23"/>
      <c r="L16" s="31">
        <f t="shared" si="7"/>
        <v>330606.48801128351</v>
      </c>
      <c r="M16" s="65">
        <f t="shared" si="5"/>
        <v>0.1033145275035261</v>
      </c>
      <c r="N16" s="31">
        <f t="shared" si="7"/>
        <v>1559379.407616361</v>
      </c>
      <c r="O16" s="65">
        <f t="shared" si="2"/>
        <v>0.4873060648801128</v>
      </c>
      <c r="P16" s="31">
        <f t="shared" si="7"/>
        <v>1310014.1043723554</v>
      </c>
      <c r="Q16" s="65">
        <f t="shared" si="3"/>
        <v>0.40937940761636105</v>
      </c>
      <c r="R16" s="31">
        <f t="shared" si="7"/>
        <v>0</v>
      </c>
      <c r="S16" s="65">
        <f t="shared" si="4"/>
        <v>0</v>
      </c>
    </row>
    <row r="17" spans="2:19" ht="48" customHeight="1" x14ac:dyDescent="0.3">
      <c r="B17" s="8">
        <v>9</v>
      </c>
      <c r="C17" s="9" t="s">
        <v>97</v>
      </c>
      <c r="D17" s="14" t="s">
        <v>7</v>
      </c>
      <c r="E17" s="18">
        <v>19200000</v>
      </c>
      <c r="F17" s="18">
        <v>3200000</v>
      </c>
      <c r="G17" s="66">
        <f t="shared" si="0"/>
        <v>0.16666666666666666</v>
      </c>
      <c r="H17" s="18">
        <v>3200000</v>
      </c>
      <c r="I17" s="66">
        <f t="shared" si="1"/>
        <v>0.16666666666666666</v>
      </c>
      <c r="J17" s="24"/>
      <c r="K17" s="24"/>
      <c r="L17" s="32">
        <f>($H$17/5672)*586</f>
        <v>330606.48801128351</v>
      </c>
      <c r="M17" s="68">
        <f t="shared" si="5"/>
        <v>0.1033145275035261</v>
      </c>
      <c r="N17" s="32">
        <f>($H$17/5672)*2764</f>
        <v>1559379.407616361</v>
      </c>
      <c r="O17" s="68">
        <f t="shared" si="2"/>
        <v>0.4873060648801128</v>
      </c>
      <c r="P17" s="32">
        <f>($H$17/5672)*2322</f>
        <v>1310014.1043723554</v>
      </c>
      <c r="Q17" s="68">
        <f t="shared" si="3"/>
        <v>0.40937940761636105</v>
      </c>
      <c r="R17" s="32"/>
      <c r="S17" s="68">
        <f t="shared" si="4"/>
        <v>0</v>
      </c>
    </row>
    <row r="18" spans="2:19" ht="48" customHeight="1" x14ac:dyDescent="0.3">
      <c r="B18" s="54">
        <v>3</v>
      </c>
      <c r="C18" s="55" t="s">
        <v>90</v>
      </c>
      <c r="D18" s="57" t="s">
        <v>13</v>
      </c>
      <c r="E18" s="31">
        <f>+E19</f>
        <v>10000000</v>
      </c>
      <c r="F18" s="31">
        <f t="shared" ref="F18:R18" si="8">+F19</f>
        <v>0</v>
      </c>
      <c r="G18" s="65">
        <f t="shared" si="0"/>
        <v>0</v>
      </c>
      <c r="H18" s="31">
        <f t="shared" si="8"/>
        <v>0</v>
      </c>
      <c r="I18" s="65">
        <f t="shared" si="1"/>
        <v>0</v>
      </c>
      <c r="J18" s="23"/>
      <c r="K18" s="23"/>
      <c r="L18" s="31">
        <f t="shared" si="8"/>
        <v>0</v>
      </c>
      <c r="M18" s="65"/>
      <c r="N18" s="31">
        <f t="shared" si="8"/>
        <v>0</v>
      </c>
      <c r="O18" s="65"/>
      <c r="P18" s="31">
        <f t="shared" si="8"/>
        <v>0</v>
      </c>
      <c r="Q18" s="65"/>
      <c r="R18" s="31">
        <f t="shared" si="8"/>
        <v>0</v>
      </c>
      <c r="S18" s="65"/>
    </row>
    <row r="19" spans="2:19" ht="48" customHeight="1" x14ac:dyDescent="0.3">
      <c r="B19" s="8">
        <v>3</v>
      </c>
      <c r="C19" s="9" t="s">
        <v>90</v>
      </c>
      <c r="D19" s="14" t="s">
        <v>7</v>
      </c>
      <c r="E19" s="26">
        <v>10000000</v>
      </c>
      <c r="F19" s="26">
        <v>0</v>
      </c>
      <c r="G19" s="67">
        <f t="shared" si="0"/>
        <v>0</v>
      </c>
      <c r="H19" s="26">
        <v>0</v>
      </c>
      <c r="I19" s="67">
        <f t="shared" si="1"/>
        <v>0</v>
      </c>
      <c r="J19" s="24"/>
      <c r="K19" s="24"/>
      <c r="L19" s="18"/>
      <c r="M19" s="66"/>
      <c r="N19" s="18"/>
      <c r="O19" s="66"/>
      <c r="P19" s="18"/>
      <c r="Q19" s="66"/>
      <c r="R19" s="18"/>
      <c r="S19" s="66"/>
    </row>
    <row r="20" spans="2:19" ht="48" customHeight="1" x14ac:dyDescent="0.3">
      <c r="B20" s="54">
        <v>9</v>
      </c>
      <c r="C20" s="55" t="s">
        <v>97</v>
      </c>
      <c r="D20" s="57" t="s">
        <v>46</v>
      </c>
      <c r="E20" s="31">
        <f>+E21</f>
        <v>4800000</v>
      </c>
      <c r="F20" s="31">
        <f>+F21</f>
        <v>4800000</v>
      </c>
      <c r="G20" s="65">
        <f t="shared" si="0"/>
        <v>1</v>
      </c>
      <c r="H20" s="31">
        <f>+H21</f>
        <v>4800000</v>
      </c>
      <c r="I20" s="65">
        <f t="shared" si="1"/>
        <v>1</v>
      </c>
      <c r="J20" s="23"/>
      <c r="K20" s="23"/>
      <c r="L20" s="31">
        <f>+L21</f>
        <v>0</v>
      </c>
      <c r="M20" s="65">
        <f t="shared" si="5"/>
        <v>0</v>
      </c>
      <c r="N20" s="31">
        <f>+N21</f>
        <v>0</v>
      </c>
      <c r="O20" s="65">
        <f t="shared" si="2"/>
        <v>0</v>
      </c>
      <c r="P20" s="31">
        <f>+P21</f>
        <v>4800000</v>
      </c>
      <c r="Q20" s="65">
        <f t="shared" si="3"/>
        <v>1</v>
      </c>
      <c r="R20" s="31">
        <f>+R21</f>
        <v>0</v>
      </c>
      <c r="S20" s="65">
        <f t="shared" si="4"/>
        <v>0</v>
      </c>
    </row>
    <row r="21" spans="2:19" ht="48" customHeight="1" x14ac:dyDescent="0.3">
      <c r="B21" s="8">
        <v>9</v>
      </c>
      <c r="C21" s="9" t="s">
        <v>97</v>
      </c>
      <c r="D21" s="14" t="s">
        <v>7</v>
      </c>
      <c r="E21" s="26">
        <v>4800000</v>
      </c>
      <c r="F21" s="26">
        <v>4800000</v>
      </c>
      <c r="G21" s="67">
        <f t="shared" si="0"/>
        <v>1</v>
      </c>
      <c r="H21" s="26">
        <v>4800000</v>
      </c>
      <c r="I21" s="67">
        <f t="shared" si="1"/>
        <v>1</v>
      </c>
      <c r="J21" s="24"/>
      <c r="K21" s="24"/>
      <c r="L21" s="32"/>
      <c r="M21" s="68">
        <f t="shared" si="5"/>
        <v>0</v>
      </c>
      <c r="N21" s="32"/>
      <c r="O21" s="68">
        <f t="shared" si="2"/>
        <v>0</v>
      </c>
      <c r="P21" s="32">
        <f>($H$21/146)*146</f>
        <v>4800000</v>
      </c>
      <c r="Q21" s="68">
        <f t="shared" si="3"/>
        <v>1</v>
      </c>
      <c r="R21" s="32"/>
      <c r="S21" s="68">
        <f t="shared" si="4"/>
        <v>0</v>
      </c>
    </row>
    <row r="22" spans="2:19" ht="48" customHeight="1" x14ac:dyDescent="0.3">
      <c r="B22" s="54">
        <v>3</v>
      </c>
      <c r="C22" s="55" t="s">
        <v>90</v>
      </c>
      <c r="D22" s="57" t="s">
        <v>47</v>
      </c>
      <c r="E22" s="31">
        <f>+E23</f>
        <v>4600000</v>
      </c>
      <c r="F22" s="31">
        <f t="shared" ref="F22:R22" si="9">+F23</f>
        <v>1400000</v>
      </c>
      <c r="G22" s="65">
        <f t="shared" si="0"/>
        <v>0.30434782608695654</v>
      </c>
      <c r="H22" s="31">
        <f t="shared" si="9"/>
        <v>1400000</v>
      </c>
      <c r="I22" s="65">
        <f t="shared" si="1"/>
        <v>0.30434782608695654</v>
      </c>
      <c r="J22" s="23"/>
      <c r="K22" s="23"/>
      <c r="L22" s="31">
        <f t="shared" si="9"/>
        <v>1400000</v>
      </c>
      <c r="M22" s="65">
        <f t="shared" si="5"/>
        <v>1</v>
      </c>
      <c r="N22" s="31">
        <f t="shared" si="9"/>
        <v>0</v>
      </c>
      <c r="O22" s="65">
        <f t="shared" si="2"/>
        <v>0</v>
      </c>
      <c r="P22" s="31">
        <f t="shared" si="9"/>
        <v>0</v>
      </c>
      <c r="Q22" s="65">
        <f t="shared" si="3"/>
        <v>0</v>
      </c>
      <c r="R22" s="31">
        <f t="shared" si="9"/>
        <v>0</v>
      </c>
      <c r="S22" s="65">
        <f t="shared" si="4"/>
        <v>0</v>
      </c>
    </row>
    <row r="23" spans="2:19" ht="48" customHeight="1" x14ac:dyDescent="0.3">
      <c r="B23" s="8">
        <v>3</v>
      </c>
      <c r="C23" s="9" t="s">
        <v>90</v>
      </c>
      <c r="D23" s="14" t="s">
        <v>7</v>
      </c>
      <c r="E23" s="26">
        <v>4600000</v>
      </c>
      <c r="F23" s="26">
        <v>1400000</v>
      </c>
      <c r="G23" s="67">
        <f t="shared" si="0"/>
        <v>0.30434782608695654</v>
      </c>
      <c r="H23" s="26">
        <v>1400000</v>
      </c>
      <c r="I23" s="67">
        <f t="shared" si="1"/>
        <v>0.30434782608695654</v>
      </c>
      <c r="J23" s="24"/>
      <c r="K23" s="24"/>
      <c r="L23" s="32">
        <f>($H$23/3225)*3225</f>
        <v>1400000</v>
      </c>
      <c r="M23" s="68">
        <f t="shared" si="5"/>
        <v>1</v>
      </c>
      <c r="N23" s="32"/>
      <c r="O23" s="68">
        <f t="shared" si="2"/>
        <v>0</v>
      </c>
      <c r="P23" s="32"/>
      <c r="Q23" s="68">
        <f t="shared" si="3"/>
        <v>0</v>
      </c>
      <c r="R23" s="32"/>
      <c r="S23" s="68">
        <f t="shared" si="4"/>
        <v>0</v>
      </c>
    </row>
    <row r="24" spans="2:19" ht="48" customHeight="1" x14ac:dyDescent="0.3">
      <c r="B24" s="54">
        <v>3</v>
      </c>
      <c r="C24" s="55" t="s">
        <v>90</v>
      </c>
      <c r="D24" s="57" t="s">
        <v>48</v>
      </c>
      <c r="E24" s="31">
        <f>+E25</f>
        <v>7350000</v>
      </c>
      <c r="F24" s="31">
        <f t="shared" ref="F24:R24" si="10">+F25</f>
        <v>0</v>
      </c>
      <c r="G24" s="65">
        <f t="shared" si="0"/>
        <v>0</v>
      </c>
      <c r="H24" s="31">
        <f t="shared" si="10"/>
        <v>0</v>
      </c>
      <c r="I24" s="65">
        <f t="shared" si="1"/>
        <v>0</v>
      </c>
      <c r="J24" s="23"/>
      <c r="K24" s="23"/>
      <c r="L24" s="31">
        <f t="shared" si="10"/>
        <v>0</v>
      </c>
      <c r="M24" s="65"/>
      <c r="N24" s="31">
        <f t="shared" si="10"/>
        <v>0</v>
      </c>
      <c r="O24" s="65"/>
      <c r="P24" s="31">
        <f t="shared" si="10"/>
        <v>0</v>
      </c>
      <c r="Q24" s="65"/>
      <c r="R24" s="31">
        <f t="shared" si="10"/>
        <v>0</v>
      </c>
      <c r="S24" s="65"/>
    </row>
    <row r="25" spans="2:19" ht="48" customHeight="1" x14ac:dyDescent="0.3">
      <c r="B25" s="8">
        <v>3</v>
      </c>
      <c r="C25" s="9" t="s">
        <v>90</v>
      </c>
      <c r="D25" s="14" t="s">
        <v>7</v>
      </c>
      <c r="E25" s="26">
        <v>7350000</v>
      </c>
      <c r="F25" s="26">
        <v>0</v>
      </c>
      <c r="G25" s="67">
        <f t="shared" si="0"/>
        <v>0</v>
      </c>
      <c r="H25" s="26">
        <v>0</v>
      </c>
      <c r="I25" s="67">
        <f t="shared" si="1"/>
        <v>0</v>
      </c>
      <c r="J25" s="24"/>
      <c r="K25" s="24"/>
      <c r="L25" s="18"/>
      <c r="M25" s="66"/>
      <c r="N25" s="18"/>
      <c r="O25" s="66"/>
      <c r="P25" s="18"/>
      <c r="Q25" s="66"/>
      <c r="R25" s="18"/>
      <c r="S25" s="66"/>
    </row>
    <row r="26" spans="2:19" ht="48" customHeight="1" x14ac:dyDescent="0.3">
      <c r="B26" s="54">
        <v>3</v>
      </c>
      <c r="C26" s="55" t="s">
        <v>90</v>
      </c>
      <c r="D26" s="57" t="s">
        <v>49</v>
      </c>
      <c r="E26" s="31">
        <f>+E27</f>
        <v>18800000</v>
      </c>
      <c r="F26" s="31">
        <f t="shared" ref="F26:R26" si="11">+F27</f>
        <v>6400000</v>
      </c>
      <c r="G26" s="65">
        <f t="shared" si="0"/>
        <v>0.34042553191489361</v>
      </c>
      <c r="H26" s="31">
        <f t="shared" si="11"/>
        <v>6400000</v>
      </c>
      <c r="I26" s="65">
        <f t="shared" si="1"/>
        <v>0.34042553191489361</v>
      </c>
      <c r="J26" s="23"/>
      <c r="K26" s="23"/>
      <c r="L26" s="31">
        <f t="shared" si="11"/>
        <v>607900.10405827255</v>
      </c>
      <c r="M26" s="65">
        <f t="shared" si="5"/>
        <v>9.4984391259105086E-2</v>
      </c>
      <c r="N26" s="31">
        <f t="shared" si="11"/>
        <v>2996878.2518210197</v>
      </c>
      <c r="O26" s="65">
        <f t="shared" si="2"/>
        <v>0.46826222684703434</v>
      </c>
      <c r="P26" s="31">
        <f t="shared" si="11"/>
        <v>2795221.6441207072</v>
      </c>
      <c r="Q26" s="65">
        <f t="shared" si="3"/>
        <v>0.43675338189386048</v>
      </c>
      <c r="R26" s="31">
        <f t="shared" si="11"/>
        <v>0</v>
      </c>
      <c r="S26" s="65">
        <f t="shared" si="4"/>
        <v>0</v>
      </c>
    </row>
    <row r="27" spans="2:19" ht="48" customHeight="1" x14ac:dyDescent="0.3">
      <c r="B27" s="8">
        <v>3</v>
      </c>
      <c r="C27" s="9" t="s">
        <v>90</v>
      </c>
      <c r="D27" s="14" t="s">
        <v>7</v>
      </c>
      <c r="E27" s="32">
        <v>18800000</v>
      </c>
      <c r="F27" s="32">
        <v>6400000</v>
      </c>
      <c r="G27" s="68">
        <f t="shared" si="0"/>
        <v>0.34042553191489361</v>
      </c>
      <c r="H27" s="32">
        <v>6400000</v>
      </c>
      <c r="I27" s="68">
        <f t="shared" si="1"/>
        <v>0.34042553191489361</v>
      </c>
      <c r="J27" s="24"/>
      <c r="K27" s="24"/>
      <c r="L27" s="32">
        <f>($H$27/24025)*2282</f>
        <v>607900.10405827255</v>
      </c>
      <c r="M27" s="68">
        <f t="shared" si="5"/>
        <v>9.4984391259105086E-2</v>
      </c>
      <c r="N27" s="32">
        <f>($H$27/24025)*11250</f>
        <v>2996878.2518210197</v>
      </c>
      <c r="O27" s="68">
        <f t="shared" si="2"/>
        <v>0.46826222684703434</v>
      </c>
      <c r="P27" s="32">
        <f>($H$27/24025)*10493</f>
        <v>2795221.6441207072</v>
      </c>
      <c r="Q27" s="68">
        <f t="shared" si="3"/>
        <v>0.43675338189386048</v>
      </c>
      <c r="R27" s="32"/>
      <c r="S27" s="68">
        <f t="shared" si="4"/>
        <v>0</v>
      </c>
    </row>
    <row r="28" spans="2:19" ht="48" customHeight="1" x14ac:dyDescent="0.3">
      <c r="B28" s="54">
        <v>3</v>
      </c>
      <c r="C28" s="55" t="s">
        <v>90</v>
      </c>
      <c r="D28" s="57" t="s">
        <v>50</v>
      </c>
      <c r="E28" s="31">
        <f>+E29+E30</f>
        <v>63302800</v>
      </c>
      <c r="F28" s="31">
        <f t="shared" ref="F28:R28" si="12">+F29+F30</f>
        <v>31722800</v>
      </c>
      <c r="G28" s="65">
        <f t="shared" si="0"/>
        <v>0.50112791219345743</v>
      </c>
      <c r="H28" s="31">
        <f t="shared" si="12"/>
        <v>31722800</v>
      </c>
      <c r="I28" s="65">
        <f t="shared" si="1"/>
        <v>0.50112791219345743</v>
      </c>
      <c r="J28" s="23"/>
      <c r="K28" s="23"/>
      <c r="L28" s="31">
        <f t="shared" si="12"/>
        <v>3118994.8465394424</v>
      </c>
      <c r="M28" s="65">
        <f t="shared" si="5"/>
        <v>9.8320288453082397E-2</v>
      </c>
      <c r="N28" s="31">
        <f t="shared" si="12"/>
        <v>15723304.968780229</v>
      </c>
      <c r="O28" s="65">
        <f t="shared" si="2"/>
        <v>0.4956468208600826</v>
      </c>
      <c r="P28" s="31">
        <f t="shared" si="12"/>
        <v>12880500.184680326</v>
      </c>
      <c r="Q28" s="65">
        <f t="shared" si="3"/>
        <v>0.4060328906868349</v>
      </c>
      <c r="R28" s="31">
        <f t="shared" si="12"/>
        <v>0</v>
      </c>
      <c r="S28" s="65">
        <f t="shared" si="4"/>
        <v>0</v>
      </c>
    </row>
    <row r="29" spans="2:19" ht="48" customHeight="1" x14ac:dyDescent="0.3">
      <c r="B29" s="8">
        <v>3</v>
      </c>
      <c r="C29" s="9" t="s">
        <v>90</v>
      </c>
      <c r="D29" s="14" t="s">
        <v>7</v>
      </c>
      <c r="E29" s="18">
        <v>47972800</v>
      </c>
      <c r="F29" s="18">
        <v>31722800</v>
      </c>
      <c r="G29" s="66">
        <f t="shared" si="0"/>
        <v>0.66126638428442786</v>
      </c>
      <c r="H29" s="18">
        <v>31722800</v>
      </c>
      <c r="I29" s="66">
        <f t="shared" si="1"/>
        <v>0.66126638428442786</v>
      </c>
      <c r="J29" s="24"/>
      <c r="K29" s="24"/>
      <c r="L29" s="33">
        <f>($H$29/11371)*1118</f>
        <v>3118994.8465394424</v>
      </c>
      <c r="M29" s="77">
        <f t="shared" si="5"/>
        <v>9.8320288453082397E-2</v>
      </c>
      <c r="N29" s="33">
        <f>($H$29/11371)*5636</f>
        <v>15723304.968780229</v>
      </c>
      <c r="O29" s="77">
        <f t="shared" si="2"/>
        <v>0.4956468208600826</v>
      </c>
      <c r="P29" s="33">
        <f>($H$29/11371)*4617</f>
        <v>12880500.184680326</v>
      </c>
      <c r="Q29" s="77">
        <f t="shared" si="3"/>
        <v>0.4060328906868349</v>
      </c>
      <c r="R29" s="32"/>
      <c r="S29" s="68">
        <f t="shared" si="4"/>
        <v>0</v>
      </c>
    </row>
    <row r="30" spans="2:19" ht="48" customHeight="1" x14ac:dyDescent="0.3">
      <c r="B30" s="8">
        <v>3</v>
      </c>
      <c r="C30" s="9" t="s">
        <v>90</v>
      </c>
      <c r="D30" s="14" t="s">
        <v>12</v>
      </c>
      <c r="E30" s="26">
        <v>15330000</v>
      </c>
      <c r="F30" s="26">
        <v>0</v>
      </c>
      <c r="G30" s="67">
        <f t="shared" si="0"/>
        <v>0</v>
      </c>
      <c r="H30" s="26">
        <v>0</v>
      </c>
      <c r="I30" s="67">
        <f t="shared" si="1"/>
        <v>0</v>
      </c>
      <c r="J30" s="24"/>
      <c r="K30" s="24"/>
      <c r="L30" s="18"/>
      <c r="M30" s="66"/>
      <c r="N30" s="18"/>
      <c r="O30" s="66"/>
      <c r="P30" s="18"/>
      <c r="Q30" s="66"/>
      <c r="R30" s="18"/>
      <c r="S30" s="66"/>
    </row>
    <row r="31" spans="2:19" ht="48" customHeight="1" x14ac:dyDescent="0.3">
      <c r="B31" s="54">
        <v>3</v>
      </c>
      <c r="C31" s="55" t="s">
        <v>90</v>
      </c>
      <c r="D31" s="57" t="s">
        <v>51</v>
      </c>
      <c r="E31" s="31">
        <f>+E32</f>
        <v>598010000</v>
      </c>
      <c r="F31" s="31">
        <f t="shared" ref="F31:R31" si="13">+F32</f>
        <v>121480000</v>
      </c>
      <c r="G31" s="65">
        <f t="shared" si="0"/>
        <v>0.20314041571211183</v>
      </c>
      <c r="H31" s="31">
        <f t="shared" si="13"/>
        <v>121480000</v>
      </c>
      <c r="I31" s="65">
        <f t="shared" si="1"/>
        <v>0.20314041571211183</v>
      </c>
      <c r="J31" s="23"/>
      <c r="K31" s="23"/>
      <c r="L31" s="31">
        <f t="shared" si="13"/>
        <v>933563.88088376564</v>
      </c>
      <c r="M31" s="65">
        <f t="shared" si="5"/>
        <v>7.6849183477425559E-3</v>
      </c>
      <c r="N31" s="31">
        <f t="shared" si="13"/>
        <v>38334466.85878963</v>
      </c>
      <c r="O31" s="65">
        <f t="shared" si="2"/>
        <v>0.31556195965417871</v>
      </c>
      <c r="P31" s="31">
        <f t="shared" si="13"/>
        <v>69200422.67050913</v>
      </c>
      <c r="Q31" s="65">
        <f t="shared" si="3"/>
        <v>0.56964457252641698</v>
      </c>
      <c r="R31" s="31">
        <f t="shared" si="13"/>
        <v>13011546.589817483</v>
      </c>
      <c r="S31" s="65">
        <f t="shared" si="4"/>
        <v>0.10710854947166186</v>
      </c>
    </row>
    <row r="32" spans="2:19" ht="48" customHeight="1" x14ac:dyDescent="0.3">
      <c r="B32" s="8">
        <v>3</v>
      </c>
      <c r="C32" s="9" t="s">
        <v>90</v>
      </c>
      <c r="D32" s="14" t="s">
        <v>10</v>
      </c>
      <c r="E32" s="18">
        <v>598010000</v>
      </c>
      <c r="F32" s="18">
        <v>121480000</v>
      </c>
      <c r="G32" s="66">
        <f t="shared" si="0"/>
        <v>0.20314041571211183</v>
      </c>
      <c r="H32" s="18">
        <v>121480000</v>
      </c>
      <c r="I32" s="66">
        <f t="shared" si="1"/>
        <v>0.20314041571211183</v>
      </c>
      <c r="J32" s="24"/>
      <c r="K32" s="24"/>
      <c r="L32" s="32">
        <f>($H$32/2082)*16</f>
        <v>933563.88088376564</v>
      </c>
      <c r="M32" s="68">
        <f t="shared" si="5"/>
        <v>7.6849183477425559E-3</v>
      </c>
      <c r="N32" s="32">
        <f>($H$32/2082)*657</f>
        <v>38334466.85878963</v>
      </c>
      <c r="O32" s="68">
        <f t="shared" si="2"/>
        <v>0.31556195965417871</v>
      </c>
      <c r="P32" s="32">
        <f>($H$32/2082)*1186</f>
        <v>69200422.67050913</v>
      </c>
      <c r="Q32" s="68">
        <f t="shared" si="3"/>
        <v>0.56964457252641698</v>
      </c>
      <c r="R32" s="32">
        <f>($H$32/2082)*223</f>
        <v>13011546.589817483</v>
      </c>
      <c r="S32" s="68">
        <f t="shared" si="4"/>
        <v>0.10710854947166186</v>
      </c>
    </row>
    <row r="33" spans="2:19" ht="48" customHeight="1" x14ac:dyDescent="0.3">
      <c r="B33" s="54">
        <v>3</v>
      </c>
      <c r="C33" s="55" t="s">
        <v>90</v>
      </c>
      <c r="D33" s="57" t="s">
        <v>14</v>
      </c>
      <c r="E33" s="31">
        <f>SUM(E34:E37)</f>
        <v>43037480799</v>
      </c>
      <c r="F33" s="31">
        <f>SUM(F34:F37)</f>
        <v>38373111454</v>
      </c>
      <c r="G33" s="65">
        <f t="shared" si="0"/>
        <v>0.89162076268394452</v>
      </c>
      <c r="H33" s="31">
        <f>SUM(H34:H37)</f>
        <v>38373111454</v>
      </c>
      <c r="I33" s="65">
        <f t="shared" si="1"/>
        <v>0.89162076268394452</v>
      </c>
      <c r="J33" s="23"/>
      <c r="K33" s="23"/>
      <c r="L33" s="31">
        <f>SUM(L34:L37)</f>
        <v>3390965459.3547058</v>
      </c>
      <c r="M33" s="65">
        <f t="shared" si="5"/>
        <v>8.8368269625976159E-2</v>
      </c>
      <c r="N33" s="31">
        <f>SUM(N34:N37)</f>
        <v>16883327870.033646</v>
      </c>
      <c r="O33" s="65">
        <f t="shared" si="2"/>
        <v>0.43997807918892989</v>
      </c>
      <c r="P33" s="31">
        <f>SUM(P34:P37)</f>
        <v>16099988562.368763</v>
      </c>
      <c r="Q33" s="65">
        <f t="shared" si="3"/>
        <v>0.41956432387998355</v>
      </c>
      <c r="R33" s="31">
        <f>SUM(R34:R37)</f>
        <v>1998829562.2428825</v>
      </c>
      <c r="S33" s="65">
        <f t="shared" si="4"/>
        <v>5.2089327305110289E-2</v>
      </c>
    </row>
    <row r="34" spans="2:19" ht="48" customHeight="1" x14ac:dyDescent="0.3">
      <c r="B34" s="8">
        <v>3</v>
      </c>
      <c r="C34" s="9" t="s">
        <v>90</v>
      </c>
      <c r="D34" s="14" t="s">
        <v>7</v>
      </c>
      <c r="E34" s="18">
        <v>2393946770</v>
      </c>
      <c r="F34" s="18">
        <v>865342948</v>
      </c>
      <c r="G34" s="66">
        <f t="shared" si="0"/>
        <v>0.36147125694027021</v>
      </c>
      <c r="H34" s="18">
        <v>865342948</v>
      </c>
      <c r="I34" s="66">
        <f t="shared" si="1"/>
        <v>0.36147125694027021</v>
      </c>
      <c r="J34" s="24"/>
      <c r="K34" s="24"/>
      <c r="L34" s="32">
        <f>($H$34/36495)*3225</f>
        <v>76468858.947801068</v>
      </c>
      <c r="M34" s="68">
        <f t="shared" si="5"/>
        <v>8.8368269625976159E-2</v>
      </c>
      <c r="N34" s="32">
        <f>($H$34/36495)*16057</f>
        <v>380731928.10072613</v>
      </c>
      <c r="O34" s="68">
        <f t="shared" si="2"/>
        <v>0.43997807918893</v>
      </c>
      <c r="P34" s="32">
        <f>($H$34/36495)*15312</f>
        <v>363067028.90193176</v>
      </c>
      <c r="Q34" s="68">
        <f t="shared" si="3"/>
        <v>0.41956432387998355</v>
      </c>
      <c r="R34" s="32">
        <f>($H$34/36495)*1901</f>
        <v>45075132.049541034</v>
      </c>
      <c r="S34" s="68">
        <f t="shared" si="4"/>
        <v>5.2089327305110289E-2</v>
      </c>
    </row>
    <row r="35" spans="2:19" ht="48" customHeight="1" x14ac:dyDescent="0.3">
      <c r="B35" s="8">
        <v>3</v>
      </c>
      <c r="C35" s="9" t="s">
        <v>90</v>
      </c>
      <c r="D35" s="14" t="s">
        <v>10</v>
      </c>
      <c r="E35" s="32">
        <v>37294134110</v>
      </c>
      <c r="F35" s="32">
        <v>36871354005</v>
      </c>
      <c r="G35" s="68">
        <f t="shared" si="0"/>
        <v>0.9886636299490692</v>
      </c>
      <c r="H35" s="32">
        <v>36871354005</v>
      </c>
      <c r="I35" s="68">
        <f t="shared" si="1"/>
        <v>0.9886636299490692</v>
      </c>
      <c r="J35" s="24"/>
      <c r="K35" s="24"/>
      <c r="L35" s="32">
        <f>($H$35/36495)*3225</f>
        <v>3258257752.1886559</v>
      </c>
      <c r="M35" s="68">
        <f t="shared" si="5"/>
        <v>8.8368269625976159E-2</v>
      </c>
      <c r="N35" s="32">
        <f>($H$35/36495)*16057</f>
        <v>16222587512.21496</v>
      </c>
      <c r="O35" s="68">
        <f t="shared" si="2"/>
        <v>0.43997807918892995</v>
      </c>
      <c r="P35" s="32">
        <f>($H$35/36495)*15312</f>
        <v>15469904713.647348</v>
      </c>
      <c r="Q35" s="68">
        <f t="shared" si="3"/>
        <v>0.41956432387998355</v>
      </c>
      <c r="R35" s="32">
        <f>($H$35/36495)*1901</f>
        <v>1920604026.949034</v>
      </c>
      <c r="S35" s="68">
        <f t="shared" si="4"/>
        <v>5.2089327305110282E-2</v>
      </c>
    </row>
    <row r="36" spans="2:19" s="2" customFormat="1" ht="48" customHeight="1" x14ac:dyDescent="0.3">
      <c r="B36" s="39">
        <v>3</v>
      </c>
      <c r="C36" s="40" t="s">
        <v>90</v>
      </c>
      <c r="D36" s="56" t="s">
        <v>52</v>
      </c>
      <c r="E36" s="47">
        <v>2712985418</v>
      </c>
      <c r="F36" s="47">
        <v>0</v>
      </c>
      <c r="G36" s="69">
        <f t="shared" ref="G36:G77" si="14">+F36/E36</f>
        <v>0</v>
      </c>
      <c r="H36" s="47">
        <v>0</v>
      </c>
      <c r="I36" s="69">
        <f t="shared" ref="I36:I77" si="15">+H36/E36</f>
        <v>0</v>
      </c>
      <c r="J36" s="24"/>
      <c r="K36" s="24"/>
      <c r="L36" s="32"/>
      <c r="M36" s="68"/>
      <c r="N36" s="32"/>
      <c r="O36" s="68"/>
      <c r="P36" s="32"/>
      <c r="Q36" s="68"/>
      <c r="R36" s="32"/>
      <c r="S36" s="68"/>
    </row>
    <row r="37" spans="2:19" s="2" customFormat="1" ht="48" customHeight="1" x14ac:dyDescent="0.3">
      <c r="B37" s="39">
        <v>3</v>
      </c>
      <c r="C37" s="40" t="s">
        <v>90</v>
      </c>
      <c r="D37" s="56" t="s">
        <v>53</v>
      </c>
      <c r="E37" s="47">
        <v>636414501</v>
      </c>
      <c r="F37" s="47">
        <v>636414501</v>
      </c>
      <c r="G37" s="69">
        <f t="shared" si="14"/>
        <v>1</v>
      </c>
      <c r="H37" s="47">
        <v>636414501</v>
      </c>
      <c r="I37" s="69">
        <f t="shared" si="15"/>
        <v>1</v>
      </c>
      <c r="J37" s="24"/>
      <c r="K37" s="24"/>
      <c r="L37" s="32">
        <f>($H$37/36495)*3225</f>
        <v>56238848.218249068</v>
      </c>
      <c r="M37" s="68">
        <f t="shared" ref="M37:M77" si="16">+L37/F37</f>
        <v>8.8368269625976145E-2</v>
      </c>
      <c r="N37" s="32">
        <f>($H$37/36495)*16057</f>
        <v>280008429.71796131</v>
      </c>
      <c r="O37" s="68">
        <f t="shared" ref="O37:O77" si="17">+N37/F37</f>
        <v>0.43997807918892989</v>
      </c>
      <c r="P37" s="32">
        <f>($H$37/36495)*15312</f>
        <v>267016819.81948209</v>
      </c>
      <c r="Q37" s="68">
        <f t="shared" ref="Q37:Q77" si="18">+P37/F37</f>
        <v>0.41956432387998349</v>
      </c>
      <c r="R37" s="32">
        <f>($H$37/36495)*1901</f>
        <v>33150403.244307436</v>
      </c>
      <c r="S37" s="68">
        <f t="shared" ref="S37:S77" si="19">+R37/F37</f>
        <v>5.2089327305110282E-2</v>
      </c>
    </row>
    <row r="38" spans="2:19" ht="27.75" customHeight="1" x14ac:dyDescent="0.3">
      <c r="B38" s="16">
        <v>6</v>
      </c>
      <c r="C38" s="3" t="s">
        <v>92</v>
      </c>
      <c r="D38" s="53" t="s">
        <v>15</v>
      </c>
      <c r="E38" s="34">
        <f>+E39+E41+E43+E45+E47+E49</f>
        <v>323127028</v>
      </c>
      <c r="F38" s="34">
        <f>+F39+F41+F43+F45+F47+F49</f>
        <v>116050000</v>
      </c>
      <c r="G38" s="64">
        <f t="shared" si="14"/>
        <v>0.35914668209061112</v>
      </c>
      <c r="H38" s="34">
        <f>+H39+H41+H43+H45+H47+H49</f>
        <v>116050000</v>
      </c>
      <c r="I38" s="64">
        <f t="shared" si="15"/>
        <v>0.35914668209061112</v>
      </c>
      <c r="J38" s="23"/>
      <c r="K38" s="23"/>
      <c r="L38" s="34">
        <f>+L39+L41+L43+L45+L47+L49</f>
        <v>10985662.045444924</v>
      </c>
      <c r="M38" s="64">
        <f t="shared" si="16"/>
        <v>9.4663180055535756E-2</v>
      </c>
      <c r="N38" s="34">
        <f>+N39+N41+N43+N45+N47+N49</f>
        <v>52802594.227179855</v>
      </c>
      <c r="O38" s="64">
        <f t="shared" si="17"/>
        <v>0.45499865770943432</v>
      </c>
      <c r="P38" s="34">
        <f>+P39+P41+P43+P45+P47+P49</f>
        <v>36762548.236054167</v>
      </c>
      <c r="Q38" s="64">
        <f t="shared" si="18"/>
        <v>0.31678197532144908</v>
      </c>
      <c r="R38" s="34">
        <f>+R39+R41+R43+R45+R47+R49</f>
        <v>15499195.491321044</v>
      </c>
      <c r="S38" s="64">
        <f t="shared" si="19"/>
        <v>0.13355618691358073</v>
      </c>
    </row>
    <row r="39" spans="2:19" ht="27.75" customHeight="1" x14ac:dyDescent="0.3">
      <c r="B39" s="54">
        <v>11</v>
      </c>
      <c r="C39" s="55" t="s">
        <v>98</v>
      </c>
      <c r="D39" s="57" t="s">
        <v>16</v>
      </c>
      <c r="E39" s="31">
        <f>+E40</f>
        <v>12000000</v>
      </c>
      <c r="F39" s="31">
        <f>+F40</f>
        <v>6400000</v>
      </c>
      <c r="G39" s="65">
        <f t="shared" si="14"/>
        <v>0.53333333333333333</v>
      </c>
      <c r="H39" s="31">
        <f>+H40</f>
        <v>6400000</v>
      </c>
      <c r="I39" s="65">
        <f t="shared" si="15"/>
        <v>0.53333333333333333</v>
      </c>
      <c r="J39" s="23"/>
      <c r="K39" s="23"/>
      <c r="L39" s="31">
        <f>+L40</f>
        <v>3115343.9153439151</v>
      </c>
      <c r="M39" s="65">
        <f t="shared" si="16"/>
        <v>0.48677248677248675</v>
      </c>
      <c r="N39" s="31">
        <f>+N40</f>
        <v>33862.433862433863</v>
      </c>
      <c r="O39" s="65">
        <f t="shared" si="17"/>
        <v>5.2910052910052916E-3</v>
      </c>
      <c r="P39" s="31">
        <f>+P40</f>
        <v>377324.26303854876</v>
      </c>
      <c r="Q39" s="65">
        <f t="shared" si="18"/>
        <v>5.8956916099773243E-2</v>
      </c>
      <c r="R39" s="31">
        <f>+R40</f>
        <v>2873469.387755102</v>
      </c>
      <c r="S39" s="65">
        <f t="shared" si="19"/>
        <v>0.44897959183673469</v>
      </c>
    </row>
    <row r="40" spans="2:19" s="2" customFormat="1" ht="27.75" customHeight="1" x14ac:dyDescent="0.3">
      <c r="B40" s="39">
        <v>11</v>
      </c>
      <c r="C40" s="40" t="s">
        <v>98</v>
      </c>
      <c r="D40" s="56" t="s">
        <v>7</v>
      </c>
      <c r="E40" s="47">
        <v>12000000</v>
      </c>
      <c r="F40" s="47">
        <v>6400000</v>
      </c>
      <c r="G40" s="69">
        <f t="shared" si="14"/>
        <v>0.53333333333333333</v>
      </c>
      <c r="H40" s="47">
        <v>6400000</v>
      </c>
      <c r="I40" s="69">
        <f t="shared" si="15"/>
        <v>0.53333333333333333</v>
      </c>
      <c r="J40" s="24"/>
      <c r="K40" s="24"/>
      <c r="L40" s="32">
        <f>644*F40/1323</f>
        <v>3115343.9153439151</v>
      </c>
      <c r="M40" s="68">
        <f t="shared" si="16"/>
        <v>0.48677248677248675</v>
      </c>
      <c r="N40" s="32">
        <f>SUM(7*F40)/1323</f>
        <v>33862.433862433863</v>
      </c>
      <c r="O40" s="68">
        <f t="shared" si="17"/>
        <v>5.2910052910052916E-3</v>
      </c>
      <c r="P40" s="32">
        <f>SUM(78*F40)/1323</f>
        <v>377324.26303854876</v>
      </c>
      <c r="Q40" s="68">
        <f t="shared" si="18"/>
        <v>5.8956916099773243E-2</v>
      </c>
      <c r="R40" s="32">
        <f>SUM(594*F40)/1323</f>
        <v>2873469.387755102</v>
      </c>
      <c r="S40" s="68">
        <f t="shared" si="19"/>
        <v>0.44897959183673469</v>
      </c>
    </row>
    <row r="41" spans="2:19" ht="57.6" x14ac:dyDescent="0.3">
      <c r="B41" s="54">
        <v>6</v>
      </c>
      <c r="C41" s="55" t="s">
        <v>92</v>
      </c>
      <c r="D41" s="57" t="s">
        <v>54</v>
      </c>
      <c r="E41" s="31">
        <f>+E42</f>
        <v>12000000</v>
      </c>
      <c r="F41" s="31">
        <f>+F42</f>
        <v>3200000</v>
      </c>
      <c r="G41" s="65">
        <f t="shared" si="14"/>
        <v>0.26666666666666666</v>
      </c>
      <c r="H41" s="31">
        <f>+H42</f>
        <v>3200000</v>
      </c>
      <c r="I41" s="65">
        <f t="shared" si="15"/>
        <v>0.26666666666666666</v>
      </c>
      <c r="J41" s="23"/>
      <c r="K41" s="23"/>
      <c r="L41" s="31">
        <f>+L42</f>
        <v>0</v>
      </c>
      <c r="M41" s="65">
        <f t="shared" si="16"/>
        <v>0</v>
      </c>
      <c r="N41" s="31">
        <f>+N42</f>
        <v>374697.17362045759</v>
      </c>
      <c r="O41" s="65">
        <f t="shared" si="17"/>
        <v>0.11709286675639299</v>
      </c>
      <c r="P41" s="31">
        <f>+P42</f>
        <v>1453566.6218034993</v>
      </c>
      <c r="Q41" s="65">
        <f t="shared" si="18"/>
        <v>0.45423956931359355</v>
      </c>
      <c r="R41" s="31">
        <f>+R42</f>
        <v>1371736.2045760432</v>
      </c>
      <c r="S41" s="65">
        <f t="shared" si="19"/>
        <v>0.42866756393001348</v>
      </c>
    </row>
    <row r="42" spans="2:19" ht="43.2" x14ac:dyDescent="0.3">
      <c r="B42" s="8">
        <v>6</v>
      </c>
      <c r="C42" s="9" t="s">
        <v>92</v>
      </c>
      <c r="D42" s="14" t="s">
        <v>7</v>
      </c>
      <c r="E42" s="26">
        <v>12000000</v>
      </c>
      <c r="F42" s="26">
        <v>3200000</v>
      </c>
      <c r="G42" s="67">
        <f t="shared" si="14"/>
        <v>0.26666666666666666</v>
      </c>
      <c r="H42" s="26">
        <v>3200000</v>
      </c>
      <c r="I42" s="67">
        <f t="shared" si="15"/>
        <v>0.26666666666666666</v>
      </c>
      <c r="J42" s="24"/>
      <c r="K42" s="24"/>
      <c r="L42" s="18">
        <v>0</v>
      </c>
      <c r="M42" s="66">
        <f t="shared" si="16"/>
        <v>0</v>
      </c>
      <c r="N42" s="18">
        <f>SUM(174*H42)/1486</f>
        <v>374697.17362045759</v>
      </c>
      <c r="O42" s="66">
        <f t="shared" si="17"/>
        <v>0.11709286675639299</v>
      </c>
      <c r="P42" s="18">
        <f>SUM(675*F42)/1486</f>
        <v>1453566.6218034993</v>
      </c>
      <c r="Q42" s="66">
        <f t="shared" si="18"/>
        <v>0.45423956931359355</v>
      </c>
      <c r="R42" s="18">
        <f>SUM(637*F42)/1486</f>
        <v>1371736.2045760432</v>
      </c>
      <c r="S42" s="66">
        <f t="shared" si="19"/>
        <v>0.42866756393001348</v>
      </c>
    </row>
    <row r="43" spans="2:19" ht="43.2" x14ac:dyDescent="0.3">
      <c r="B43" s="54">
        <v>6</v>
      </c>
      <c r="C43" s="55" t="s">
        <v>92</v>
      </c>
      <c r="D43" s="57" t="s">
        <v>55</v>
      </c>
      <c r="E43" s="31">
        <f>+E44</f>
        <v>27000000</v>
      </c>
      <c r="F43" s="31">
        <f>+F44</f>
        <v>15800000</v>
      </c>
      <c r="G43" s="65">
        <f t="shared" si="14"/>
        <v>0.58518518518518514</v>
      </c>
      <c r="H43" s="31">
        <f>+H44</f>
        <v>15800000</v>
      </c>
      <c r="I43" s="65">
        <f t="shared" si="15"/>
        <v>0.58518518518518514</v>
      </c>
      <c r="J43" s="23"/>
      <c r="K43" s="23"/>
      <c r="L43" s="31">
        <f>+L44</f>
        <v>790000</v>
      </c>
      <c r="M43" s="65">
        <f t="shared" si="16"/>
        <v>0.05</v>
      </c>
      <c r="N43" s="31">
        <f>+N44</f>
        <v>3160000</v>
      </c>
      <c r="O43" s="65">
        <f t="shared" si="17"/>
        <v>0.2</v>
      </c>
      <c r="P43" s="31">
        <f>+P44</f>
        <v>10270000</v>
      </c>
      <c r="Q43" s="65">
        <f t="shared" si="18"/>
        <v>0.65</v>
      </c>
      <c r="R43" s="31">
        <f>+R44</f>
        <v>1580000</v>
      </c>
      <c r="S43" s="65">
        <f t="shared" si="19"/>
        <v>0.1</v>
      </c>
    </row>
    <row r="44" spans="2:19" ht="43.2" x14ac:dyDescent="0.3">
      <c r="B44" s="8">
        <v>6</v>
      </c>
      <c r="C44" s="9" t="s">
        <v>92</v>
      </c>
      <c r="D44" s="14" t="s">
        <v>7</v>
      </c>
      <c r="E44" s="18">
        <v>27000000</v>
      </c>
      <c r="F44" s="18">
        <v>15800000</v>
      </c>
      <c r="G44" s="66">
        <f t="shared" si="14"/>
        <v>0.58518518518518514</v>
      </c>
      <c r="H44" s="18">
        <v>15800000</v>
      </c>
      <c r="I44" s="66">
        <f t="shared" si="15"/>
        <v>0.58518518518518514</v>
      </c>
      <c r="J44" s="24"/>
      <c r="K44" s="24"/>
      <c r="L44" s="18">
        <f>SUM(1*F44)/20</f>
        <v>790000</v>
      </c>
      <c r="M44" s="66">
        <f t="shared" si="16"/>
        <v>0.05</v>
      </c>
      <c r="N44" s="18">
        <f>SUM(4*F44)/20</f>
        <v>3160000</v>
      </c>
      <c r="O44" s="66">
        <f t="shared" si="17"/>
        <v>0.2</v>
      </c>
      <c r="P44" s="18">
        <f>SUM(13*F44/20)</f>
        <v>10270000</v>
      </c>
      <c r="Q44" s="66">
        <f t="shared" si="18"/>
        <v>0.65</v>
      </c>
      <c r="R44" s="18">
        <f>SUM(2*F44)/20</f>
        <v>1580000</v>
      </c>
      <c r="S44" s="66">
        <f t="shared" si="19"/>
        <v>0.1</v>
      </c>
    </row>
    <row r="45" spans="2:19" ht="43.2" x14ac:dyDescent="0.3">
      <c r="B45" s="54">
        <v>6</v>
      </c>
      <c r="C45" s="55" t="s">
        <v>92</v>
      </c>
      <c r="D45" s="57" t="s">
        <v>56</v>
      </c>
      <c r="E45" s="31">
        <f>+E46</f>
        <v>170850000</v>
      </c>
      <c r="F45" s="31">
        <f>+F46</f>
        <v>52200000</v>
      </c>
      <c r="G45" s="65">
        <f t="shared" si="14"/>
        <v>0.30553116769095701</v>
      </c>
      <c r="H45" s="31">
        <f>+H46</f>
        <v>52200000</v>
      </c>
      <c r="I45" s="65">
        <f t="shared" si="15"/>
        <v>0.30553116769095701</v>
      </c>
      <c r="J45" s="23"/>
      <c r="K45" s="23"/>
      <c r="L45" s="31">
        <f>+L46</f>
        <v>6210101.0101010101</v>
      </c>
      <c r="M45" s="65">
        <f t="shared" si="16"/>
        <v>0.11896745230078563</v>
      </c>
      <c r="N45" s="31">
        <f>+N46</f>
        <v>23419696.969696969</v>
      </c>
      <c r="O45" s="65">
        <f t="shared" si="17"/>
        <v>0.44865319865319864</v>
      </c>
      <c r="P45" s="31">
        <f>+P46</f>
        <v>12896212.121212121</v>
      </c>
      <c r="Q45" s="65">
        <f t="shared" si="18"/>
        <v>0.24705387205387205</v>
      </c>
      <c r="R45" s="31">
        <f>+R46</f>
        <v>9673989.8989898991</v>
      </c>
      <c r="S45" s="65">
        <f t="shared" si="19"/>
        <v>0.18532547699214366</v>
      </c>
    </row>
    <row r="46" spans="2:19" ht="43.2" x14ac:dyDescent="0.3">
      <c r="B46" s="8">
        <v>6</v>
      </c>
      <c r="C46" s="9" t="s">
        <v>92</v>
      </c>
      <c r="D46" s="14" t="s">
        <v>7</v>
      </c>
      <c r="E46" s="18">
        <v>170850000</v>
      </c>
      <c r="F46" s="18">
        <v>52200000</v>
      </c>
      <c r="G46" s="66">
        <f t="shared" si="14"/>
        <v>0.30553116769095701</v>
      </c>
      <c r="H46" s="18">
        <v>52200000</v>
      </c>
      <c r="I46" s="66">
        <f t="shared" si="15"/>
        <v>0.30553116769095701</v>
      </c>
      <c r="J46" s="24"/>
      <c r="K46" s="24"/>
      <c r="L46" s="18">
        <f>SUM(848*F46)/7128</f>
        <v>6210101.0101010101</v>
      </c>
      <c r="M46" s="66">
        <f t="shared" si="16"/>
        <v>0.11896745230078563</v>
      </c>
      <c r="N46" s="18">
        <f>SUM(3198*F46)/7128</f>
        <v>23419696.969696969</v>
      </c>
      <c r="O46" s="66">
        <f t="shared" si="17"/>
        <v>0.44865319865319864</v>
      </c>
      <c r="P46" s="18">
        <f>SUM(1761*F46)/7128</f>
        <v>12896212.121212121</v>
      </c>
      <c r="Q46" s="66">
        <f t="shared" si="18"/>
        <v>0.24705387205387205</v>
      </c>
      <c r="R46" s="18">
        <f>SUM(1321*F46)/7128</f>
        <v>9673989.8989898991</v>
      </c>
      <c r="S46" s="66">
        <f t="shared" si="19"/>
        <v>0.18532547699214366</v>
      </c>
    </row>
    <row r="47" spans="2:19" ht="51" customHeight="1" x14ac:dyDescent="0.3">
      <c r="B47" s="41">
        <v>6</v>
      </c>
      <c r="C47" s="42" t="s">
        <v>92</v>
      </c>
      <c r="D47" s="58" t="s">
        <v>18</v>
      </c>
      <c r="E47" s="43">
        <f>+E48</f>
        <v>99277028</v>
      </c>
      <c r="F47" s="43">
        <f>+F48</f>
        <v>38450000</v>
      </c>
      <c r="G47" s="70">
        <f t="shared" si="14"/>
        <v>0.38730007106981484</v>
      </c>
      <c r="H47" s="43">
        <f>+H48</f>
        <v>38450000</v>
      </c>
      <c r="I47" s="70">
        <f t="shared" si="15"/>
        <v>0.38730007106981484</v>
      </c>
      <c r="J47" s="23"/>
      <c r="K47" s="23"/>
      <c r="L47" s="43">
        <f>+L48</f>
        <v>870217.12</v>
      </c>
      <c r="M47" s="70">
        <f t="shared" si="16"/>
        <v>2.2632434850455137E-2</v>
      </c>
      <c r="N47" s="43">
        <f>+N48</f>
        <v>25814337.649999999</v>
      </c>
      <c r="O47" s="70">
        <f t="shared" si="17"/>
        <v>0.6713741911573472</v>
      </c>
      <c r="P47" s="43">
        <f>+P48</f>
        <v>11765445.23</v>
      </c>
      <c r="Q47" s="70">
        <f t="shared" si="18"/>
        <v>0.30599337399219767</v>
      </c>
      <c r="R47" s="43">
        <f>+R48</f>
        <v>0</v>
      </c>
      <c r="S47" s="70">
        <f t="shared" si="19"/>
        <v>0</v>
      </c>
    </row>
    <row r="48" spans="2:19" s="2" customFormat="1" ht="27.75" customHeight="1" x14ac:dyDescent="0.3">
      <c r="B48" s="39">
        <v>6</v>
      </c>
      <c r="C48" s="40" t="s">
        <v>92</v>
      </c>
      <c r="D48" s="56" t="s">
        <v>57</v>
      </c>
      <c r="E48" s="32">
        <v>99277028</v>
      </c>
      <c r="F48" s="32">
        <v>38450000</v>
      </c>
      <c r="G48" s="68">
        <f t="shared" si="14"/>
        <v>0.38730007106981484</v>
      </c>
      <c r="H48" s="32">
        <v>38450000</v>
      </c>
      <c r="I48" s="68">
        <f t="shared" si="15"/>
        <v>0.38730007106981484</v>
      </c>
      <c r="J48" s="24"/>
      <c r="K48" s="24"/>
      <c r="L48" s="32">
        <v>870217.12</v>
      </c>
      <c r="M48" s="68">
        <f t="shared" si="16"/>
        <v>2.2632434850455137E-2</v>
      </c>
      <c r="N48" s="32">
        <v>25814337.649999999</v>
      </c>
      <c r="O48" s="68">
        <f t="shared" si="17"/>
        <v>0.6713741911573472</v>
      </c>
      <c r="P48" s="32">
        <v>11765445.23</v>
      </c>
      <c r="Q48" s="68">
        <f t="shared" si="18"/>
        <v>0.30599337399219767</v>
      </c>
      <c r="R48" s="32"/>
      <c r="S48" s="68">
        <f t="shared" si="19"/>
        <v>0</v>
      </c>
    </row>
    <row r="49" spans="2:19" ht="43.2" x14ac:dyDescent="0.3">
      <c r="B49" s="41">
        <v>6</v>
      </c>
      <c r="C49" s="42" t="s">
        <v>92</v>
      </c>
      <c r="D49" s="58" t="s">
        <v>17</v>
      </c>
      <c r="E49" s="43">
        <f>+E50</f>
        <v>2000000</v>
      </c>
      <c r="F49" s="43">
        <f t="shared" ref="F49:R49" si="20">+F50</f>
        <v>0</v>
      </c>
      <c r="G49" s="70">
        <f t="shared" si="14"/>
        <v>0</v>
      </c>
      <c r="H49" s="43">
        <f t="shared" si="20"/>
        <v>0</v>
      </c>
      <c r="I49" s="70">
        <f t="shared" si="15"/>
        <v>0</v>
      </c>
      <c r="J49" s="23"/>
      <c r="K49" s="23"/>
      <c r="L49" s="43">
        <f t="shared" si="20"/>
        <v>0</v>
      </c>
      <c r="M49" s="70"/>
      <c r="N49" s="43">
        <f t="shared" si="20"/>
        <v>0</v>
      </c>
      <c r="O49" s="70"/>
      <c r="P49" s="43">
        <f t="shared" si="20"/>
        <v>0</v>
      </c>
      <c r="Q49" s="70"/>
      <c r="R49" s="43">
        <f t="shared" si="20"/>
        <v>0</v>
      </c>
      <c r="S49" s="70"/>
    </row>
    <row r="50" spans="2:19" s="2" customFormat="1" ht="43.2" x14ac:dyDescent="0.3">
      <c r="B50" s="39">
        <v>6</v>
      </c>
      <c r="C50" s="40" t="s">
        <v>92</v>
      </c>
      <c r="D50" s="56" t="s">
        <v>57</v>
      </c>
      <c r="E50" s="32">
        <v>2000000</v>
      </c>
      <c r="F50" s="32">
        <v>0</v>
      </c>
      <c r="G50" s="68">
        <f t="shared" si="14"/>
        <v>0</v>
      </c>
      <c r="H50" s="32">
        <v>0</v>
      </c>
      <c r="I50" s="68">
        <f t="shared" si="15"/>
        <v>0</v>
      </c>
      <c r="J50" s="24"/>
      <c r="K50" s="24"/>
      <c r="L50" s="32"/>
      <c r="M50" s="68"/>
      <c r="N50" s="32"/>
      <c r="O50" s="68"/>
      <c r="P50" s="32"/>
      <c r="Q50" s="68"/>
      <c r="R50" s="32"/>
      <c r="S50" s="68"/>
    </row>
    <row r="51" spans="2:19" ht="27.75" customHeight="1" x14ac:dyDescent="0.3">
      <c r="B51" s="16">
        <v>1</v>
      </c>
      <c r="C51" s="3" t="s">
        <v>93</v>
      </c>
      <c r="D51" s="53" t="s">
        <v>19</v>
      </c>
      <c r="E51" s="34">
        <f>+E52+E54+E57+E59+E62+E65+E67+E70+E72+E74+E76+E78+E80+E83+E86+E90+E92+E94+E97+E99+E101+E103+E106+E108+E112</f>
        <v>3906650716</v>
      </c>
      <c r="F51" s="34">
        <f>+F52+F54+F57+F59+F62+F65+F67+F70+F72+F74+F76+F78+F80+F83+F86+F90+F92+F94+F97+F99+F101+F103+F106+F108+F112</f>
        <v>566625803</v>
      </c>
      <c r="G51" s="64">
        <f t="shared" si="14"/>
        <v>0.14504132675064571</v>
      </c>
      <c r="H51" s="34">
        <f>+H52+H54+H57+H59+H62+H65+H67+H70+H72+H74+H76+H78+H80+H83+H86+H90+H92+H94+H97+H99+H101+H103+H106+H108+H112</f>
        <v>566625803</v>
      </c>
      <c r="I51" s="64">
        <f t="shared" si="15"/>
        <v>0.14504132675064571</v>
      </c>
      <c r="J51" s="23"/>
      <c r="K51" s="23"/>
      <c r="L51" s="34">
        <f>+L52+L54+L57+L59+L62+L65+L67+L70+L72+L74+L76+L78+L80+L83+L86+L90+L92+L94+L97+L99+L101+L103+L106+L108+L112</f>
        <v>42790419.889821477</v>
      </c>
      <c r="M51" s="64">
        <f t="shared" si="16"/>
        <v>7.5517951465089703E-2</v>
      </c>
      <c r="N51" s="34">
        <f>+N52+N54+N57+N59+N62+N65+N67+N70+N72+N74+N76+N78+N80+N83+N86+N90+N92+N94+N97+N99+N101+N103+N106+N108+N112</f>
        <v>51924292.143299215</v>
      </c>
      <c r="O51" s="64">
        <f t="shared" si="17"/>
        <v>9.1637711993322712E-2</v>
      </c>
      <c r="P51" s="34">
        <f>+P52+P54+P57+P59+P62+P65+P67+P70+P72+P74+P76+P78+P80+P83+P86+P90+P92+P94+P97+P99+P101+P103+P106+P108+P112</f>
        <v>54630488.735478833</v>
      </c>
      <c r="Q51" s="64">
        <f t="shared" si="18"/>
        <v>9.6413697445894175E-2</v>
      </c>
      <c r="R51" s="34">
        <f>+R52+R54+R57+R59+R62+R65+R67+R70+R72+R74+R76+R78+R80+R83+R86+R90+R92+R94+R97+R99+R101+R103+R106+R108+R112</f>
        <v>417280602.23140043</v>
      </c>
      <c r="S51" s="64">
        <f t="shared" si="19"/>
        <v>0.73643063909569328</v>
      </c>
    </row>
    <row r="52" spans="2:19" ht="27.75" customHeight="1" x14ac:dyDescent="0.3">
      <c r="B52" s="17">
        <v>1</v>
      </c>
      <c r="C52" s="4" t="s">
        <v>93</v>
      </c>
      <c r="D52" s="5" t="s">
        <v>59</v>
      </c>
      <c r="E52" s="35">
        <f>+E53</f>
        <v>14500000</v>
      </c>
      <c r="F52" s="35">
        <f>+F53</f>
        <v>5300000</v>
      </c>
      <c r="G52" s="71">
        <f t="shared" si="14"/>
        <v>0.36551724137931035</v>
      </c>
      <c r="H52" s="35">
        <f>+H53</f>
        <v>5300000</v>
      </c>
      <c r="I52" s="71">
        <f t="shared" si="15"/>
        <v>0.36551724137931035</v>
      </c>
      <c r="J52" s="23"/>
      <c r="K52" s="23"/>
      <c r="L52" s="35">
        <f>+L53</f>
        <v>424000</v>
      </c>
      <c r="M52" s="71">
        <f t="shared" si="16"/>
        <v>0.08</v>
      </c>
      <c r="N52" s="35">
        <f>+N53</f>
        <v>381600</v>
      </c>
      <c r="O52" s="71">
        <f t="shared" si="17"/>
        <v>7.1999999999999995E-2</v>
      </c>
      <c r="P52" s="35">
        <f>+P53</f>
        <v>402800</v>
      </c>
      <c r="Q52" s="71">
        <f t="shared" si="18"/>
        <v>7.5999999999999998E-2</v>
      </c>
      <c r="R52" s="35">
        <f>+R53</f>
        <v>4091600</v>
      </c>
      <c r="S52" s="71">
        <f t="shared" si="19"/>
        <v>0.77200000000000002</v>
      </c>
    </row>
    <row r="53" spans="2:19" ht="27.75" customHeight="1" x14ac:dyDescent="0.3">
      <c r="B53" s="12">
        <v>1</v>
      </c>
      <c r="C53" s="13" t="s">
        <v>93</v>
      </c>
      <c r="D53" s="14" t="s">
        <v>20</v>
      </c>
      <c r="E53" s="26">
        <v>14500000</v>
      </c>
      <c r="F53" s="26">
        <v>5300000</v>
      </c>
      <c r="G53" s="67">
        <f t="shared" si="14"/>
        <v>0.36551724137931035</v>
      </c>
      <c r="H53" s="26">
        <v>5300000</v>
      </c>
      <c r="I53" s="67">
        <f t="shared" si="15"/>
        <v>0.36551724137931035</v>
      </c>
      <c r="J53" s="24"/>
      <c r="K53" s="24"/>
      <c r="L53" s="36">
        <v>424000</v>
      </c>
      <c r="M53" s="78">
        <f t="shared" si="16"/>
        <v>0.08</v>
      </c>
      <c r="N53" s="36">
        <v>381600</v>
      </c>
      <c r="O53" s="78">
        <f t="shared" si="17"/>
        <v>7.1999999999999995E-2</v>
      </c>
      <c r="P53" s="36">
        <v>402800</v>
      </c>
      <c r="Q53" s="78">
        <f t="shared" si="18"/>
        <v>7.5999999999999998E-2</v>
      </c>
      <c r="R53" s="36">
        <v>4091600</v>
      </c>
      <c r="S53" s="78">
        <f t="shared" si="19"/>
        <v>0.77200000000000002</v>
      </c>
    </row>
    <row r="54" spans="2:19" ht="27.75" customHeight="1" x14ac:dyDescent="0.3">
      <c r="B54" s="17">
        <v>11</v>
      </c>
      <c r="C54" s="4" t="s">
        <v>98</v>
      </c>
      <c r="D54" s="5" t="s">
        <v>21</v>
      </c>
      <c r="E54" s="35">
        <f>E55+E56</f>
        <v>54093333</v>
      </c>
      <c r="F54" s="35">
        <f t="shared" ref="F54:H54" si="21">F55+F56</f>
        <v>21700000</v>
      </c>
      <c r="G54" s="71">
        <f t="shared" si="14"/>
        <v>0.40115849396819381</v>
      </c>
      <c r="H54" s="35">
        <f t="shared" si="21"/>
        <v>21700000</v>
      </c>
      <c r="I54" s="71">
        <f t="shared" si="15"/>
        <v>0.40115849396819381</v>
      </c>
      <c r="J54" s="23"/>
      <c r="K54" s="23"/>
      <c r="L54" s="35">
        <f>L55+L56</f>
        <v>1736000</v>
      </c>
      <c r="M54" s="71">
        <f t="shared" si="16"/>
        <v>0.08</v>
      </c>
      <c r="N54" s="35">
        <f t="shared" ref="N54" si="22">N55+N56</f>
        <v>1562400</v>
      </c>
      <c r="O54" s="71">
        <f t="shared" si="17"/>
        <v>7.1999999999999995E-2</v>
      </c>
      <c r="P54" s="35">
        <f t="shared" ref="P54" si="23">P55+P56</f>
        <v>1649200</v>
      </c>
      <c r="Q54" s="71">
        <f t="shared" si="18"/>
        <v>7.5999999999999998E-2</v>
      </c>
      <c r="R54" s="35">
        <f t="shared" ref="R54" si="24">R55+R56</f>
        <v>16752400</v>
      </c>
      <c r="S54" s="71">
        <f t="shared" si="19"/>
        <v>0.77200000000000002</v>
      </c>
    </row>
    <row r="55" spans="2:19" s="2" customFormat="1" ht="27.75" customHeight="1" x14ac:dyDescent="0.3">
      <c r="B55" s="39">
        <v>11</v>
      </c>
      <c r="C55" s="40" t="s">
        <v>98</v>
      </c>
      <c r="D55" s="56" t="s">
        <v>20</v>
      </c>
      <c r="E55" s="47">
        <v>39493333</v>
      </c>
      <c r="F55" s="47">
        <v>13200000</v>
      </c>
      <c r="G55" s="69">
        <f t="shared" si="14"/>
        <v>0.33423362874943979</v>
      </c>
      <c r="H55" s="47">
        <v>13200000</v>
      </c>
      <c r="I55" s="69">
        <f t="shared" si="15"/>
        <v>0.33423362874943979</v>
      </c>
      <c r="J55" s="24"/>
      <c r="K55" s="24"/>
      <c r="L55" s="32">
        <v>1056000</v>
      </c>
      <c r="M55" s="68">
        <f t="shared" si="16"/>
        <v>0.08</v>
      </c>
      <c r="N55" s="32">
        <v>950399.99999999988</v>
      </c>
      <c r="O55" s="68">
        <f t="shared" si="17"/>
        <v>7.1999999999999995E-2</v>
      </c>
      <c r="P55" s="32">
        <v>1003200</v>
      </c>
      <c r="Q55" s="68">
        <f t="shared" si="18"/>
        <v>7.5999999999999998E-2</v>
      </c>
      <c r="R55" s="32">
        <v>10190400</v>
      </c>
      <c r="S55" s="68">
        <f t="shared" si="19"/>
        <v>0.77200000000000002</v>
      </c>
    </row>
    <row r="56" spans="2:19" s="2" customFormat="1" ht="27.75" customHeight="1" x14ac:dyDescent="0.3">
      <c r="B56" s="39">
        <v>11</v>
      </c>
      <c r="C56" s="40" t="s">
        <v>98</v>
      </c>
      <c r="D56" s="56" t="s">
        <v>39</v>
      </c>
      <c r="E56" s="47">
        <v>14600000</v>
      </c>
      <c r="F56" s="47">
        <v>8500000</v>
      </c>
      <c r="G56" s="69">
        <f t="shared" si="14"/>
        <v>0.5821917808219178</v>
      </c>
      <c r="H56" s="47">
        <v>8500000</v>
      </c>
      <c r="I56" s="69">
        <f t="shared" si="15"/>
        <v>0.5821917808219178</v>
      </c>
      <c r="J56" s="24"/>
      <c r="K56" s="24"/>
      <c r="L56" s="32">
        <v>680000</v>
      </c>
      <c r="M56" s="68">
        <f t="shared" si="16"/>
        <v>0.08</v>
      </c>
      <c r="N56" s="32">
        <v>612000</v>
      </c>
      <c r="O56" s="68">
        <f t="shared" si="17"/>
        <v>7.1999999999999995E-2</v>
      </c>
      <c r="P56" s="32">
        <v>646000</v>
      </c>
      <c r="Q56" s="68">
        <f t="shared" si="18"/>
        <v>7.5999999999999998E-2</v>
      </c>
      <c r="R56" s="32">
        <v>6562000</v>
      </c>
      <c r="S56" s="68">
        <f t="shared" si="19"/>
        <v>0.77200000000000002</v>
      </c>
    </row>
    <row r="57" spans="2:19" ht="27.75" customHeight="1" x14ac:dyDescent="0.3">
      <c r="B57" s="17">
        <v>11</v>
      </c>
      <c r="C57" s="4" t="s">
        <v>98</v>
      </c>
      <c r="D57" s="5" t="s">
        <v>22</v>
      </c>
      <c r="E57" s="35">
        <f>+E58</f>
        <v>21903334</v>
      </c>
      <c r="F57" s="35">
        <f t="shared" ref="F57:R57" si="25">+F58</f>
        <v>2100000</v>
      </c>
      <c r="G57" s="71">
        <f t="shared" si="14"/>
        <v>9.5875815069979761E-2</v>
      </c>
      <c r="H57" s="35">
        <f t="shared" si="25"/>
        <v>2100000</v>
      </c>
      <c r="I57" s="71">
        <f t="shared" si="15"/>
        <v>9.5875815069979761E-2</v>
      </c>
      <c r="J57" s="23"/>
      <c r="K57" s="23"/>
      <c r="L57" s="35">
        <f t="shared" si="25"/>
        <v>168000</v>
      </c>
      <c r="M57" s="71">
        <f t="shared" si="16"/>
        <v>0.08</v>
      </c>
      <c r="N57" s="35">
        <f t="shared" si="25"/>
        <v>151200</v>
      </c>
      <c r="O57" s="71">
        <f t="shared" si="17"/>
        <v>7.1999999999999995E-2</v>
      </c>
      <c r="P57" s="35">
        <f t="shared" si="25"/>
        <v>159600</v>
      </c>
      <c r="Q57" s="71">
        <f t="shared" si="18"/>
        <v>7.5999999999999998E-2</v>
      </c>
      <c r="R57" s="35">
        <f t="shared" si="25"/>
        <v>1621200</v>
      </c>
      <c r="S57" s="71">
        <f t="shared" si="19"/>
        <v>0.77200000000000002</v>
      </c>
    </row>
    <row r="58" spans="2:19" s="2" customFormat="1" ht="27.75" customHeight="1" x14ac:dyDescent="0.3">
      <c r="B58" s="39">
        <v>11</v>
      </c>
      <c r="C58" s="40" t="s">
        <v>98</v>
      </c>
      <c r="D58" s="56" t="s">
        <v>20</v>
      </c>
      <c r="E58" s="47">
        <v>21903334</v>
      </c>
      <c r="F58" s="47">
        <v>2100000</v>
      </c>
      <c r="G58" s="69">
        <f t="shared" si="14"/>
        <v>9.5875815069979761E-2</v>
      </c>
      <c r="H58" s="47">
        <v>2100000</v>
      </c>
      <c r="I58" s="69">
        <f t="shared" si="15"/>
        <v>9.5875815069979761E-2</v>
      </c>
      <c r="J58" s="24"/>
      <c r="K58" s="24"/>
      <c r="L58" s="32">
        <v>168000</v>
      </c>
      <c r="M58" s="68">
        <f t="shared" si="16"/>
        <v>0.08</v>
      </c>
      <c r="N58" s="32">
        <v>151200</v>
      </c>
      <c r="O58" s="68">
        <f t="shared" si="17"/>
        <v>7.1999999999999995E-2</v>
      </c>
      <c r="P58" s="32">
        <v>159600</v>
      </c>
      <c r="Q58" s="68">
        <f t="shared" si="18"/>
        <v>7.5999999999999998E-2</v>
      </c>
      <c r="R58" s="32">
        <v>1621200</v>
      </c>
      <c r="S58" s="68">
        <f t="shared" si="19"/>
        <v>0.77200000000000002</v>
      </c>
    </row>
    <row r="59" spans="2:19" ht="27.75" customHeight="1" x14ac:dyDescent="0.3">
      <c r="B59" s="17">
        <v>11</v>
      </c>
      <c r="C59" s="4" t="s">
        <v>98</v>
      </c>
      <c r="D59" s="5" t="s">
        <v>23</v>
      </c>
      <c r="E59" s="35">
        <f>E60+E61</f>
        <v>188226663</v>
      </c>
      <c r="F59" s="35">
        <f t="shared" ref="F59:H59" si="26">F60+F61</f>
        <v>66650000</v>
      </c>
      <c r="G59" s="71">
        <f t="shared" si="14"/>
        <v>0.35409436122235244</v>
      </c>
      <c r="H59" s="35">
        <f t="shared" si="26"/>
        <v>66650000</v>
      </c>
      <c r="I59" s="71">
        <f t="shared" si="15"/>
        <v>0.35409436122235244</v>
      </c>
      <c r="J59" s="23"/>
      <c r="K59" s="23"/>
      <c r="L59" s="35">
        <f t="shared" ref="L59:R59" si="27">L60+L61</f>
        <v>5332000</v>
      </c>
      <c r="M59" s="71">
        <f t="shared" si="16"/>
        <v>0.08</v>
      </c>
      <c r="N59" s="35">
        <f t="shared" si="27"/>
        <v>4798800</v>
      </c>
      <c r="O59" s="71">
        <f t="shared" si="17"/>
        <v>7.1999999999999995E-2</v>
      </c>
      <c r="P59" s="35">
        <f t="shared" si="27"/>
        <v>5065400</v>
      </c>
      <c r="Q59" s="71">
        <f t="shared" si="18"/>
        <v>7.5999999999999998E-2</v>
      </c>
      <c r="R59" s="35">
        <f t="shared" si="27"/>
        <v>51453800</v>
      </c>
      <c r="S59" s="71">
        <f t="shared" si="19"/>
        <v>0.77200000000000002</v>
      </c>
    </row>
    <row r="60" spans="2:19" s="2" customFormat="1" ht="27.75" customHeight="1" x14ac:dyDescent="0.3">
      <c r="B60" s="39">
        <v>11</v>
      </c>
      <c r="C60" s="40" t="s">
        <v>98</v>
      </c>
      <c r="D60" s="56" t="s">
        <v>20</v>
      </c>
      <c r="E60" s="32">
        <v>164669997</v>
      </c>
      <c r="F60" s="32">
        <v>57050000</v>
      </c>
      <c r="G60" s="68">
        <f t="shared" si="14"/>
        <v>0.34645048302272091</v>
      </c>
      <c r="H60" s="32">
        <v>57050000</v>
      </c>
      <c r="I60" s="68">
        <f t="shared" si="15"/>
        <v>0.34645048302272091</v>
      </c>
      <c r="J60" s="24"/>
      <c r="K60" s="24"/>
      <c r="L60" s="32">
        <v>4564000</v>
      </c>
      <c r="M60" s="68">
        <f t="shared" si="16"/>
        <v>0.08</v>
      </c>
      <c r="N60" s="32">
        <v>4107599.9999999995</v>
      </c>
      <c r="O60" s="68">
        <f t="shared" si="17"/>
        <v>7.1999999999999995E-2</v>
      </c>
      <c r="P60" s="32">
        <v>4335800</v>
      </c>
      <c r="Q60" s="68">
        <f t="shared" si="18"/>
        <v>7.5999999999999998E-2</v>
      </c>
      <c r="R60" s="32">
        <v>44042600</v>
      </c>
      <c r="S60" s="68">
        <f t="shared" si="19"/>
        <v>0.77200000000000002</v>
      </c>
    </row>
    <row r="61" spans="2:19" s="2" customFormat="1" ht="27.75" customHeight="1" x14ac:dyDescent="0.3">
      <c r="B61" s="39">
        <v>11</v>
      </c>
      <c r="C61" s="40" t="s">
        <v>98</v>
      </c>
      <c r="D61" s="56" t="s">
        <v>39</v>
      </c>
      <c r="E61" s="47">
        <v>23556666</v>
      </c>
      <c r="F61" s="47">
        <v>9600000</v>
      </c>
      <c r="G61" s="69">
        <f t="shared" si="14"/>
        <v>0.40752795832822863</v>
      </c>
      <c r="H61" s="47">
        <v>9600000</v>
      </c>
      <c r="I61" s="69">
        <f t="shared" si="15"/>
        <v>0.40752795832822863</v>
      </c>
      <c r="J61" s="24"/>
      <c r="K61" s="24"/>
      <c r="L61" s="32">
        <v>768000</v>
      </c>
      <c r="M61" s="68">
        <f t="shared" si="16"/>
        <v>0.08</v>
      </c>
      <c r="N61" s="32">
        <v>691200</v>
      </c>
      <c r="O61" s="68">
        <f t="shared" si="17"/>
        <v>7.1999999999999995E-2</v>
      </c>
      <c r="P61" s="32">
        <v>729600</v>
      </c>
      <c r="Q61" s="68">
        <f t="shared" si="18"/>
        <v>7.5999999999999998E-2</v>
      </c>
      <c r="R61" s="32">
        <v>7411200</v>
      </c>
      <c r="S61" s="68">
        <f t="shared" si="19"/>
        <v>0.77200000000000002</v>
      </c>
    </row>
    <row r="62" spans="2:19" ht="38.25" customHeight="1" x14ac:dyDescent="0.3">
      <c r="B62" s="17">
        <v>1</v>
      </c>
      <c r="C62" s="4" t="s">
        <v>93</v>
      </c>
      <c r="D62" s="5" t="s">
        <v>60</v>
      </c>
      <c r="E62" s="35">
        <f>E63+E64</f>
        <v>85929332</v>
      </c>
      <c r="F62" s="35">
        <f t="shared" ref="F62:H62" si="28">F63+F64</f>
        <v>28100000</v>
      </c>
      <c r="G62" s="71">
        <f t="shared" si="14"/>
        <v>0.32701289939039674</v>
      </c>
      <c r="H62" s="35">
        <f t="shared" si="28"/>
        <v>28100000</v>
      </c>
      <c r="I62" s="71">
        <f t="shared" si="15"/>
        <v>0.32701289939039674</v>
      </c>
      <c r="J62" s="23"/>
      <c r="K62" s="23"/>
      <c r="L62" s="35">
        <f t="shared" ref="L62:R62" si="29">L63+L64</f>
        <v>2248000</v>
      </c>
      <c r="M62" s="71">
        <f t="shared" si="16"/>
        <v>0.08</v>
      </c>
      <c r="N62" s="35">
        <f t="shared" si="29"/>
        <v>2023199.9999999998</v>
      </c>
      <c r="O62" s="71">
        <f t="shared" si="17"/>
        <v>7.1999999999999995E-2</v>
      </c>
      <c r="P62" s="35">
        <f t="shared" si="29"/>
        <v>2135600</v>
      </c>
      <c r="Q62" s="71">
        <f t="shared" si="18"/>
        <v>7.5999999999999998E-2</v>
      </c>
      <c r="R62" s="35">
        <f t="shared" si="29"/>
        <v>21693200</v>
      </c>
      <c r="S62" s="71">
        <f t="shared" si="19"/>
        <v>0.77200000000000002</v>
      </c>
    </row>
    <row r="63" spans="2:19" ht="27.75" customHeight="1" x14ac:dyDescent="0.3">
      <c r="B63" s="8">
        <v>1</v>
      </c>
      <c r="C63" s="9" t="s">
        <v>93</v>
      </c>
      <c r="D63" s="14" t="s">
        <v>20</v>
      </c>
      <c r="E63" s="26">
        <v>70519332</v>
      </c>
      <c r="F63" s="26">
        <v>22800000</v>
      </c>
      <c r="G63" s="67">
        <f t="shared" si="14"/>
        <v>0.32331559805472915</v>
      </c>
      <c r="H63" s="26">
        <v>22800000</v>
      </c>
      <c r="I63" s="67">
        <f t="shared" si="15"/>
        <v>0.32331559805472915</v>
      </c>
      <c r="J63" s="24"/>
      <c r="K63" s="24"/>
      <c r="L63" s="36">
        <v>1824000</v>
      </c>
      <c r="M63" s="78">
        <f t="shared" si="16"/>
        <v>0.08</v>
      </c>
      <c r="N63" s="36">
        <v>1641599.9999999998</v>
      </c>
      <c r="O63" s="78">
        <f t="shared" si="17"/>
        <v>7.1999999999999995E-2</v>
      </c>
      <c r="P63" s="36">
        <v>1732800</v>
      </c>
      <c r="Q63" s="78">
        <f t="shared" si="18"/>
        <v>7.5999999999999998E-2</v>
      </c>
      <c r="R63" s="36">
        <v>17601600</v>
      </c>
      <c r="S63" s="78">
        <f t="shared" si="19"/>
        <v>0.77200000000000002</v>
      </c>
    </row>
    <row r="64" spans="2:19" s="2" customFormat="1" ht="27.75" customHeight="1" x14ac:dyDescent="0.3">
      <c r="B64" s="39">
        <v>1</v>
      </c>
      <c r="C64" s="40" t="s">
        <v>93</v>
      </c>
      <c r="D64" s="56" t="s">
        <v>39</v>
      </c>
      <c r="E64" s="47">
        <v>15410000</v>
      </c>
      <c r="F64" s="47">
        <v>5300000</v>
      </c>
      <c r="G64" s="69">
        <f t="shared" si="14"/>
        <v>0.34393251135626218</v>
      </c>
      <c r="H64" s="47">
        <v>5300000</v>
      </c>
      <c r="I64" s="69">
        <f t="shared" si="15"/>
        <v>0.34393251135626218</v>
      </c>
      <c r="J64" s="24"/>
      <c r="K64" s="24"/>
      <c r="L64" s="32">
        <v>424000</v>
      </c>
      <c r="M64" s="68">
        <f t="shared" si="16"/>
        <v>0.08</v>
      </c>
      <c r="N64" s="32">
        <v>381600</v>
      </c>
      <c r="O64" s="68">
        <f t="shared" si="17"/>
        <v>7.1999999999999995E-2</v>
      </c>
      <c r="P64" s="32">
        <v>402800</v>
      </c>
      <c r="Q64" s="68">
        <f t="shared" si="18"/>
        <v>7.5999999999999998E-2</v>
      </c>
      <c r="R64" s="32">
        <v>4091600</v>
      </c>
      <c r="S64" s="68">
        <f t="shared" si="19"/>
        <v>0.77200000000000002</v>
      </c>
    </row>
    <row r="65" spans="2:19" ht="27.75" customHeight="1" x14ac:dyDescent="0.3">
      <c r="B65" s="17">
        <v>1</v>
      </c>
      <c r="C65" s="4" t="s">
        <v>93</v>
      </c>
      <c r="D65" s="5" t="s">
        <v>61</v>
      </c>
      <c r="E65" s="35">
        <f>+E66</f>
        <v>385920706</v>
      </c>
      <c r="F65" s="35">
        <f>+F66</f>
        <v>46350000</v>
      </c>
      <c r="G65" s="71">
        <f t="shared" si="14"/>
        <v>0.12010239222561953</v>
      </c>
      <c r="H65" s="35">
        <f>+H66</f>
        <v>46350000</v>
      </c>
      <c r="I65" s="71">
        <f t="shared" si="15"/>
        <v>0.12010239222561953</v>
      </c>
      <c r="J65" s="23"/>
      <c r="K65" s="23"/>
      <c r="L65" s="35">
        <f>+L66</f>
        <v>3708000</v>
      </c>
      <c r="M65" s="71">
        <f t="shared" si="16"/>
        <v>0.08</v>
      </c>
      <c r="N65" s="35">
        <f>+N66</f>
        <v>3337199.9999999995</v>
      </c>
      <c r="O65" s="71">
        <f t="shared" si="17"/>
        <v>7.1999999999999995E-2</v>
      </c>
      <c r="P65" s="35">
        <f>+P66</f>
        <v>3522600</v>
      </c>
      <c r="Q65" s="71">
        <f t="shared" si="18"/>
        <v>7.5999999999999998E-2</v>
      </c>
      <c r="R65" s="35">
        <f>+R66</f>
        <v>35782200</v>
      </c>
      <c r="S65" s="71">
        <f t="shared" si="19"/>
        <v>0.77200000000000002</v>
      </c>
    </row>
    <row r="66" spans="2:19" ht="27.75" customHeight="1" x14ac:dyDescent="0.3">
      <c r="B66" s="8">
        <v>1</v>
      </c>
      <c r="C66" s="9" t="s">
        <v>93</v>
      </c>
      <c r="D66" s="14" t="s">
        <v>20</v>
      </c>
      <c r="E66" s="18">
        <v>385920706</v>
      </c>
      <c r="F66" s="18">
        <v>46350000</v>
      </c>
      <c r="G66" s="66">
        <f t="shared" si="14"/>
        <v>0.12010239222561953</v>
      </c>
      <c r="H66" s="18">
        <v>46350000</v>
      </c>
      <c r="I66" s="66">
        <f t="shared" si="15"/>
        <v>0.12010239222561953</v>
      </c>
      <c r="J66" s="24"/>
      <c r="K66" s="24"/>
      <c r="L66" s="36">
        <v>3708000</v>
      </c>
      <c r="M66" s="78">
        <f t="shared" si="16"/>
        <v>0.08</v>
      </c>
      <c r="N66" s="36">
        <v>3337199.9999999995</v>
      </c>
      <c r="O66" s="78">
        <f t="shared" si="17"/>
        <v>7.1999999999999995E-2</v>
      </c>
      <c r="P66" s="36">
        <v>3522600</v>
      </c>
      <c r="Q66" s="78">
        <f t="shared" si="18"/>
        <v>7.5999999999999998E-2</v>
      </c>
      <c r="R66" s="36">
        <v>35782200</v>
      </c>
      <c r="S66" s="78">
        <f t="shared" si="19"/>
        <v>0.77200000000000002</v>
      </c>
    </row>
    <row r="67" spans="2:19" ht="63" customHeight="1" x14ac:dyDescent="0.3">
      <c r="B67" s="17">
        <v>1</v>
      </c>
      <c r="C67" s="5" t="s">
        <v>93</v>
      </c>
      <c r="D67" s="5" t="s">
        <v>62</v>
      </c>
      <c r="E67" s="35">
        <f>E68+E69</f>
        <v>2075063901</v>
      </c>
      <c r="F67" s="35">
        <f>F68+F69</f>
        <v>0</v>
      </c>
      <c r="G67" s="71">
        <f t="shared" si="14"/>
        <v>0</v>
      </c>
      <c r="H67" s="35">
        <f>H68+H69</f>
        <v>0</v>
      </c>
      <c r="I67" s="71">
        <f t="shared" si="15"/>
        <v>0</v>
      </c>
      <c r="J67" s="23"/>
      <c r="K67" s="23"/>
      <c r="L67" s="35">
        <f>L68+L69</f>
        <v>0</v>
      </c>
      <c r="M67" s="71"/>
      <c r="N67" s="35">
        <f>N68+N69</f>
        <v>0</v>
      </c>
      <c r="O67" s="71"/>
      <c r="P67" s="35"/>
      <c r="Q67" s="71"/>
      <c r="R67" s="35">
        <f>R68+R69</f>
        <v>0</v>
      </c>
      <c r="S67" s="71"/>
    </row>
    <row r="68" spans="2:19" ht="27.75" customHeight="1" x14ac:dyDescent="0.3">
      <c r="B68" s="8">
        <v>1</v>
      </c>
      <c r="C68" s="9" t="s">
        <v>93</v>
      </c>
      <c r="D68" s="14" t="s">
        <v>24</v>
      </c>
      <c r="E68" s="47">
        <v>1918938890</v>
      </c>
      <c r="F68" s="47">
        <v>0</v>
      </c>
      <c r="G68" s="69">
        <f t="shared" si="14"/>
        <v>0</v>
      </c>
      <c r="H68" s="26">
        <v>0</v>
      </c>
      <c r="I68" s="67">
        <f t="shared" si="15"/>
        <v>0</v>
      </c>
      <c r="J68" s="24"/>
      <c r="K68" s="24"/>
      <c r="L68" s="18"/>
      <c r="M68" s="66"/>
      <c r="N68" s="18"/>
      <c r="O68" s="66"/>
      <c r="P68" s="18"/>
      <c r="Q68" s="66"/>
      <c r="R68" s="18"/>
      <c r="S68" s="66"/>
    </row>
    <row r="69" spans="2:19" s="2" customFormat="1" ht="27.75" customHeight="1" x14ac:dyDescent="0.3">
      <c r="B69" s="39">
        <v>1</v>
      </c>
      <c r="C69" s="40" t="s">
        <v>93</v>
      </c>
      <c r="D69" s="56" t="s">
        <v>41</v>
      </c>
      <c r="E69" s="47">
        <v>156125011</v>
      </c>
      <c r="F69" s="47">
        <v>0</v>
      </c>
      <c r="G69" s="69">
        <f t="shared" si="14"/>
        <v>0</v>
      </c>
      <c r="H69" s="47">
        <v>0</v>
      </c>
      <c r="I69" s="69">
        <f t="shared" si="15"/>
        <v>0</v>
      </c>
      <c r="J69" s="24"/>
      <c r="K69" s="24"/>
      <c r="L69" s="32"/>
      <c r="M69" s="68"/>
      <c r="N69" s="32"/>
      <c r="O69" s="68"/>
      <c r="P69" s="32"/>
      <c r="Q69" s="68"/>
      <c r="R69" s="32"/>
      <c r="S69" s="68"/>
    </row>
    <row r="70" spans="2:19" ht="27.75" customHeight="1" x14ac:dyDescent="0.3">
      <c r="B70" s="17">
        <v>1</v>
      </c>
      <c r="C70" s="4" t="s">
        <v>93</v>
      </c>
      <c r="D70" s="5" t="s">
        <v>63</v>
      </c>
      <c r="E70" s="35">
        <f>+E71</f>
        <v>14826666</v>
      </c>
      <c r="F70" s="35">
        <f t="shared" ref="F70:R70" si="30">+F71</f>
        <v>3200000</v>
      </c>
      <c r="G70" s="71">
        <f t="shared" si="14"/>
        <v>0.21582734783396348</v>
      </c>
      <c r="H70" s="35">
        <f t="shared" si="30"/>
        <v>3200000</v>
      </c>
      <c r="I70" s="71">
        <f t="shared" si="15"/>
        <v>0.21582734783396348</v>
      </c>
      <c r="J70" s="23">
        <f t="shared" si="30"/>
        <v>0</v>
      </c>
      <c r="K70" s="23"/>
      <c r="L70" s="35">
        <f t="shared" si="30"/>
        <v>256000</v>
      </c>
      <c r="M70" s="71">
        <f t="shared" si="16"/>
        <v>0.08</v>
      </c>
      <c r="N70" s="35">
        <f t="shared" si="30"/>
        <v>230399.99999999997</v>
      </c>
      <c r="O70" s="71">
        <f t="shared" si="17"/>
        <v>7.1999999999999995E-2</v>
      </c>
      <c r="P70" s="35">
        <f t="shared" si="30"/>
        <v>243200</v>
      </c>
      <c r="Q70" s="71">
        <f t="shared" si="18"/>
        <v>7.5999999999999998E-2</v>
      </c>
      <c r="R70" s="35">
        <f t="shared" si="30"/>
        <v>2470400</v>
      </c>
      <c r="S70" s="71">
        <f t="shared" si="19"/>
        <v>0.77200000000000002</v>
      </c>
    </row>
    <row r="71" spans="2:19" ht="27.75" customHeight="1" x14ac:dyDescent="0.3">
      <c r="B71" s="8">
        <v>1</v>
      </c>
      <c r="C71" s="9" t="s">
        <v>93</v>
      </c>
      <c r="D71" s="14" t="s">
        <v>20</v>
      </c>
      <c r="E71" s="26">
        <v>14826666</v>
      </c>
      <c r="F71" s="26">
        <v>3200000</v>
      </c>
      <c r="G71" s="67">
        <f t="shared" si="14"/>
        <v>0.21582734783396348</v>
      </c>
      <c r="H71" s="26">
        <v>3200000</v>
      </c>
      <c r="I71" s="67">
        <f t="shared" si="15"/>
        <v>0.21582734783396348</v>
      </c>
      <c r="J71" s="24"/>
      <c r="K71" s="24"/>
      <c r="L71" s="36">
        <v>256000</v>
      </c>
      <c r="M71" s="78">
        <f t="shared" si="16"/>
        <v>0.08</v>
      </c>
      <c r="N71" s="36">
        <v>230399.99999999997</v>
      </c>
      <c r="O71" s="78">
        <f t="shared" si="17"/>
        <v>7.1999999999999995E-2</v>
      </c>
      <c r="P71" s="36">
        <v>243200</v>
      </c>
      <c r="Q71" s="78">
        <f t="shared" si="18"/>
        <v>7.5999999999999998E-2</v>
      </c>
      <c r="R71" s="36">
        <v>2470400</v>
      </c>
      <c r="S71" s="78">
        <f t="shared" si="19"/>
        <v>0.77200000000000002</v>
      </c>
    </row>
    <row r="72" spans="2:19" ht="27.75" customHeight="1" x14ac:dyDescent="0.3">
      <c r="B72" s="17">
        <v>1</v>
      </c>
      <c r="C72" s="4" t="s">
        <v>93</v>
      </c>
      <c r="D72" s="5" t="s">
        <v>64</v>
      </c>
      <c r="E72" s="35">
        <f>+E73</f>
        <v>8533333</v>
      </c>
      <c r="F72" s="35">
        <f t="shared" ref="F72:R72" si="31">+F73</f>
        <v>0</v>
      </c>
      <c r="G72" s="71">
        <f t="shared" si="14"/>
        <v>0</v>
      </c>
      <c r="H72" s="35">
        <f t="shared" si="31"/>
        <v>0</v>
      </c>
      <c r="I72" s="71">
        <f t="shared" si="15"/>
        <v>0</v>
      </c>
      <c r="J72" s="23"/>
      <c r="K72" s="23"/>
      <c r="L72" s="35">
        <f t="shared" si="31"/>
        <v>0</v>
      </c>
      <c r="M72" s="71"/>
      <c r="N72" s="35">
        <f t="shared" si="31"/>
        <v>0</v>
      </c>
      <c r="O72" s="71"/>
      <c r="P72" s="35">
        <f t="shared" si="31"/>
        <v>0</v>
      </c>
      <c r="Q72" s="71"/>
      <c r="R72" s="35">
        <f t="shared" si="31"/>
        <v>0</v>
      </c>
      <c r="S72" s="71"/>
    </row>
    <row r="73" spans="2:19" ht="27.75" customHeight="1" x14ac:dyDescent="0.3">
      <c r="B73" s="8">
        <v>1</v>
      </c>
      <c r="C73" s="9" t="s">
        <v>93</v>
      </c>
      <c r="D73" s="14" t="s">
        <v>20</v>
      </c>
      <c r="E73" s="26">
        <v>8533333</v>
      </c>
      <c r="F73" s="26">
        <v>0</v>
      </c>
      <c r="G73" s="67">
        <f t="shared" si="14"/>
        <v>0</v>
      </c>
      <c r="H73" s="26">
        <v>0</v>
      </c>
      <c r="I73" s="67">
        <f t="shared" si="15"/>
        <v>0</v>
      </c>
      <c r="J73" s="24"/>
      <c r="K73" s="24"/>
      <c r="L73" s="18">
        <v>0</v>
      </c>
      <c r="M73" s="66"/>
      <c r="N73" s="18">
        <v>0</v>
      </c>
      <c r="O73" s="66"/>
      <c r="P73" s="18">
        <v>0</v>
      </c>
      <c r="Q73" s="66"/>
      <c r="R73" s="18">
        <v>0</v>
      </c>
      <c r="S73" s="66"/>
    </row>
    <row r="74" spans="2:19" ht="27.75" customHeight="1" x14ac:dyDescent="0.3">
      <c r="B74" s="17">
        <v>1</v>
      </c>
      <c r="C74" s="4" t="s">
        <v>93</v>
      </c>
      <c r="D74" s="5" t="s">
        <v>25</v>
      </c>
      <c r="E74" s="35">
        <f>+E75</f>
        <v>41441266</v>
      </c>
      <c r="F74" s="35">
        <f t="shared" ref="F74:R74" si="32">+F75</f>
        <v>14186000</v>
      </c>
      <c r="G74" s="71">
        <f t="shared" si="14"/>
        <v>0.34231579701257198</v>
      </c>
      <c r="H74" s="35">
        <f t="shared" si="32"/>
        <v>14186000</v>
      </c>
      <c r="I74" s="71">
        <f t="shared" si="15"/>
        <v>0.34231579701257198</v>
      </c>
      <c r="J74" s="23">
        <f t="shared" si="32"/>
        <v>0</v>
      </c>
      <c r="K74" s="23"/>
      <c r="L74" s="35">
        <f t="shared" si="32"/>
        <v>1134880</v>
      </c>
      <c r="M74" s="71">
        <f t="shared" si="16"/>
        <v>0.08</v>
      </c>
      <c r="N74" s="35">
        <f t="shared" si="32"/>
        <v>1021391.9999999999</v>
      </c>
      <c r="O74" s="71">
        <f t="shared" si="17"/>
        <v>7.1999999999999995E-2</v>
      </c>
      <c r="P74" s="35">
        <f t="shared" si="32"/>
        <v>1078136</v>
      </c>
      <c r="Q74" s="71">
        <f t="shared" si="18"/>
        <v>7.5999999999999998E-2</v>
      </c>
      <c r="R74" s="35">
        <f t="shared" si="32"/>
        <v>10951592</v>
      </c>
      <c r="S74" s="71">
        <f t="shared" si="19"/>
        <v>0.77200000000000002</v>
      </c>
    </row>
    <row r="75" spans="2:19" ht="27.75" customHeight="1" x14ac:dyDescent="0.3">
      <c r="B75" s="8">
        <v>1</v>
      </c>
      <c r="C75" s="9" t="s">
        <v>93</v>
      </c>
      <c r="D75" s="14" t="s">
        <v>20</v>
      </c>
      <c r="E75" s="26">
        <v>41441266</v>
      </c>
      <c r="F75" s="26">
        <v>14186000</v>
      </c>
      <c r="G75" s="67">
        <f t="shared" si="14"/>
        <v>0.34231579701257198</v>
      </c>
      <c r="H75" s="26">
        <v>14186000</v>
      </c>
      <c r="I75" s="67">
        <f t="shared" si="15"/>
        <v>0.34231579701257198</v>
      </c>
      <c r="J75" s="24"/>
      <c r="K75" s="24"/>
      <c r="L75" s="36">
        <v>1134880</v>
      </c>
      <c r="M75" s="78">
        <f t="shared" si="16"/>
        <v>0.08</v>
      </c>
      <c r="N75" s="36">
        <v>1021391.9999999999</v>
      </c>
      <c r="O75" s="78">
        <f t="shared" si="17"/>
        <v>7.1999999999999995E-2</v>
      </c>
      <c r="P75" s="36">
        <v>1078136</v>
      </c>
      <c r="Q75" s="78">
        <f t="shared" si="18"/>
        <v>7.5999999999999998E-2</v>
      </c>
      <c r="R75" s="36">
        <v>10951592</v>
      </c>
      <c r="S75" s="78">
        <f t="shared" si="19"/>
        <v>0.77200000000000002</v>
      </c>
    </row>
    <row r="76" spans="2:19" ht="33" customHeight="1" x14ac:dyDescent="0.3">
      <c r="B76" s="17">
        <v>1</v>
      </c>
      <c r="C76" s="4" t="s">
        <v>93</v>
      </c>
      <c r="D76" s="5" t="s">
        <v>65</v>
      </c>
      <c r="E76" s="35">
        <f>+E77</f>
        <v>8533333</v>
      </c>
      <c r="F76" s="35">
        <f t="shared" ref="F76:R76" si="33">+F77</f>
        <v>3200000</v>
      </c>
      <c r="G76" s="71">
        <f t="shared" si="14"/>
        <v>0.37500001464843807</v>
      </c>
      <c r="H76" s="35">
        <f t="shared" si="33"/>
        <v>3200000</v>
      </c>
      <c r="I76" s="71">
        <f t="shared" si="15"/>
        <v>0.37500001464843807</v>
      </c>
      <c r="J76" s="23"/>
      <c r="K76" s="23"/>
      <c r="L76" s="35">
        <f t="shared" si="33"/>
        <v>256000</v>
      </c>
      <c r="M76" s="71">
        <f t="shared" si="16"/>
        <v>0.08</v>
      </c>
      <c r="N76" s="35">
        <f t="shared" si="33"/>
        <v>230399.99999999997</v>
      </c>
      <c r="O76" s="71">
        <f t="shared" si="17"/>
        <v>7.1999999999999995E-2</v>
      </c>
      <c r="P76" s="35">
        <f t="shared" si="33"/>
        <v>243200</v>
      </c>
      <c r="Q76" s="71">
        <f t="shared" si="18"/>
        <v>7.5999999999999998E-2</v>
      </c>
      <c r="R76" s="35">
        <f t="shared" si="33"/>
        <v>2470400</v>
      </c>
      <c r="S76" s="71">
        <f t="shared" si="19"/>
        <v>0.77200000000000002</v>
      </c>
    </row>
    <row r="77" spans="2:19" ht="27.75" customHeight="1" x14ac:dyDescent="0.3">
      <c r="B77" s="8">
        <v>1</v>
      </c>
      <c r="C77" s="9" t="s">
        <v>93</v>
      </c>
      <c r="D77" s="14" t="s">
        <v>20</v>
      </c>
      <c r="E77" s="26">
        <v>8533333</v>
      </c>
      <c r="F77" s="26">
        <v>3200000</v>
      </c>
      <c r="G77" s="67">
        <f t="shared" si="14"/>
        <v>0.37500001464843807</v>
      </c>
      <c r="H77" s="26">
        <v>3200000</v>
      </c>
      <c r="I77" s="67">
        <f t="shared" si="15"/>
        <v>0.37500001464843807</v>
      </c>
      <c r="J77" s="24"/>
      <c r="K77" s="24"/>
      <c r="L77" s="36">
        <v>256000</v>
      </c>
      <c r="M77" s="78">
        <f t="shared" si="16"/>
        <v>0.08</v>
      </c>
      <c r="N77" s="36">
        <v>230399.99999999997</v>
      </c>
      <c r="O77" s="78">
        <f t="shared" si="17"/>
        <v>7.1999999999999995E-2</v>
      </c>
      <c r="P77" s="36">
        <v>243200</v>
      </c>
      <c r="Q77" s="78">
        <f t="shared" si="18"/>
        <v>7.5999999999999998E-2</v>
      </c>
      <c r="R77" s="36">
        <v>2470400</v>
      </c>
      <c r="S77" s="78">
        <f t="shared" si="19"/>
        <v>0.77200000000000002</v>
      </c>
    </row>
    <row r="78" spans="2:19" ht="30.75" customHeight="1" x14ac:dyDescent="0.3">
      <c r="B78" s="17">
        <v>1</v>
      </c>
      <c r="C78" s="4" t="s">
        <v>93</v>
      </c>
      <c r="D78" s="5" t="s">
        <v>66</v>
      </c>
      <c r="E78" s="35">
        <f>+E79</f>
        <v>21193334</v>
      </c>
      <c r="F78" s="35">
        <f>+F79</f>
        <v>10200000</v>
      </c>
      <c r="G78" s="71">
        <f t="shared" ref="G78:G120" si="34">+F78/E78</f>
        <v>0.48128340732043384</v>
      </c>
      <c r="H78" s="35">
        <f>+H79</f>
        <v>10200000</v>
      </c>
      <c r="I78" s="71">
        <f t="shared" ref="I78:I120" si="35">+H78/E78</f>
        <v>0.48128340732043384</v>
      </c>
      <c r="J78" s="23"/>
      <c r="K78" s="23"/>
      <c r="L78" s="35">
        <f>+L79</f>
        <v>816000</v>
      </c>
      <c r="M78" s="71">
        <f t="shared" ref="M78:M114" si="36">+L78/F78</f>
        <v>0.08</v>
      </c>
      <c r="N78" s="35">
        <f>+N79</f>
        <v>734400</v>
      </c>
      <c r="O78" s="71">
        <f t="shared" ref="O78:O114" si="37">+N78/F78</f>
        <v>7.1999999999999995E-2</v>
      </c>
      <c r="P78" s="35">
        <f>+P79</f>
        <v>775200</v>
      </c>
      <c r="Q78" s="71">
        <f t="shared" ref="Q78:Q114" si="38">+P78/F78</f>
        <v>7.5999999999999998E-2</v>
      </c>
      <c r="R78" s="35">
        <f>+R79</f>
        <v>7874400</v>
      </c>
      <c r="S78" s="71">
        <f t="shared" ref="S78:S114" si="39">+R78/F78</f>
        <v>0.77200000000000002</v>
      </c>
    </row>
    <row r="79" spans="2:19" ht="27.75" customHeight="1" x14ac:dyDescent="0.3">
      <c r="B79" s="8">
        <v>1</v>
      </c>
      <c r="C79" s="9" t="s">
        <v>93</v>
      </c>
      <c r="D79" s="14" t="s">
        <v>20</v>
      </c>
      <c r="E79" s="26">
        <v>21193334</v>
      </c>
      <c r="F79" s="26">
        <v>10200000</v>
      </c>
      <c r="G79" s="67">
        <f t="shared" si="34"/>
        <v>0.48128340732043384</v>
      </c>
      <c r="H79" s="26">
        <v>10200000</v>
      </c>
      <c r="I79" s="67">
        <f t="shared" si="35"/>
        <v>0.48128340732043384</v>
      </c>
      <c r="J79" s="24"/>
      <c r="K79" s="24"/>
      <c r="L79" s="36">
        <v>816000</v>
      </c>
      <c r="M79" s="78">
        <f t="shared" si="36"/>
        <v>0.08</v>
      </c>
      <c r="N79" s="36">
        <v>734400</v>
      </c>
      <c r="O79" s="78">
        <f t="shared" si="37"/>
        <v>7.1999999999999995E-2</v>
      </c>
      <c r="P79" s="36">
        <v>775200</v>
      </c>
      <c r="Q79" s="78">
        <f t="shared" si="38"/>
        <v>7.5999999999999998E-2</v>
      </c>
      <c r="R79" s="36">
        <v>7874400</v>
      </c>
      <c r="S79" s="78">
        <f t="shared" si="39"/>
        <v>0.77200000000000002</v>
      </c>
    </row>
    <row r="80" spans="2:19" ht="43.2" x14ac:dyDescent="0.3">
      <c r="B80" s="17">
        <v>8</v>
      </c>
      <c r="C80" s="4" t="s">
        <v>94</v>
      </c>
      <c r="D80" s="5" t="s">
        <v>67</v>
      </c>
      <c r="E80" s="35">
        <f>+E81+E82</f>
        <v>135179997</v>
      </c>
      <c r="F80" s="35">
        <f>+F81+F82</f>
        <v>48150000</v>
      </c>
      <c r="G80" s="71">
        <f t="shared" si="34"/>
        <v>0.35619175224571131</v>
      </c>
      <c r="H80" s="35">
        <f>+H81+H82</f>
        <v>48150000</v>
      </c>
      <c r="I80" s="71">
        <f t="shared" si="35"/>
        <v>0.35619175224571131</v>
      </c>
      <c r="J80" s="23"/>
      <c r="K80" s="23"/>
      <c r="L80" s="35">
        <f>+L81+L82</f>
        <v>1695163.1032376299</v>
      </c>
      <c r="M80" s="71">
        <f t="shared" si="36"/>
        <v>3.5205879610334993E-2</v>
      </c>
      <c r="N80" s="35">
        <f>+N81+N82</f>
        <v>12576871.594379963</v>
      </c>
      <c r="O80" s="71">
        <f t="shared" si="37"/>
        <v>0.26120190227165035</v>
      </c>
      <c r="P80" s="35">
        <f>+P81+P82</f>
        <v>13219584.85033598</v>
      </c>
      <c r="Q80" s="71">
        <f t="shared" si="38"/>
        <v>0.27455004881279294</v>
      </c>
      <c r="R80" s="35">
        <f>+R81+R82</f>
        <v>20658380.452046424</v>
      </c>
      <c r="S80" s="71">
        <f t="shared" si="39"/>
        <v>0.42904216930522171</v>
      </c>
    </row>
    <row r="81" spans="2:19" ht="28.8" x14ac:dyDescent="0.3">
      <c r="B81" s="8">
        <v>8</v>
      </c>
      <c r="C81" s="9" t="s">
        <v>94</v>
      </c>
      <c r="D81" s="14" t="s">
        <v>7</v>
      </c>
      <c r="E81" s="47">
        <v>47900000</v>
      </c>
      <c r="F81" s="26">
        <v>28950000</v>
      </c>
      <c r="G81" s="67">
        <f t="shared" si="34"/>
        <v>0.60438413361169108</v>
      </c>
      <c r="H81" s="26">
        <v>28950000</v>
      </c>
      <c r="I81" s="67">
        <f t="shared" si="35"/>
        <v>0.60438413361169108</v>
      </c>
      <c r="J81" s="24"/>
      <c r="K81" s="24"/>
      <c r="L81" s="32">
        <f>SUM(9*F81)/1637</f>
        <v>159163.10323762981</v>
      </c>
      <c r="M81" s="68">
        <f t="shared" si="36"/>
        <v>5.4978619425778861E-3</v>
      </c>
      <c r="N81" s="32">
        <f>SUM(633*F81)/1637</f>
        <v>11194471.594379963</v>
      </c>
      <c r="O81" s="68">
        <f t="shared" si="37"/>
        <v>0.38668295662797803</v>
      </c>
      <c r="P81" s="32">
        <f>SUM(665*F81)/1637</f>
        <v>11760384.85033598</v>
      </c>
      <c r="Q81" s="68">
        <f t="shared" si="38"/>
        <v>0.40623091020158825</v>
      </c>
      <c r="R81" s="32">
        <f>SUM(330*F81)/1637</f>
        <v>5835980.452046426</v>
      </c>
      <c r="S81" s="68">
        <f t="shared" si="39"/>
        <v>0.20158827122785583</v>
      </c>
    </row>
    <row r="82" spans="2:19" ht="28.8" x14ac:dyDescent="0.3">
      <c r="B82" s="8">
        <v>8</v>
      </c>
      <c r="C82" s="9" t="s">
        <v>94</v>
      </c>
      <c r="D82" s="14" t="s">
        <v>20</v>
      </c>
      <c r="E82" s="26">
        <v>87279997</v>
      </c>
      <c r="F82" s="26">
        <v>19200000</v>
      </c>
      <c r="G82" s="67">
        <f t="shared" si="34"/>
        <v>0.21998167575555713</v>
      </c>
      <c r="H82" s="26">
        <v>19200000</v>
      </c>
      <c r="I82" s="67">
        <f t="shared" si="35"/>
        <v>0.21998167575555713</v>
      </c>
      <c r="J82" s="24"/>
      <c r="K82" s="24"/>
      <c r="L82" s="36">
        <v>1536000</v>
      </c>
      <c r="M82" s="78">
        <f t="shared" si="36"/>
        <v>0.08</v>
      </c>
      <c r="N82" s="36">
        <v>1382400</v>
      </c>
      <c r="O82" s="78">
        <f t="shared" si="37"/>
        <v>7.1999999999999995E-2</v>
      </c>
      <c r="P82" s="36">
        <v>1459200</v>
      </c>
      <c r="Q82" s="78">
        <f t="shared" si="38"/>
        <v>7.5999999999999998E-2</v>
      </c>
      <c r="R82" s="36">
        <v>14822400</v>
      </c>
      <c r="S82" s="78">
        <f t="shared" si="39"/>
        <v>0.77200000000000002</v>
      </c>
    </row>
    <row r="83" spans="2:19" ht="27.75" customHeight="1" x14ac:dyDescent="0.3">
      <c r="B83" s="17">
        <v>1</v>
      </c>
      <c r="C83" s="4" t="s">
        <v>93</v>
      </c>
      <c r="D83" s="5" t="s">
        <v>68</v>
      </c>
      <c r="E83" s="35">
        <f>+E84+E85</f>
        <v>49503000</v>
      </c>
      <c r="F83" s="35">
        <f>+F84+F85</f>
        <v>13700000</v>
      </c>
      <c r="G83" s="71">
        <f t="shared" si="34"/>
        <v>0.27675090398561702</v>
      </c>
      <c r="H83" s="35">
        <f>+H84+H85</f>
        <v>13700000</v>
      </c>
      <c r="I83" s="71">
        <f t="shared" si="35"/>
        <v>0.27675090398561702</v>
      </c>
      <c r="J83" s="23"/>
      <c r="K83" s="23"/>
      <c r="L83" s="35">
        <f>+L84+L85</f>
        <v>713192.54658385098</v>
      </c>
      <c r="M83" s="71">
        <f t="shared" si="36"/>
        <v>5.2057850115609559E-2</v>
      </c>
      <c r="N83" s="35">
        <f>+N84+N85</f>
        <v>3003562.7329192548</v>
      </c>
      <c r="O83" s="71">
        <f t="shared" si="37"/>
        <v>0.21923815568753685</v>
      </c>
      <c r="P83" s="35">
        <f>+P84+P85</f>
        <v>3047942.8571428573</v>
      </c>
      <c r="Q83" s="71">
        <f t="shared" si="38"/>
        <v>0.22247758081334726</v>
      </c>
      <c r="R83" s="35">
        <f>+R84+R85</f>
        <v>6935301.8633540375</v>
      </c>
      <c r="S83" s="71">
        <f t="shared" si="39"/>
        <v>0.50622641338350638</v>
      </c>
    </row>
    <row r="84" spans="2:19" ht="27.75" customHeight="1" x14ac:dyDescent="0.3">
      <c r="B84" s="8">
        <v>1</v>
      </c>
      <c r="C84" s="9" t="s">
        <v>93</v>
      </c>
      <c r="D84" s="14" t="s">
        <v>7</v>
      </c>
      <c r="E84" s="26">
        <v>26200000</v>
      </c>
      <c r="F84" s="26">
        <v>5400000</v>
      </c>
      <c r="G84" s="67">
        <f t="shared" si="34"/>
        <v>0.20610687022900764</v>
      </c>
      <c r="H84" s="26">
        <v>5400000</v>
      </c>
      <c r="I84" s="67">
        <f t="shared" si="35"/>
        <v>0.20610687022900764</v>
      </c>
      <c r="J84" s="24"/>
      <c r="K84" s="24"/>
      <c r="L84" s="32">
        <f>SUM(22*F84)/2415</f>
        <v>49192.546583850934</v>
      </c>
      <c r="M84" s="68">
        <f t="shared" si="36"/>
        <v>9.1097308488612833E-3</v>
      </c>
      <c r="N84" s="32">
        <f>SUM(1076*F84)/2415</f>
        <v>2405962.7329192548</v>
      </c>
      <c r="O84" s="68">
        <f t="shared" si="37"/>
        <v>0.44554865424430645</v>
      </c>
      <c r="P84" s="32">
        <f>SUM(1081*F84)/2415</f>
        <v>2417142.8571428573</v>
      </c>
      <c r="Q84" s="68">
        <f t="shared" si="38"/>
        <v>0.44761904761904764</v>
      </c>
      <c r="R84" s="32">
        <f>SUM(236*F84)/2415</f>
        <v>527701.86335403728</v>
      </c>
      <c r="S84" s="68">
        <f t="shared" si="39"/>
        <v>9.7722567287784681E-2</v>
      </c>
    </row>
    <row r="85" spans="2:19" ht="27.75" customHeight="1" x14ac:dyDescent="0.3">
      <c r="B85" s="8">
        <v>1</v>
      </c>
      <c r="C85" s="9" t="s">
        <v>93</v>
      </c>
      <c r="D85" s="56" t="s">
        <v>20</v>
      </c>
      <c r="E85" s="47">
        <v>23303000</v>
      </c>
      <c r="F85" s="47">
        <v>8300000</v>
      </c>
      <c r="G85" s="69">
        <f t="shared" si="34"/>
        <v>0.35617731622537868</v>
      </c>
      <c r="H85" s="47">
        <v>8300000</v>
      </c>
      <c r="I85" s="69">
        <f t="shared" si="35"/>
        <v>0.35617731622537868</v>
      </c>
      <c r="J85" s="24"/>
      <c r="K85" s="24"/>
      <c r="L85" s="36">
        <v>664000</v>
      </c>
      <c r="M85" s="78">
        <f t="shared" si="36"/>
        <v>0.08</v>
      </c>
      <c r="N85" s="36">
        <v>597600</v>
      </c>
      <c r="O85" s="78">
        <f t="shared" si="37"/>
        <v>7.1999999999999995E-2</v>
      </c>
      <c r="P85" s="36">
        <v>630800</v>
      </c>
      <c r="Q85" s="78">
        <f t="shared" si="38"/>
        <v>7.5999999999999998E-2</v>
      </c>
      <c r="R85" s="36">
        <v>6407600</v>
      </c>
      <c r="S85" s="78">
        <f t="shared" si="39"/>
        <v>0.77200000000000002</v>
      </c>
    </row>
    <row r="86" spans="2:19" ht="27.75" customHeight="1" x14ac:dyDescent="0.3">
      <c r="B86" s="17">
        <v>1</v>
      </c>
      <c r="C86" s="4" t="s">
        <v>93</v>
      </c>
      <c r="D86" s="5" t="s">
        <v>69</v>
      </c>
      <c r="E86" s="35">
        <f>E87+E88+E89</f>
        <v>86028332</v>
      </c>
      <c r="F86" s="35">
        <f t="shared" ref="F86:H86" si="40">F87+F88+F89</f>
        <v>33900000</v>
      </c>
      <c r="G86" s="71">
        <f t="shared" si="34"/>
        <v>0.3940562278947824</v>
      </c>
      <c r="H86" s="35">
        <f t="shared" si="40"/>
        <v>33900000</v>
      </c>
      <c r="I86" s="71">
        <f t="shared" si="35"/>
        <v>0.3940562278947824</v>
      </c>
      <c r="J86" s="23"/>
      <c r="K86" s="23"/>
      <c r="L86" s="35">
        <f t="shared" ref="L86" si="41">L87+L88+L89</f>
        <v>2712000</v>
      </c>
      <c r="M86" s="71">
        <f t="shared" si="36"/>
        <v>0.08</v>
      </c>
      <c r="N86" s="35">
        <f t="shared" ref="N86" si="42">N87+N88+N89</f>
        <v>2440800</v>
      </c>
      <c r="O86" s="71">
        <f t="shared" si="37"/>
        <v>7.1999999999999995E-2</v>
      </c>
      <c r="P86" s="35">
        <f t="shared" ref="P86" si="43">P87+P88+P89</f>
        <v>2576400</v>
      </c>
      <c r="Q86" s="71">
        <f t="shared" si="38"/>
        <v>7.5999999999999998E-2</v>
      </c>
      <c r="R86" s="35">
        <f t="shared" ref="R86" si="44">R87+R88+R89</f>
        <v>26170800</v>
      </c>
      <c r="S86" s="71">
        <f t="shared" si="39"/>
        <v>0.77200000000000002</v>
      </c>
    </row>
    <row r="87" spans="2:19" ht="27.75" customHeight="1" x14ac:dyDescent="0.3">
      <c r="B87" s="8">
        <v>1</v>
      </c>
      <c r="C87" s="9" t="s">
        <v>93</v>
      </c>
      <c r="D87" s="14" t="s">
        <v>20</v>
      </c>
      <c r="E87" s="26">
        <v>29200000</v>
      </c>
      <c r="F87" s="26">
        <v>18100000</v>
      </c>
      <c r="G87" s="67">
        <f t="shared" si="34"/>
        <v>0.61986301369863017</v>
      </c>
      <c r="H87" s="26">
        <v>18100000</v>
      </c>
      <c r="I87" s="67">
        <f t="shared" si="35"/>
        <v>0.61986301369863017</v>
      </c>
      <c r="J87" s="24"/>
      <c r="K87" s="24"/>
      <c r="L87" s="36">
        <v>1448000</v>
      </c>
      <c r="M87" s="78">
        <f t="shared" si="36"/>
        <v>0.08</v>
      </c>
      <c r="N87" s="36">
        <v>1303200</v>
      </c>
      <c r="O87" s="78">
        <f t="shared" si="37"/>
        <v>7.1999999999999995E-2</v>
      </c>
      <c r="P87" s="36">
        <v>1375600</v>
      </c>
      <c r="Q87" s="78">
        <f t="shared" si="38"/>
        <v>7.5999999999999998E-2</v>
      </c>
      <c r="R87" s="36">
        <v>13973200</v>
      </c>
      <c r="S87" s="78">
        <f t="shared" si="39"/>
        <v>0.77200000000000002</v>
      </c>
    </row>
    <row r="88" spans="2:19" s="2" customFormat="1" ht="27.75" customHeight="1" x14ac:dyDescent="0.3">
      <c r="B88" s="39">
        <v>1</v>
      </c>
      <c r="C88" s="40" t="s">
        <v>93</v>
      </c>
      <c r="D88" s="56" t="s">
        <v>39</v>
      </c>
      <c r="E88" s="47">
        <v>23950000</v>
      </c>
      <c r="F88" s="47">
        <v>5200000</v>
      </c>
      <c r="G88" s="69">
        <f t="shared" si="34"/>
        <v>0.21711899791231734</v>
      </c>
      <c r="H88" s="47">
        <v>5200000</v>
      </c>
      <c r="I88" s="69">
        <f t="shared" si="35"/>
        <v>0.21711899791231734</v>
      </c>
      <c r="J88" s="24"/>
      <c r="K88" s="24"/>
      <c r="L88" s="32">
        <v>416000</v>
      </c>
      <c r="M88" s="68">
        <f t="shared" si="36"/>
        <v>0.08</v>
      </c>
      <c r="N88" s="32">
        <v>374400</v>
      </c>
      <c r="O88" s="68">
        <f t="shared" si="37"/>
        <v>7.1999999999999995E-2</v>
      </c>
      <c r="P88" s="32">
        <v>395200</v>
      </c>
      <c r="Q88" s="68">
        <f t="shared" si="38"/>
        <v>7.5999999999999998E-2</v>
      </c>
      <c r="R88" s="32">
        <v>4014400</v>
      </c>
      <c r="S88" s="68">
        <f t="shared" si="39"/>
        <v>0.77200000000000002</v>
      </c>
    </row>
    <row r="89" spans="2:19" s="2" customFormat="1" ht="27.75" customHeight="1" x14ac:dyDescent="0.3">
      <c r="B89" s="39">
        <v>1</v>
      </c>
      <c r="C89" s="40" t="s">
        <v>93</v>
      </c>
      <c r="D89" s="56" t="s">
        <v>52</v>
      </c>
      <c r="E89" s="47">
        <v>32878332</v>
      </c>
      <c r="F89" s="47">
        <v>10600000</v>
      </c>
      <c r="G89" s="69">
        <f t="shared" si="34"/>
        <v>0.32240078359206298</v>
      </c>
      <c r="H89" s="47">
        <v>10600000</v>
      </c>
      <c r="I89" s="69">
        <f t="shared" si="35"/>
        <v>0.32240078359206298</v>
      </c>
      <c r="J89" s="24"/>
      <c r="K89" s="24"/>
      <c r="L89" s="32">
        <v>848000</v>
      </c>
      <c r="M89" s="68">
        <f t="shared" si="36"/>
        <v>0.08</v>
      </c>
      <c r="N89" s="32">
        <v>763200</v>
      </c>
      <c r="O89" s="68">
        <f t="shared" si="37"/>
        <v>7.1999999999999995E-2</v>
      </c>
      <c r="P89" s="32">
        <v>805600</v>
      </c>
      <c r="Q89" s="68">
        <f t="shared" si="38"/>
        <v>7.5999999999999998E-2</v>
      </c>
      <c r="R89" s="32">
        <v>8183200</v>
      </c>
      <c r="S89" s="68">
        <f t="shared" si="39"/>
        <v>0.77200000000000002</v>
      </c>
    </row>
    <row r="90" spans="2:19" ht="72" x14ac:dyDescent="0.3">
      <c r="B90" s="17">
        <v>7</v>
      </c>
      <c r="C90" s="4" t="s">
        <v>99</v>
      </c>
      <c r="D90" s="5" t="s">
        <v>70</v>
      </c>
      <c r="E90" s="35">
        <f>+E91</f>
        <v>52386666</v>
      </c>
      <c r="F90" s="35">
        <f>+F91</f>
        <v>13200000</v>
      </c>
      <c r="G90" s="71">
        <f t="shared" si="34"/>
        <v>0.25197251529616332</v>
      </c>
      <c r="H90" s="35">
        <f>+H91</f>
        <v>13200000</v>
      </c>
      <c r="I90" s="71">
        <f t="shared" si="35"/>
        <v>0.25197251529616332</v>
      </c>
      <c r="J90" s="23"/>
      <c r="K90" s="23"/>
      <c r="L90" s="35">
        <f>+L91</f>
        <v>1056000</v>
      </c>
      <c r="M90" s="71">
        <f t="shared" si="36"/>
        <v>0.08</v>
      </c>
      <c r="N90" s="35">
        <f>+N91</f>
        <v>950399.99999999988</v>
      </c>
      <c r="O90" s="71">
        <f t="shared" si="37"/>
        <v>7.1999999999999995E-2</v>
      </c>
      <c r="P90" s="35">
        <f>+P91</f>
        <v>1003200</v>
      </c>
      <c r="Q90" s="71">
        <f t="shared" si="38"/>
        <v>7.5999999999999998E-2</v>
      </c>
      <c r="R90" s="35">
        <f>+R91</f>
        <v>10190400</v>
      </c>
      <c r="S90" s="71">
        <f t="shared" si="39"/>
        <v>0.77200000000000002</v>
      </c>
    </row>
    <row r="91" spans="2:19" ht="72" x14ac:dyDescent="0.3">
      <c r="B91" s="10">
        <v>7</v>
      </c>
      <c r="C91" s="11" t="s">
        <v>99</v>
      </c>
      <c r="D91" s="14" t="s">
        <v>20</v>
      </c>
      <c r="E91" s="26">
        <v>52386666</v>
      </c>
      <c r="F91" s="26">
        <v>13200000</v>
      </c>
      <c r="G91" s="67">
        <f t="shared" si="34"/>
        <v>0.25197251529616332</v>
      </c>
      <c r="H91" s="26">
        <v>13200000</v>
      </c>
      <c r="I91" s="67">
        <f t="shared" si="35"/>
        <v>0.25197251529616332</v>
      </c>
      <c r="J91" s="24"/>
      <c r="K91" s="24"/>
      <c r="L91" s="36">
        <v>1056000</v>
      </c>
      <c r="M91" s="78">
        <f t="shared" si="36"/>
        <v>0.08</v>
      </c>
      <c r="N91" s="36">
        <v>950399.99999999988</v>
      </c>
      <c r="O91" s="78">
        <f t="shared" si="37"/>
        <v>7.1999999999999995E-2</v>
      </c>
      <c r="P91" s="36">
        <v>1003200</v>
      </c>
      <c r="Q91" s="78">
        <f t="shared" si="38"/>
        <v>7.5999999999999998E-2</v>
      </c>
      <c r="R91" s="36">
        <v>10190400</v>
      </c>
      <c r="S91" s="78">
        <f t="shared" si="39"/>
        <v>0.77200000000000002</v>
      </c>
    </row>
    <row r="92" spans="2:19" ht="27.75" customHeight="1" x14ac:dyDescent="0.3">
      <c r="B92" s="17">
        <v>1</v>
      </c>
      <c r="C92" s="4" t="s">
        <v>93</v>
      </c>
      <c r="D92" s="5" t="s">
        <v>71</v>
      </c>
      <c r="E92" s="35">
        <f>+E93</f>
        <v>34386666</v>
      </c>
      <c r="F92" s="35">
        <f t="shared" ref="F92:R92" si="45">+F93</f>
        <v>12050000</v>
      </c>
      <c r="G92" s="71">
        <f t="shared" si="34"/>
        <v>0.35042652870156121</v>
      </c>
      <c r="H92" s="35">
        <f t="shared" si="45"/>
        <v>12050000</v>
      </c>
      <c r="I92" s="71">
        <f t="shared" si="35"/>
        <v>0.35042652870156121</v>
      </c>
      <c r="J92" s="23"/>
      <c r="K92" s="23"/>
      <c r="L92" s="35">
        <f t="shared" si="45"/>
        <v>964000</v>
      </c>
      <c r="M92" s="71">
        <f t="shared" si="36"/>
        <v>0.08</v>
      </c>
      <c r="N92" s="35">
        <f t="shared" si="45"/>
        <v>867599.99999999988</v>
      </c>
      <c r="O92" s="71">
        <f t="shared" si="37"/>
        <v>7.1999999999999995E-2</v>
      </c>
      <c r="P92" s="35">
        <f t="shared" si="45"/>
        <v>915800</v>
      </c>
      <c r="Q92" s="71">
        <f t="shared" si="38"/>
        <v>7.5999999999999998E-2</v>
      </c>
      <c r="R92" s="35">
        <f t="shared" si="45"/>
        <v>9302600</v>
      </c>
      <c r="S92" s="71">
        <f t="shared" si="39"/>
        <v>0.77200000000000002</v>
      </c>
    </row>
    <row r="93" spans="2:19" ht="27.75" customHeight="1" x14ac:dyDescent="0.3">
      <c r="B93" s="8">
        <v>1</v>
      </c>
      <c r="C93" s="9" t="s">
        <v>93</v>
      </c>
      <c r="D93" s="14" t="s">
        <v>20</v>
      </c>
      <c r="E93" s="26">
        <v>34386666</v>
      </c>
      <c r="F93" s="26">
        <v>12050000</v>
      </c>
      <c r="G93" s="67">
        <f t="shared" si="34"/>
        <v>0.35042652870156121</v>
      </c>
      <c r="H93" s="26">
        <v>12050000</v>
      </c>
      <c r="I93" s="67">
        <f t="shared" si="35"/>
        <v>0.35042652870156121</v>
      </c>
      <c r="J93" s="24"/>
      <c r="K93" s="24"/>
      <c r="L93" s="36">
        <v>964000</v>
      </c>
      <c r="M93" s="78">
        <f t="shared" si="36"/>
        <v>0.08</v>
      </c>
      <c r="N93" s="36">
        <v>867599.99999999988</v>
      </c>
      <c r="O93" s="78">
        <f t="shared" si="37"/>
        <v>7.1999999999999995E-2</v>
      </c>
      <c r="P93" s="36">
        <v>915800</v>
      </c>
      <c r="Q93" s="78">
        <f t="shared" si="38"/>
        <v>7.5999999999999998E-2</v>
      </c>
      <c r="R93" s="36">
        <v>9302600</v>
      </c>
      <c r="S93" s="78">
        <f t="shared" si="39"/>
        <v>0.77200000000000002</v>
      </c>
    </row>
    <row r="94" spans="2:19" ht="39.75" customHeight="1" x14ac:dyDescent="0.3">
      <c r="B94" s="17">
        <v>1</v>
      </c>
      <c r="C94" s="4" t="s">
        <v>93</v>
      </c>
      <c r="D94" s="5" t="s">
        <v>72</v>
      </c>
      <c r="E94" s="35">
        <f>SUM(E95:E96)</f>
        <v>145032173</v>
      </c>
      <c r="F94" s="35">
        <f>SUM(F95:F96)</f>
        <v>109902174</v>
      </c>
      <c r="G94" s="71">
        <f t="shared" si="34"/>
        <v>0.75777788973761018</v>
      </c>
      <c r="H94" s="35">
        <f>SUM(H95:H96)</f>
        <v>109902174</v>
      </c>
      <c r="I94" s="71">
        <f t="shared" si="35"/>
        <v>0.75777788973761018</v>
      </c>
      <c r="J94" s="23"/>
      <c r="K94" s="23"/>
      <c r="L94" s="35">
        <f>SUM(L95:L96)</f>
        <v>8792173.9199999999</v>
      </c>
      <c r="M94" s="71">
        <f t="shared" si="36"/>
        <v>0.08</v>
      </c>
      <c r="N94" s="35">
        <f>SUM(N95:N96)</f>
        <v>7912956.527999999</v>
      </c>
      <c r="O94" s="71">
        <f t="shared" si="37"/>
        <v>7.1999999999999995E-2</v>
      </c>
      <c r="P94" s="35">
        <f>SUM(P95:P96)</f>
        <v>8352565.2239999995</v>
      </c>
      <c r="Q94" s="71">
        <f t="shared" si="38"/>
        <v>7.5999999999999998E-2</v>
      </c>
      <c r="R94" s="35">
        <f>SUM(R95:R96)</f>
        <v>84844478.328000009</v>
      </c>
      <c r="S94" s="71">
        <f t="shared" si="39"/>
        <v>0.77200000000000013</v>
      </c>
    </row>
    <row r="95" spans="2:19" ht="27.75" customHeight="1" x14ac:dyDescent="0.3">
      <c r="B95" s="8">
        <v>1</v>
      </c>
      <c r="C95" s="9" t="s">
        <v>93</v>
      </c>
      <c r="D95" s="14" t="s">
        <v>7</v>
      </c>
      <c r="E95" s="18">
        <v>125522173</v>
      </c>
      <c r="F95" s="18">
        <v>107802174</v>
      </c>
      <c r="G95" s="66">
        <f t="shared" si="34"/>
        <v>0.85882973042539668</v>
      </c>
      <c r="H95" s="18">
        <v>107802174</v>
      </c>
      <c r="I95" s="66">
        <f t="shared" si="35"/>
        <v>0.85882973042539668</v>
      </c>
      <c r="J95" s="24"/>
      <c r="K95" s="24"/>
      <c r="L95" s="36">
        <v>8624173.9199999999</v>
      </c>
      <c r="M95" s="78">
        <f t="shared" si="36"/>
        <v>0.08</v>
      </c>
      <c r="N95" s="36">
        <v>7761756.527999999</v>
      </c>
      <c r="O95" s="78">
        <f t="shared" si="37"/>
        <v>7.1999999999999995E-2</v>
      </c>
      <c r="P95" s="36">
        <v>8192965.2239999995</v>
      </c>
      <c r="Q95" s="78">
        <f t="shared" si="38"/>
        <v>7.5999999999999998E-2</v>
      </c>
      <c r="R95" s="36">
        <v>83223278.328000009</v>
      </c>
      <c r="S95" s="78">
        <f t="shared" si="39"/>
        <v>0.77200000000000013</v>
      </c>
    </row>
    <row r="96" spans="2:19" ht="27.75" customHeight="1" x14ac:dyDescent="0.3">
      <c r="B96" s="8">
        <v>1</v>
      </c>
      <c r="C96" s="9" t="s">
        <v>93</v>
      </c>
      <c r="D96" s="14" t="s">
        <v>20</v>
      </c>
      <c r="E96" s="26">
        <v>19510000</v>
      </c>
      <c r="F96" s="26">
        <v>2100000</v>
      </c>
      <c r="G96" s="67">
        <f t="shared" si="34"/>
        <v>0.10763710917478217</v>
      </c>
      <c r="H96" s="26">
        <v>2100000</v>
      </c>
      <c r="I96" s="67">
        <f t="shared" si="35"/>
        <v>0.10763710917478217</v>
      </c>
      <c r="J96" s="24"/>
      <c r="K96" s="24"/>
      <c r="L96" s="36">
        <v>168000</v>
      </c>
      <c r="M96" s="78">
        <f t="shared" si="36"/>
        <v>0.08</v>
      </c>
      <c r="N96" s="36">
        <v>151200</v>
      </c>
      <c r="O96" s="78">
        <f t="shared" si="37"/>
        <v>7.1999999999999995E-2</v>
      </c>
      <c r="P96" s="36">
        <v>159600</v>
      </c>
      <c r="Q96" s="78">
        <f t="shared" si="38"/>
        <v>7.5999999999999998E-2</v>
      </c>
      <c r="R96" s="36">
        <v>1621200</v>
      </c>
      <c r="S96" s="78">
        <f t="shared" si="39"/>
        <v>0.77200000000000002</v>
      </c>
    </row>
    <row r="97" spans="2:19" ht="27.75" customHeight="1" x14ac:dyDescent="0.3">
      <c r="B97" s="17">
        <v>1</v>
      </c>
      <c r="C97" s="4" t="s">
        <v>93</v>
      </c>
      <c r="D97" s="5" t="s">
        <v>73</v>
      </c>
      <c r="E97" s="35">
        <f>+E98</f>
        <v>20000000</v>
      </c>
      <c r="F97" s="35">
        <f t="shared" ref="F97:R97" si="46">+F98</f>
        <v>8500000</v>
      </c>
      <c r="G97" s="71">
        <f t="shared" si="34"/>
        <v>0.42499999999999999</v>
      </c>
      <c r="H97" s="35">
        <f t="shared" si="46"/>
        <v>8500000</v>
      </c>
      <c r="I97" s="71">
        <f t="shared" si="35"/>
        <v>0.42499999999999999</v>
      </c>
      <c r="J97" s="23"/>
      <c r="K97" s="23"/>
      <c r="L97" s="35">
        <f t="shared" si="46"/>
        <v>680000</v>
      </c>
      <c r="M97" s="71">
        <f t="shared" si="36"/>
        <v>0.08</v>
      </c>
      <c r="N97" s="35">
        <f t="shared" si="46"/>
        <v>612000</v>
      </c>
      <c r="O97" s="71">
        <f t="shared" si="37"/>
        <v>7.1999999999999995E-2</v>
      </c>
      <c r="P97" s="35">
        <f t="shared" si="46"/>
        <v>646000</v>
      </c>
      <c r="Q97" s="71">
        <f t="shared" si="38"/>
        <v>7.5999999999999998E-2</v>
      </c>
      <c r="R97" s="35">
        <f t="shared" si="46"/>
        <v>6562000</v>
      </c>
      <c r="S97" s="71">
        <f t="shared" si="39"/>
        <v>0.77200000000000002</v>
      </c>
    </row>
    <row r="98" spans="2:19" ht="27.75" customHeight="1" x14ac:dyDescent="0.3">
      <c r="B98" s="8">
        <v>1</v>
      </c>
      <c r="C98" s="9" t="s">
        <v>93</v>
      </c>
      <c r="D98" s="14" t="s">
        <v>20</v>
      </c>
      <c r="E98" s="26">
        <v>20000000</v>
      </c>
      <c r="F98" s="26">
        <v>8500000</v>
      </c>
      <c r="G98" s="67">
        <f t="shared" si="34"/>
        <v>0.42499999999999999</v>
      </c>
      <c r="H98" s="26">
        <v>8500000</v>
      </c>
      <c r="I98" s="67">
        <f t="shared" si="35"/>
        <v>0.42499999999999999</v>
      </c>
      <c r="J98" s="24"/>
      <c r="K98" s="24"/>
      <c r="L98" s="36">
        <v>680000</v>
      </c>
      <c r="M98" s="78">
        <f t="shared" si="36"/>
        <v>0.08</v>
      </c>
      <c r="N98" s="36">
        <v>612000</v>
      </c>
      <c r="O98" s="78">
        <f t="shared" si="37"/>
        <v>7.1999999999999995E-2</v>
      </c>
      <c r="P98" s="36">
        <v>646000</v>
      </c>
      <c r="Q98" s="78">
        <f t="shared" si="38"/>
        <v>7.5999999999999998E-2</v>
      </c>
      <c r="R98" s="36">
        <v>6562000</v>
      </c>
      <c r="S98" s="78">
        <f t="shared" si="39"/>
        <v>0.77200000000000002</v>
      </c>
    </row>
    <row r="99" spans="2:19" ht="37.5" customHeight="1" x14ac:dyDescent="0.3">
      <c r="B99" s="17">
        <v>2</v>
      </c>
      <c r="C99" s="4" t="s">
        <v>91</v>
      </c>
      <c r="D99" s="5" t="s">
        <v>74</v>
      </c>
      <c r="E99" s="35">
        <f>+E100</f>
        <v>20519999</v>
      </c>
      <c r="F99" s="35">
        <f t="shared" ref="F99:R99" si="47">+F100</f>
        <v>2450000</v>
      </c>
      <c r="G99" s="71">
        <f t="shared" si="34"/>
        <v>0.1193957173194794</v>
      </c>
      <c r="H99" s="35">
        <f t="shared" si="47"/>
        <v>2450000</v>
      </c>
      <c r="I99" s="71">
        <f t="shared" si="35"/>
        <v>0.1193957173194794</v>
      </c>
      <c r="J99" s="23"/>
      <c r="K99" s="23"/>
      <c r="L99" s="35">
        <f t="shared" si="47"/>
        <v>196000</v>
      </c>
      <c r="M99" s="71">
        <f t="shared" si="36"/>
        <v>0.08</v>
      </c>
      <c r="N99" s="35">
        <f t="shared" si="47"/>
        <v>176400</v>
      </c>
      <c r="O99" s="71">
        <f t="shared" si="37"/>
        <v>7.1999999999999995E-2</v>
      </c>
      <c r="P99" s="35">
        <f t="shared" si="47"/>
        <v>186200</v>
      </c>
      <c r="Q99" s="71">
        <f t="shared" si="38"/>
        <v>7.5999999999999998E-2</v>
      </c>
      <c r="R99" s="35">
        <f t="shared" si="47"/>
        <v>1891400</v>
      </c>
      <c r="S99" s="71">
        <f t="shared" si="39"/>
        <v>0.77200000000000002</v>
      </c>
    </row>
    <row r="100" spans="2:19" ht="27.75" customHeight="1" x14ac:dyDescent="0.3">
      <c r="B100" s="8">
        <v>2</v>
      </c>
      <c r="C100" s="9" t="s">
        <v>91</v>
      </c>
      <c r="D100" s="14" t="s">
        <v>20</v>
      </c>
      <c r="E100" s="26">
        <v>20519999</v>
      </c>
      <c r="F100" s="26">
        <v>2450000</v>
      </c>
      <c r="G100" s="67">
        <f t="shared" si="34"/>
        <v>0.1193957173194794</v>
      </c>
      <c r="H100" s="26">
        <v>2450000</v>
      </c>
      <c r="I100" s="67">
        <f t="shared" si="35"/>
        <v>0.1193957173194794</v>
      </c>
      <c r="J100" s="24"/>
      <c r="K100" s="24"/>
      <c r="L100" s="36">
        <v>196000</v>
      </c>
      <c r="M100" s="78">
        <f t="shared" si="36"/>
        <v>0.08</v>
      </c>
      <c r="N100" s="36">
        <v>176400</v>
      </c>
      <c r="O100" s="78">
        <f t="shared" si="37"/>
        <v>7.1999999999999995E-2</v>
      </c>
      <c r="P100" s="36">
        <v>186200</v>
      </c>
      <c r="Q100" s="78">
        <f t="shared" si="38"/>
        <v>7.5999999999999998E-2</v>
      </c>
      <c r="R100" s="36">
        <v>1891400</v>
      </c>
      <c r="S100" s="78">
        <f t="shared" si="39"/>
        <v>0.77200000000000002</v>
      </c>
    </row>
    <row r="101" spans="2:19" ht="27.75" customHeight="1" x14ac:dyDescent="0.3">
      <c r="B101" s="17">
        <v>1</v>
      </c>
      <c r="C101" s="4" t="s">
        <v>93</v>
      </c>
      <c r="D101" s="5" t="s">
        <v>75</v>
      </c>
      <c r="E101" s="35">
        <f>+E102</f>
        <v>16533333</v>
      </c>
      <c r="F101" s="35">
        <f t="shared" ref="F101:R101" si="48">+F102</f>
        <v>6400000</v>
      </c>
      <c r="G101" s="71">
        <f t="shared" si="34"/>
        <v>0.38709678199791897</v>
      </c>
      <c r="H101" s="35">
        <f t="shared" si="48"/>
        <v>6400000</v>
      </c>
      <c r="I101" s="71">
        <f t="shared" si="35"/>
        <v>0.38709678199791897</v>
      </c>
      <c r="J101" s="23"/>
      <c r="K101" s="23"/>
      <c r="L101" s="35">
        <f t="shared" si="48"/>
        <v>512000</v>
      </c>
      <c r="M101" s="71">
        <f t="shared" si="36"/>
        <v>0.08</v>
      </c>
      <c r="N101" s="35">
        <f t="shared" si="48"/>
        <v>460799.99999999994</v>
      </c>
      <c r="O101" s="71">
        <f t="shared" si="37"/>
        <v>7.1999999999999995E-2</v>
      </c>
      <c r="P101" s="35">
        <f t="shared" si="48"/>
        <v>486400</v>
      </c>
      <c r="Q101" s="71">
        <f t="shared" si="38"/>
        <v>7.5999999999999998E-2</v>
      </c>
      <c r="R101" s="35">
        <f t="shared" si="48"/>
        <v>4940800</v>
      </c>
      <c r="S101" s="71">
        <f t="shared" si="39"/>
        <v>0.77200000000000002</v>
      </c>
    </row>
    <row r="102" spans="2:19" ht="27.75" customHeight="1" x14ac:dyDescent="0.3">
      <c r="B102" s="8">
        <v>1</v>
      </c>
      <c r="C102" s="9" t="s">
        <v>93</v>
      </c>
      <c r="D102" s="14" t="s">
        <v>20</v>
      </c>
      <c r="E102" s="26">
        <v>16533333</v>
      </c>
      <c r="F102" s="26">
        <v>6400000</v>
      </c>
      <c r="G102" s="67">
        <f t="shared" si="34"/>
        <v>0.38709678199791897</v>
      </c>
      <c r="H102" s="26">
        <v>6400000</v>
      </c>
      <c r="I102" s="67">
        <f t="shared" si="35"/>
        <v>0.38709678199791897</v>
      </c>
      <c r="J102" s="24"/>
      <c r="K102" s="24"/>
      <c r="L102" s="36">
        <v>512000</v>
      </c>
      <c r="M102" s="78">
        <f t="shared" si="36"/>
        <v>0.08</v>
      </c>
      <c r="N102" s="36">
        <v>460799.99999999994</v>
      </c>
      <c r="O102" s="78">
        <f t="shared" si="37"/>
        <v>7.1999999999999995E-2</v>
      </c>
      <c r="P102" s="36">
        <v>486400</v>
      </c>
      <c r="Q102" s="78">
        <f t="shared" si="38"/>
        <v>7.5999999999999998E-2</v>
      </c>
      <c r="R102" s="36">
        <v>4940800</v>
      </c>
      <c r="S102" s="78">
        <f t="shared" si="39"/>
        <v>0.77200000000000002</v>
      </c>
    </row>
    <row r="103" spans="2:19" ht="27.75" customHeight="1" x14ac:dyDescent="0.3">
      <c r="B103" s="17">
        <v>1</v>
      </c>
      <c r="C103" s="4" t="s">
        <v>93</v>
      </c>
      <c r="D103" s="5" t="s">
        <v>76</v>
      </c>
      <c r="E103" s="35">
        <f>E104+E105</f>
        <v>30793333</v>
      </c>
      <c r="F103" s="35">
        <f t="shared" ref="F103:H103" si="49">F104+F105</f>
        <v>14400000</v>
      </c>
      <c r="G103" s="71">
        <f t="shared" si="34"/>
        <v>0.4676336920072926</v>
      </c>
      <c r="H103" s="35">
        <f t="shared" si="49"/>
        <v>14400000</v>
      </c>
      <c r="I103" s="71">
        <f t="shared" si="35"/>
        <v>0.4676336920072926</v>
      </c>
      <c r="J103" s="23"/>
      <c r="K103" s="23"/>
      <c r="L103" s="35">
        <f>L104+L105</f>
        <v>1152000</v>
      </c>
      <c r="M103" s="71">
        <f t="shared" si="36"/>
        <v>0.08</v>
      </c>
      <c r="N103" s="35">
        <f t="shared" ref="N103:R103" si="50">N104+N105</f>
        <v>1036800</v>
      </c>
      <c r="O103" s="71">
        <f t="shared" si="37"/>
        <v>7.1999999999999995E-2</v>
      </c>
      <c r="P103" s="35">
        <f t="shared" si="50"/>
        <v>1094400</v>
      </c>
      <c r="Q103" s="71">
        <f t="shared" si="38"/>
        <v>7.5999999999999998E-2</v>
      </c>
      <c r="R103" s="35">
        <f t="shared" si="50"/>
        <v>11116800</v>
      </c>
      <c r="S103" s="71">
        <f t="shared" si="39"/>
        <v>0.77200000000000002</v>
      </c>
    </row>
    <row r="104" spans="2:19" ht="27.75" customHeight="1" x14ac:dyDescent="0.3">
      <c r="B104" s="8">
        <v>1</v>
      </c>
      <c r="C104" s="9" t="s">
        <v>93</v>
      </c>
      <c r="D104" s="14" t="s">
        <v>20</v>
      </c>
      <c r="E104" s="18">
        <v>15793333</v>
      </c>
      <c r="F104" s="18">
        <v>5300000</v>
      </c>
      <c r="G104" s="66">
        <f t="shared" si="34"/>
        <v>0.33558464194986581</v>
      </c>
      <c r="H104" s="18">
        <v>5300000</v>
      </c>
      <c r="I104" s="66">
        <f t="shared" si="35"/>
        <v>0.33558464194986581</v>
      </c>
      <c r="J104" s="24"/>
      <c r="K104" s="24"/>
      <c r="L104" s="36">
        <v>424000</v>
      </c>
      <c r="M104" s="78">
        <f t="shared" si="36"/>
        <v>0.08</v>
      </c>
      <c r="N104" s="36">
        <v>381600</v>
      </c>
      <c r="O104" s="78">
        <f t="shared" si="37"/>
        <v>7.1999999999999995E-2</v>
      </c>
      <c r="P104" s="36">
        <v>402800</v>
      </c>
      <c r="Q104" s="78">
        <f t="shared" si="38"/>
        <v>7.5999999999999998E-2</v>
      </c>
      <c r="R104" s="36">
        <v>4091600</v>
      </c>
      <c r="S104" s="78">
        <f t="shared" si="39"/>
        <v>0.77200000000000002</v>
      </c>
    </row>
    <row r="105" spans="2:19" s="2" customFormat="1" ht="27.75" customHeight="1" x14ac:dyDescent="0.3">
      <c r="B105" s="39">
        <v>1</v>
      </c>
      <c r="C105" s="40" t="s">
        <v>93</v>
      </c>
      <c r="D105" s="56" t="s">
        <v>39</v>
      </c>
      <c r="E105" s="32">
        <v>15000000</v>
      </c>
      <c r="F105" s="32">
        <v>9100000</v>
      </c>
      <c r="G105" s="68">
        <f t="shared" si="34"/>
        <v>0.60666666666666669</v>
      </c>
      <c r="H105" s="32">
        <v>9100000</v>
      </c>
      <c r="I105" s="68">
        <f t="shared" si="35"/>
        <v>0.60666666666666669</v>
      </c>
      <c r="J105" s="24"/>
      <c r="K105" s="24"/>
      <c r="L105" s="32">
        <v>728000</v>
      </c>
      <c r="M105" s="68">
        <f t="shared" si="36"/>
        <v>0.08</v>
      </c>
      <c r="N105" s="32">
        <v>655200</v>
      </c>
      <c r="O105" s="68">
        <f t="shared" si="37"/>
        <v>7.1999999999999995E-2</v>
      </c>
      <c r="P105" s="32">
        <v>691600</v>
      </c>
      <c r="Q105" s="68">
        <f t="shared" si="38"/>
        <v>7.5999999999999998E-2</v>
      </c>
      <c r="R105" s="32">
        <v>7025200</v>
      </c>
      <c r="S105" s="68">
        <f t="shared" si="39"/>
        <v>0.77200000000000002</v>
      </c>
    </row>
    <row r="106" spans="2:19" ht="38.25" customHeight="1" x14ac:dyDescent="0.3">
      <c r="B106" s="17">
        <v>1</v>
      </c>
      <c r="C106" s="4" t="s">
        <v>93</v>
      </c>
      <c r="D106" s="5" t="s">
        <v>77</v>
      </c>
      <c r="E106" s="35">
        <f>+E107</f>
        <v>142076663</v>
      </c>
      <c r="F106" s="35">
        <f t="shared" ref="F106:R106" si="51">+F107</f>
        <v>37650000</v>
      </c>
      <c r="G106" s="71">
        <f t="shared" si="34"/>
        <v>0.26499777799539115</v>
      </c>
      <c r="H106" s="35">
        <f t="shared" si="51"/>
        <v>37650000</v>
      </c>
      <c r="I106" s="71">
        <f t="shared" si="35"/>
        <v>0.26499777799539115</v>
      </c>
      <c r="J106" s="23"/>
      <c r="K106" s="23"/>
      <c r="L106" s="35">
        <f t="shared" si="51"/>
        <v>3012000</v>
      </c>
      <c r="M106" s="71">
        <f t="shared" si="36"/>
        <v>0.08</v>
      </c>
      <c r="N106" s="35">
        <f t="shared" si="51"/>
        <v>2710800</v>
      </c>
      <c r="O106" s="71">
        <f t="shared" si="37"/>
        <v>7.1999999999999995E-2</v>
      </c>
      <c r="P106" s="35">
        <f t="shared" si="51"/>
        <v>2861400</v>
      </c>
      <c r="Q106" s="71">
        <f t="shared" si="38"/>
        <v>7.5999999999999998E-2</v>
      </c>
      <c r="R106" s="35">
        <f t="shared" si="51"/>
        <v>29065800</v>
      </c>
      <c r="S106" s="71">
        <f t="shared" si="39"/>
        <v>0.77200000000000002</v>
      </c>
    </row>
    <row r="107" spans="2:19" ht="27.75" customHeight="1" x14ac:dyDescent="0.3">
      <c r="B107" s="8">
        <v>1</v>
      </c>
      <c r="C107" s="9" t="s">
        <v>93</v>
      </c>
      <c r="D107" s="14" t="s">
        <v>20</v>
      </c>
      <c r="E107" s="18">
        <v>142076663</v>
      </c>
      <c r="F107" s="18">
        <v>37650000</v>
      </c>
      <c r="G107" s="66">
        <f t="shared" si="34"/>
        <v>0.26499777799539115</v>
      </c>
      <c r="H107" s="18">
        <v>37650000</v>
      </c>
      <c r="I107" s="66">
        <f t="shared" si="35"/>
        <v>0.26499777799539115</v>
      </c>
      <c r="J107" s="24"/>
      <c r="K107" s="24"/>
      <c r="L107" s="36">
        <v>3012000</v>
      </c>
      <c r="M107" s="78">
        <f t="shared" si="36"/>
        <v>0.08</v>
      </c>
      <c r="N107" s="36">
        <v>2710800</v>
      </c>
      <c r="O107" s="78">
        <f t="shared" si="37"/>
        <v>7.1999999999999995E-2</v>
      </c>
      <c r="P107" s="36">
        <v>2861400</v>
      </c>
      <c r="Q107" s="78">
        <f t="shared" si="38"/>
        <v>7.5999999999999998E-2</v>
      </c>
      <c r="R107" s="36">
        <v>29065800</v>
      </c>
      <c r="S107" s="78">
        <f t="shared" si="39"/>
        <v>0.77200000000000002</v>
      </c>
    </row>
    <row r="108" spans="2:19" ht="32.25" customHeight="1" x14ac:dyDescent="0.3">
      <c r="B108" s="17">
        <v>1</v>
      </c>
      <c r="C108" s="4" t="s">
        <v>93</v>
      </c>
      <c r="D108" s="5" t="s">
        <v>78</v>
      </c>
      <c r="E108" s="35">
        <f>SUM(E109:E111)</f>
        <v>235912020</v>
      </c>
      <c r="F108" s="35">
        <f>SUM(F109:F111)</f>
        <v>58937629</v>
      </c>
      <c r="G108" s="71">
        <f t="shared" si="34"/>
        <v>0.24982885145063824</v>
      </c>
      <c r="H108" s="35">
        <f>SUM(H109:H111)</f>
        <v>58937629</v>
      </c>
      <c r="I108" s="71">
        <f t="shared" si="35"/>
        <v>0.24982885145063824</v>
      </c>
      <c r="J108" s="23"/>
      <c r="K108" s="23"/>
      <c r="L108" s="35">
        <f>SUM(L109:L111)</f>
        <v>4715010.32</v>
      </c>
      <c r="M108" s="71">
        <f t="shared" si="36"/>
        <v>0.08</v>
      </c>
      <c r="N108" s="35">
        <f>SUM(N109:N111)</f>
        <v>4243509.2879999997</v>
      </c>
      <c r="O108" s="71">
        <f t="shared" si="37"/>
        <v>7.1999999999999995E-2</v>
      </c>
      <c r="P108" s="35">
        <f>SUM(P109:P111)</f>
        <v>4479259.8039999995</v>
      </c>
      <c r="Q108" s="71">
        <f t="shared" si="38"/>
        <v>7.5999999999999998E-2</v>
      </c>
      <c r="R108" s="35">
        <f>SUM(R109:R111)</f>
        <v>45499849.588</v>
      </c>
      <c r="S108" s="71">
        <f t="shared" si="39"/>
        <v>0.77200000000000002</v>
      </c>
    </row>
    <row r="109" spans="2:19" s="2" customFormat="1" ht="27.75" customHeight="1" x14ac:dyDescent="0.3">
      <c r="B109" s="39">
        <v>1</v>
      </c>
      <c r="C109" s="40" t="s">
        <v>93</v>
      </c>
      <c r="D109" s="56" t="s">
        <v>79</v>
      </c>
      <c r="E109" s="47">
        <v>5716667</v>
      </c>
      <c r="F109" s="47">
        <v>0</v>
      </c>
      <c r="G109" s="69">
        <f t="shared" si="34"/>
        <v>0</v>
      </c>
      <c r="H109" s="47">
        <v>0</v>
      </c>
      <c r="I109" s="69">
        <f t="shared" si="35"/>
        <v>0</v>
      </c>
      <c r="J109" s="24"/>
      <c r="K109" s="24"/>
      <c r="L109" s="32"/>
      <c r="M109" s="68"/>
      <c r="N109" s="32"/>
      <c r="O109" s="68"/>
      <c r="P109" s="32"/>
      <c r="Q109" s="68"/>
      <c r="R109" s="32"/>
      <c r="S109" s="68"/>
    </row>
    <row r="110" spans="2:19" s="2" customFormat="1" ht="27.75" customHeight="1" x14ac:dyDescent="0.3">
      <c r="B110" s="39">
        <v>1</v>
      </c>
      <c r="C110" s="40" t="s">
        <v>93</v>
      </c>
      <c r="D110" s="56" t="s">
        <v>40</v>
      </c>
      <c r="E110" s="47">
        <v>69300000</v>
      </c>
      <c r="F110" s="47">
        <v>23500000</v>
      </c>
      <c r="G110" s="69">
        <f t="shared" si="34"/>
        <v>0.33910533910533913</v>
      </c>
      <c r="H110" s="47">
        <v>23500000</v>
      </c>
      <c r="I110" s="69">
        <f t="shared" si="35"/>
        <v>0.33910533910533913</v>
      </c>
      <c r="J110" s="24"/>
      <c r="K110" s="24"/>
      <c r="L110" s="32">
        <v>1880000</v>
      </c>
      <c r="M110" s="68">
        <f t="shared" si="36"/>
        <v>0.08</v>
      </c>
      <c r="N110" s="32">
        <v>1691999.9999999998</v>
      </c>
      <c r="O110" s="68">
        <f t="shared" si="37"/>
        <v>7.1999999999999995E-2</v>
      </c>
      <c r="P110" s="32">
        <v>1786000</v>
      </c>
      <c r="Q110" s="68">
        <f t="shared" si="38"/>
        <v>7.5999999999999998E-2</v>
      </c>
      <c r="R110" s="32">
        <v>18142000</v>
      </c>
      <c r="S110" s="68">
        <f t="shared" si="39"/>
        <v>0.77200000000000002</v>
      </c>
    </row>
    <row r="111" spans="2:19" s="2" customFormat="1" ht="27.75" customHeight="1" x14ac:dyDescent="0.3">
      <c r="B111" s="39">
        <v>1</v>
      </c>
      <c r="C111" s="40" t="s">
        <v>93</v>
      </c>
      <c r="D111" s="56" t="s">
        <v>80</v>
      </c>
      <c r="E111" s="47">
        <v>160895353</v>
      </c>
      <c r="F111" s="47">
        <v>35437629</v>
      </c>
      <c r="G111" s="69">
        <f t="shared" si="34"/>
        <v>0.22025265701738447</v>
      </c>
      <c r="H111" s="47">
        <v>35437629</v>
      </c>
      <c r="I111" s="69">
        <f t="shared" si="35"/>
        <v>0.22025265701738447</v>
      </c>
      <c r="J111" s="24"/>
      <c r="K111" s="24"/>
      <c r="L111" s="32">
        <v>2835010.32</v>
      </c>
      <c r="M111" s="68">
        <f t="shared" si="36"/>
        <v>0.08</v>
      </c>
      <c r="N111" s="32">
        <v>2551509.2879999997</v>
      </c>
      <c r="O111" s="68">
        <f t="shared" si="37"/>
        <v>7.1999999999999995E-2</v>
      </c>
      <c r="P111" s="32">
        <v>2693259.804</v>
      </c>
      <c r="Q111" s="68">
        <f t="shared" si="38"/>
        <v>7.5999999999999998E-2</v>
      </c>
      <c r="R111" s="32">
        <v>27357849.588</v>
      </c>
      <c r="S111" s="68">
        <f t="shared" si="39"/>
        <v>0.77200000000000002</v>
      </c>
    </row>
    <row r="112" spans="2:19" ht="27.75" customHeight="1" x14ac:dyDescent="0.3">
      <c r="B112" s="17">
        <v>1</v>
      </c>
      <c r="C112" s="4" t="s">
        <v>93</v>
      </c>
      <c r="D112" s="5" t="s">
        <v>26</v>
      </c>
      <c r="E112" s="35">
        <f t="shared" ref="E112:R112" si="52">+E113</f>
        <v>18133333</v>
      </c>
      <c r="F112" s="35">
        <f t="shared" si="52"/>
        <v>6400000</v>
      </c>
      <c r="G112" s="71">
        <f t="shared" si="34"/>
        <v>0.35294118295847765</v>
      </c>
      <c r="H112" s="35">
        <f t="shared" si="52"/>
        <v>6400000</v>
      </c>
      <c r="I112" s="71">
        <f t="shared" si="35"/>
        <v>0.35294118295847765</v>
      </c>
      <c r="J112" s="23"/>
      <c r="K112" s="23"/>
      <c r="L112" s="35">
        <f t="shared" si="52"/>
        <v>512000</v>
      </c>
      <c r="M112" s="71">
        <f t="shared" si="36"/>
        <v>0.08</v>
      </c>
      <c r="N112" s="35">
        <f t="shared" si="52"/>
        <v>460799.99999999994</v>
      </c>
      <c r="O112" s="71">
        <f t="shared" si="37"/>
        <v>7.1999999999999995E-2</v>
      </c>
      <c r="P112" s="35">
        <f t="shared" si="52"/>
        <v>486400</v>
      </c>
      <c r="Q112" s="71">
        <f t="shared" si="38"/>
        <v>7.5999999999999998E-2</v>
      </c>
      <c r="R112" s="35">
        <f t="shared" si="52"/>
        <v>4940800</v>
      </c>
      <c r="S112" s="71">
        <f t="shared" si="39"/>
        <v>0.77200000000000002</v>
      </c>
    </row>
    <row r="113" spans="2:19" ht="27.75" customHeight="1" x14ac:dyDescent="0.3">
      <c r="B113" s="8">
        <v>1</v>
      </c>
      <c r="C113" s="9" t="s">
        <v>93</v>
      </c>
      <c r="D113" s="14" t="s">
        <v>20</v>
      </c>
      <c r="E113" s="26">
        <v>18133333</v>
      </c>
      <c r="F113" s="26">
        <v>6400000</v>
      </c>
      <c r="G113" s="67">
        <f t="shared" si="34"/>
        <v>0.35294118295847765</v>
      </c>
      <c r="H113" s="26">
        <v>6400000</v>
      </c>
      <c r="I113" s="67">
        <f t="shared" si="35"/>
        <v>0.35294118295847765</v>
      </c>
      <c r="J113" s="24"/>
      <c r="K113" s="24"/>
      <c r="L113" s="36">
        <v>512000</v>
      </c>
      <c r="M113" s="78">
        <f t="shared" si="36"/>
        <v>0.08</v>
      </c>
      <c r="N113" s="36">
        <v>460799.99999999994</v>
      </c>
      <c r="O113" s="78">
        <f t="shared" si="37"/>
        <v>7.1999999999999995E-2</v>
      </c>
      <c r="P113" s="36">
        <v>486400</v>
      </c>
      <c r="Q113" s="78">
        <f t="shared" si="38"/>
        <v>7.5999999999999998E-2</v>
      </c>
      <c r="R113" s="36">
        <v>4940800</v>
      </c>
      <c r="S113" s="78">
        <f t="shared" si="39"/>
        <v>0.77200000000000002</v>
      </c>
    </row>
    <row r="114" spans="2:19" ht="72" x14ac:dyDescent="0.3">
      <c r="B114" s="16">
        <v>7</v>
      </c>
      <c r="C114" s="3" t="s">
        <v>95</v>
      </c>
      <c r="D114" s="53" t="s">
        <v>27</v>
      </c>
      <c r="E114" s="34">
        <f>+E115+E117+E119+E122+E124</f>
        <v>3868454061</v>
      </c>
      <c r="F114" s="34">
        <f>+F11+F117+F119+F122+F124</f>
        <v>155725078</v>
      </c>
      <c r="G114" s="64">
        <f t="shared" si="34"/>
        <v>4.0255118852243754E-2</v>
      </c>
      <c r="H114" s="34">
        <f>+H115+H117+H119+H122+H124</f>
        <v>22208356</v>
      </c>
      <c r="I114" s="64">
        <f t="shared" si="35"/>
        <v>5.7408865789294432E-3</v>
      </c>
      <c r="J114" s="23"/>
      <c r="K114" s="23"/>
      <c r="L114" s="34">
        <f>L115+L117+L119+L122+L124</f>
        <v>9742534.8359999992</v>
      </c>
      <c r="M114" s="64">
        <f t="shared" si="36"/>
        <v>6.2562401387912608E-2</v>
      </c>
      <c r="N114" s="34">
        <f>N115+N117+N119+N122+N124</f>
        <v>9948089.9140000008</v>
      </c>
      <c r="O114" s="64">
        <f t="shared" si="37"/>
        <v>6.3882388384483582E-2</v>
      </c>
      <c r="P114" s="34">
        <f>P115+P117+P119+P122+P124</f>
        <v>10268600.07</v>
      </c>
      <c r="Q114" s="64">
        <f t="shared" si="38"/>
        <v>6.5940567838405587E-2</v>
      </c>
      <c r="R114" s="34">
        <f>R115+R117+R119+R122+R124</f>
        <v>125765853.18000001</v>
      </c>
      <c r="S114" s="64">
        <f t="shared" si="39"/>
        <v>0.80761464238919822</v>
      </c>
    </row>
    <row r="115" spans="2:19" ht="27.75" customHeight="1" x14ac:dyDescent="0.3">
      <c r="B115" s="17">
        <v>11</v>
      </c>
      <c r="C115" s="4" t="s">
        <v>98</v>
      </c>
      <c r="D115" s="5" t="s">
        <v>29</v>
      </c>
      <c r="E115" s="35">
        <f>+E116</f>
        <v>100000000</v>
      </c>
      <c r="F115" s="35">
        <f t="shared" ref="F115:R115" si="53">+F116</f>
        <v>0</v>
      </c>
      <c r="G115" s="71">
        <f t="shared" si="34"/>
        <v>0</v>
      </c>
      <c r="H115" s="35">
        <f t="shared" si="53"/>
        <v>0</v>
      </c>
      <c r="I115" s="71">
        <f t="shared" si="35"/>
        <v>0</v>
      </c>
      <c r="J115" s="23"/>
      <c r="K115" s="23"/>
      <c r="L115" s="35">
        <f t="shared" si="53"/>
        <v>0</v>
      </c>
      <c r="M115" s="71"/>
      <c r="N115" s="35">
        <f t="shared" si="53"/>
        <v>0</v>
      </c>
      <c r="O115" s="71"/>
      <c r="P115" s="35">
        <f t="shared" si="53"/>
        <v>0</v>
      </c>
      <c r="Q115" s="71"/>
      <c r="R115" s="35">
        <f t="shared" si="53"/>
        <v>0</v>
      </c>
      <c r="S115" s="71"/>
    </row>
    <row r="116" spans="2:19" s="2" customFormat="1" ht="28.8" x14ac:dyDescent="0.3">
      <c r="B116" s="39">
        <v>11</v>
      </c>
      <c r="C116" s="40" t="s">
        <v>98</v>
      </c>
      <c r="D116" s="56" t="s">
        <v>28</v>
      </c>
      <c r="E116" s="47">
        <v>100000000</v>
      </c>
      <c r="F116" s="47">
        <v>0</v>
      </c>
      <c r="G116" s="69">
        <f t="shared" si="34"/>
        <v>0</v>
      </c>
      <c r="H116" s="47">
        <v>0</v>
      </c>
      <c r="I116" s="69">
        <f t="shared" si="35"/>
        <v>0</v>
      </c>
      <c r="J116" s="24"/>
      <c r="K116" s="24"/>
      <c r="L116" s="32"/>
      <c r="M116" s="68"/>
      <c r="N116" s="32"/>
      <c r="O116" s="68"/>
      <c r="P116" s="32"/>
      <c r="Q116" s="68"/>
      <c r="R116" s="32"/>
      <c r="S116" s="68"/>
    </row>
    <row r="117" spans="2:19" ht="27.75" customHeight="1" x14ac:dyDescent="0.3">
      <c r="B117" s="17">
        <v>11</v>
      </c>
      <c r="C117" s="4" t="s">
        <v>98</v>
      </c>
      <c r="D117" s="5" t="s">
        <v>81</v>
      </c>
      <c r="E117" s="35">
        <f>+E118</f>
        <v>200000000</v>
      </c>
      <c r="F117" s="35">
        <f t="shared" ref="F117:R117" si="54">+F118</f>
        <v>0</v>
      </c>
      <c r="G117" s="71">
        <f t="shared" si="34"/>
        <v>0</v>
      </c>
      <c r="H117" s="35">
        <f t="shared" si="54"/>
        <v>0</v>
      </c>
      <c r="I117" s="71">
        <f t="shared" si="35"/>
        <v>0</v>
      </c>
      <c r="J117" s="23"/>
      <c r="K117" s="23"/>
      <c r="L117" s="35">
        <f t="shared" si="54"/>
        <v>0</v>
      </c>
      <c r="M117" s="71"/>
      <c r="N117" s="35">
        <f t="shared" si="54"/>
        <v>0</v>
      </c>
      <c r="O117" s="71"/>
      <c r="P117" s="35">
        <f t="shared" si="54"/>
        <v>0</v>
      </c>
      <c r="Q117" s="71"/>
      <c r="R117" s="35">
        <f t="shared" si="54"/>
        <v>0</v>
      </c>
      <c r="S117" s="71"/>
    </row>
    <row r="118" spans="2:19" s="2" customFormat="1" ht="28.8" x14ac:dyDescent="0.3">
      <c r="B118" s="39">
        <v>11</v>
      </c>
      <c r="C118" s="40" t="s">
        <v>98</v>
      </c>
      <c r="D118" s="56" t="s">
        <v>28</v>
      </c>
      <c r="E118" s="47">
        <v>200000000</v>
      </c>
      <c r="F118" s="47">
        <v>0</v>
      </c>
      <c r="G118" s="69">
        <f t="shared" si="34"/>
        <v>0</v>
      </c>
      <c r="H118" s="47">
        <v>0</v>
      </c>
      <c r="I118" s="69">
        <f t="shared" si="35"/>
        <v>0</v>
      </c>
      <c r="J118" s="24"/>
      <c r="K118" s="24"/>
      <c r="L118" s="32"/>
      <c r="M118" s="68"/>
      <c r="N118" s="32"/>
      <c r="O118" s="68"/>
      <c r="P118" s="32"/>
      <c r="Q118" s="68"/>
      <c r="R118" s="32"/>
      <c r="S118" s="68"/>
    </row>
    <row r="119" spans="2:19" ht="72" x14ac:dyDescent="0.3">
      <c r="B119" s="17">
        <v>7</v>
      </c>
      <c r="C119" s="4" t="s">
        <v>95</v>
      </c>
      <c r="D119" s="5" t="s">
        <v>82</v>
      </c>
      <c r="E119" s="35">
        <f>E120+E121</f>
        <v>2117465245</v>
      </c>
      <c r="F119" s="35">
        <f t="shared" ref="F119:H119" si="55">F120+F121</f>
        <v>0</v>
      </c>
      <c r="G119" s="71">
        <f t="shared" si="34"/>
        <v>0</v>
      </c>
      <c r="H119" s="35">
        <f t="shared" si="55"/>
        <v>0</v>
      </c>
      <c r="I119" s="71">
        <f t="shared" si="35"/>
        <v>0</v>
      </c>
      <c r="J119" s="23"/>
      <c r="K119" s="23"/>
      <c r="L119" s="35">
        <f>+L120+L121</f>
        <v>0</v>
      </c>
      <c r="M119" s="71"/>
      <c r="N119" s="35">
        <f>+N120+N121</f>
        <v>0</v>
      </c>
      <c r="O119" s="71"/>
      <c r="P119" s="35">
        <f>+P120+P121</f>
        <v>0</v>
      </c>
      <c r="Q119" s="71"/>
      <c r="R119" s="35">
        <f>+R120+R121</f>
        <v>0</v>
      </c>
      <c r="S119" s="71"/>
    </row>
    <row r="120" spans="2:19" ht="72" x14ac:dyDescent="0.3">
      <c r="B120" s="8">
        <v>7</v>
      </c>
      <c r="C120" s="9" t="s">
        <v>95</v>
      </c>
      <c r="D120" s="14" t="s">
        <v>28</v>
      </c>
      <c r="E120" s="47">
        <v>1948427090</v>
      </c>
      <c r="F120" s="47">
        <v>0</v>
      </c>
      <c r="G120" s="69">
        <f t="shared" si="34"/>
        <v>0</v>
      </c>
      <c r="H120" s="47">
        <v>0</v>
      </c>
      <c r="I120" s="69">
        <f t="shared" si="35"/>
        <v>0</v>
      </c>
      <c r="J120" s="24"/>
      <c r="K120" s="24"/>
      <c r="L120" s="18"/>
      <c r="M120" s="66"/>
      <c r="N120" s="18"/>
      <c r="O120" s="66"/>
      <c r="P120" s="18"/>
      <c r="Q120" s="66"/>
      <c r="R120" s="18"/>
      <c r="S120" s="66"/>
    </row>
    <row r="121" spans="2:19" s="2" customFormat="1" ht="72" x14ac:dyDescent="0.3">
      <c r="B121" s="39">
        <v>7</v>
      </c>
      <c r="C121" s="40" t="s">
        <v>95</v>
      </c>
      <c r="D121" s="56" t="s">
        <v>42</v>
      </c>
      <c r="E121" s="47">
        <v>169038155</v>
      </c>
      <c r="F121" s="47">
        <v>0</v>
      </c>
      <c r="G121" s="69">
        <f t="shared" ref="G121:G147" si="56">+F121/E121</f>
        <v>0</v>
      </c>
      <c r="H121" s="47">
        <v>0</v>
      </c>
      <c r="I121" s="69">
        <f t="shared" ref="I121:I147" si="57">+H121/E121</f>
        <v>0</v>
      </c>
      <c r="J121" s="24"/>
      <c r="K121" s="24"/>
      <c r="L121" s="32"/>
      <c r="M121" s="68"/>
      <c r="N121" s="32"/>
      <c r="O121" s="68"/>
      <c r="P121" s="32"/>
      <c r="Q121" s="68"/>
      <c r="R121" s="32"/>
      <c r="S121" s="68"/>
    </row>
    <row r="122" spans="2:19" ht="72" x14ac:dyDescent="0.3">
      <c r="B122" s="17">
        <v>7</v>
      </c>
      <c r="C122" s="4" t="s">
        <v>95</v>
      </c>
      <c r="D122" s="5" t="s">
        <v>83</v>
      </c>
      <c r="E122" s="35">
        <f>+E123</f>
        <v>1152931316</v>
      </c>
      <c r="F122" s="35">
        <f t="shared" ref="F122:R122" si="58">+F123</f>
        <v>140625078</v>
      </c>
      <c r="G122" s="71">
        <f t="shared" si="56"/>
        <v>0.12197177407574208</v>
      </c>
      <c r="H122" s="35">
        <f t="shared" si="58"/>
        <v>0</v>
      </c>
      <c r="I122" s="71">
        <f t="shared" si="57"/>
        <v>0</v>
      </c>
      <c r="J122" s="23"/>
      <c r="K122" s="23"/>
      <c r="L122" s="35">
        <f t="shared" si="58"/>
        <v>8718754.8359999992</v>
      </c>
      <c r="M122" s="71">
        <f t="shared" ref="M122:M147" si="59">+L122/F122</f>
        <v>6.1999999999999993E-2</v>
      </c>
      <c r="N122" s="35">
        <f t="shared" si="58"/>
        <v>8859379.9140000008</v>
      </c>
      <c r="O122" s="71">
        <f t="shared" ref="O122:O147" si="60">+N122/F122</f>
        <v>6.3E-2</v>
      </c>
      <c r="P122" s="35">
        <f t="shared" si="58"/>
        <v>9140630.0700000003</v>
      </c>
      <c r="Q122" s="71">
        <f t="shared" ref="Q122:Q147" si="61">+P122/F122</f>
        <v>6.5000000000000002E-2</v>
      </c>
      <c r="R122" s="35">
        <f t="shared" si="58"/>
        <v>113906313.18000001</v>
      </c>
      <c r="S122" s="71">
        <f t="shared" ref="S122:S147" si="62">+R122/F122</f>
        <v>0.81</v>
      </c>
    </row>
    <row r="123" spans="2:19" ht="72" x14ac:dyDescent="0.3">
      <c r="B123" s="8">
        <v>7</v>
      </c>
      <c r="C123" s="9" t="s">
        <v>95</v>
      </c>
      <c r="D123" s="14" t="s">
        <v>28</v>
      </c>
      <c r="E123" s="26">
        <v>1152931316</v>
      </c>
      <c r="F123" s="47">
        <v>140625078</v>
      </c>
      <c r="G123" s="69">
        <f t="shared" si="56"/>
        <v>0.12197177407574208</v>
      </c>
      <c r="H123" s="26">
        <v>0</v>
      </c>
      <c r="I123" s="67">
        <f t="shared" si="57"/>
        <v>0</v>
      </c>
      <c r="J123" s="24"/>
      <c r="K123" s="24"/>
      <c r="L123" s="26">
        <f>F123*6.2%</f>
        <v>8718754.8359999992</v>
      </c>
      <c r="M123" s="67">
        <f t="shared" si="59"/>
        <v>6.1999999999999993E-2</v>
      </c>
      <c r="N123" s="26">
        <f>F123*6.3%</f>
        <v>8859379.9140000008</v>
      </c>
      <c r="O123" s="67">
        <f t="shared" si="60"/>
        <v>6.3E-2</v>
      </c>
      <c r="P123" s="26">
        <f>F123*6.5%</f>
        <v>9140630.0700000003</v>
      </c>
      <c r="Q123" s="67">
        <f t="shared" si="61"/>
        <v>6.5000000000000002E-2</v>
      </c>
      <c r="R123" s="26">
        <f>F123*81%</f>
        <v>113906313.18000001</v>
      </c>
      <c r="S123" s="67">
        <f t="shared" si="62"/>
        <v>0.81</v>
      </c>
    </row>
    <row r="124" spans="2:19" ht="72" x14ac:dyDescent="0.3">
      <c r="B124" s="59">
        <v>7</v>
      </c>
      <c r="C124" s="60" t="s">
        <v>95</v>
      </c>
      <c r="D124" s="60" t="s">
        <v>102</v>
      </c>
      <c r="E124" s="46">
        <f>+E125</f>
        <v>298057500</v>
      </c>
      <c r="F124" s="46">
        <f>+F125</f>
        <v>15100000</v>
      </c>
      <c r="G124" s="72">
        <f>+F124/E124</f>
        <v>5.0661365676085993E-2</v>
      </c>
      <c r="H124" s="46">
        <f>+H125</f>
        <v>22208356</v>
      </c>
      <c r="I124" s="72">
        <f>+H124/E124</f>
        <v>7.4510307574880683E-2</v>
      </c>
      <c r="J124" s="24"/>
      <c r="K124" s="24"/>
      <c r="L124" s="46">
        <f>+L125</f>
        <v>1023780</v>
      </c>
      <c r="M124" s="72">
        <f t="shared" si="59"/>
        <v>6.7799999999999999E-2</v>
      </c>
      <c r="N124" s="46">
        <f>+N125</f>
        <v>1088710</v>
      </c>
      <c r="O124" s="72">
        <f t="shared" si="60"/>
        <v>7.2099999999999997E-2</v>
      </c>
      <c r="P124" s="46">
        <f>+P125</f>
        <v>1127970</v>
      </c>
      <c r="Q124" s="72">
        <f t="shared" si="61"/>
        <v>7.4700000000000003E-2</v>
      </c>
      <c r="R124" s="46">
        <f>+R125</f>
        <v>11859540</v>
      </c>
      <c r="S124" s="72">
        <f t="shared" si="62"/>
        <v>0.78539999999999999</v>
      </c>
    </row>
    <row r="125" spans="2:19" s="2" customFormat="1" ht="72" x14ac:dyDescent="0.3">
      <c r="B125" s="39">
        <v>7</v>
      </c>
      <c r="C125" s="40" t="s">
        <v>95</v>
      </c>
      <c r="D125" s="56" t="s">
        <v>38</v>
      </c>
      <c r="E125" s="47">
        <v>298057500</v>
      </c>
      <c r="F125" s="47">
        <v>15100000</v>
      </c>
      <c r="G125" s="68">
        <f t="shared" si="56"/>
        <v>5.0661365676085993E-2</v>
      </c>
      <c r="H125" s="45">
        <v>22208356</v>
      </c>
      <c r="I125" s="69">
        <f t="shared" si="57"/>
        <v>7.4510307574880683E-2</v>
      </c>
      <c r="J125" s="24"/>
      <c r="K125" s="24"/>
      <c r="L125" s="44">
        <f>+F125*6.78/100</f>
        <v>1023780</v>
      </c>
      <c r="M125" s="68">
        <f t="shared" si="59"/>
        <v>6.7799999999999999E-2</v>
      </c>
      <c r="N125" s="45">
        <f>+F125*7.21/100</f>
        <v>1088710</v>
      </c>
      <c r="O125" s="68">
        <f t="shared" si="60"/>
        <v>7.2099999999999997E-2</v>
      </c>
      <c r="P125" s="44">
        <f>+F125*7.47/100</f>
        <v>1127970</v>
      </c>
      <c r="Q125" s="69">
        <f t="shared" si="61"/>
        <v>7.4700000000000003E-2</v>
      </c>
      <c r="R125" s="45">
        <f>+F125*78.54/100</f>
        <v>11859540</v>
      </c>
      <c r="S125" s="69">
        <f t="shared" si="62"/>
        <v>0.78539999999999999</v>
      </c>
    </row>
    <row r="126" spans="2:19" ht="72" x14ac:dyDescent="0.3">
      <c r="B126" s="16">
        <v>7</v>
      </c>
      <c r="C126" s="3" t="s">
        <v>95</v>
      </c>
      <c r="D126" s="53" t="s">
        <v>84</v>
      </c>
      <c r="E126" s="34">
        <f>+E127</f>
        <v>184650000</v>
      </c>
      <c r="F126" s="34">
        <f t="shared" ref="F126:R126" si="63">+F127</f>
        <v>87400000</v>
      </c>
      <c r="G126" s="64">
        <f t="shared" si="56"/>
        <v>0.47332791768210125</v>
      </c>
      <c r="H126" s="34">
        <f t="shared" si="63"/>
        <v>18500000</v>
      </c>
      <c r="I126" s="64">
        <f t="shared" si="57"/>
        <v>0.10018954779312213</v>
      </c>
      <c r="J126" s="19"/>
      <c r="K126" s="19"/>
      <c r="L126" s="34">
        <f t="shared" si="63"/>
        <v>0</v>
      </c>
      <c r="M126" s="64">
        <f t="shared" si="59"/>
        <v>0</v>
      </c>
      <c r="N126" s="34">
        <f t="shared" si="63"/>
        <v>10599779.492833517</v>
      </c>
      <c r="O126" s="64">
        <f t="shared" si="60"/>
        <v>0.12127894156560089</v>
      </c>
      <c r="P126" s="34">
        <f t="shared" si="63"/>
        <v>4914443.2194046304</v>
      </c>
      <c r="Q126" s="64">
        <f t="shared" si="61"/>
        <v>5.6229327453142221E-2</v>
      </c>
      <c r="R126" s="34">
        <f t="shared" si="63"/>
        <v>71885777.287761852</v>
      </c>
      <c r="S126" s="64">
        <f t="shared" si="62"/>
        <v>0.82249173098125694</v>
      </c>
    </row>
    <row r="127" spans="2:19" ht="72" x14ac:dyDescent="0.3">
      <c r="B127" s="17">
        <v>7</v>
      </c>
      <c r="C127" s="4" t="s">
        <v>95</v>
      </c>
      <c r="D127" s="5" t="s">
        <v>85</v>
      </c>
      <c r="E127" s="35">
        <f>+E128+E129</f>
        <v>184650000</v>
      </c>
      <c r="F127" s="35">
        <f t="shared" ref="F127:R127" si="64">+F128+F129</f>
        <v>87400000</v>
      </c>
      <c r="G127" s="71">
        <f t="shared" si="56"/>
        <v>0.47332791768210125</v>
      </c>
      <c r="H127" s="35">
        <f t="shared" si="64"/>
        <v>18500000</v>
      </c>
      <c r="I127" s="71">
        <f t="shared" si="57"/>
        <v>0.10018954779312213</v>
      </c>
      <c r="J127" s="23"/>
      <c r="K127" s="23"/>
      <c r="L127" s="35">
        <f t="shared" si="64"/>
        <v>0</v>
      </c>
      <c r="M127" s="71">
        <f t="shared" si="59"/>
        <v>0</v>
      </c>
      <c r="N127" s="35">
        <f t="shared" si="64"/>
        <v>10599779.492833517</v>
      </c>
      <c r="O127" s="71">
        <f t="shared" si="60"/>
        <v>0.12127894156560089</v>
      </c>
      <c r="P127" s="35">
        <f t="shared" si="64"/>
        <v>4914443.2194046304</v>
      </c>
      <c r="Q127" s="71">
        <f t="shared" si="61"/>
        <v>5.6229327453142221E-2</v>
      </c>
      <c r="R127" s="35">
        <f t="shared" si="64"/>
        <v>71885777.287761852</v>
      </c>
      <c r="S127" s="71">
        <f t="shared" si="62"/>
        <v>0.82249173098125694</v>
      </c>
    </row>
    <row r="128" spans="2:19" s="2" customFormat="1" ht="72" x14ac:dyDescent="0.3">
      <c r="B128" s="39">
        <v>7</v>
      </c>
      <c r="C128" s="40" t="s">
        <v>95</v>
      </c>
      <c r="D128" s="56" t="s">
        <v>57</v>
      </c>
      <c r="E128" s="47">
        <v>109950000</v>
      </c>
      <c r="F128" s="47">
        <v>68900000</v>
      </c>
      <c r="G128" s="69">
        <f t="shared" si="56"/>
        <v>0.62664847658026379</v>
      </c>
      <c r="H128" s="47"/>
      <c r="I128" s="69">
        <f t="shared" si="57"/>
        <v>0</v>
      </c>
      <c r="J128" s="24"/>
      <c r="K128" s="24"/>
      <c r="L128" s="47"/>
      <c r="M128" s="69">
        <f t="shared" si="59"/>
        <v>0</v>
      </c>
      <c r="N128" s="32">
        <f>68900000/907*110</f>
        <v>8356119.0738699008</v>
      </c>
      <c r="O128" s="68">
        <f t="shared" si="60"/>
        <v>0.12127894156560089</v>
      </c>
      <c r="P128" s="32">
        <f>68900000/907*51</f>
        <v>3874200.6615214995</v>
      </c>
      <c r="Q128" s="68">
        <f t="shared" si="61"/>
        <v>5.6229327453142228E-2</v>
      </c>
      <c r="R128" s="32">
        <f>68900000/907*746</f>
        <v>56669680.264608599</v>
      </c>
      <c r="S128" s="68">
        <f t="shared" si="62"/>
        <v>0.82249173098125683</v>
      </c>
    </row>
    <row r="129" spans="2:19" s="2" customFormat="1" ht="72" x14ac:dyDescent="0.3">
      <c r="B129" s="39">
        <v>7</v>
      </c>
      <c r="C129" s="40" t="s">
        <v>95</v>
      </c>
      <c r="D129" s="56" t="s">
        <v>58</v>
      </c>
      <c r="E129" s="47">
        <v>74700000</v>
      </c>
      <c r="F129" s="47">
        <v>18500000</v>
      </c>
      <c r="G129" s="69">
        <f t="shared" si="56"/>
        <v>0.24765729585006693</v>
      </c>
      <c r="H129" s="47">
        <v>18500000</v>
      </c>
      <c r="I129" s="69">
        <f t="shared" si="57"/>
        <v>0.24765729585006693</v>
      </c>
      <c r="J129" s="24"/>
      <c r="K129" s="24"/>
      <c r="L129" s="47"/>
      <c r="M129" s="69">
        <f t="shared" si="59"/>
        <v>0</v>
      </c>
      <c r="N129" s="32">
        <f>18500000/907*110</f>
        <v>2243660.4189636162</v>
      </c>
      <c r="O129" s="68">
        <f t="shared" si="60"/>
        <v>0.12127894156560087</v>
      </c>
      <c r="P129" s="32">
        <f>18500000/907*51</f>
        <v>1040242.5578831311</v>
      </c>
      <c r="Q129" s="68">
        <f t="shared" si="61"/>
        <v>5.6229327453142221E-2</v>
      </c>
      <c r="R129" s="32">
        <f>18500000/907*746</f>
        <v>15216097.023153251</v>
      </c>
      <c r="S129" s="68">
        <f t="shared" si="62"/>
        <v>0.82249173098125683</v>
      </c>
    </row>
    <row r="130" spans="2:19" ht="72" x14ac:dyDescent="0.3">
      <c r="B130" s="16">
        <v>7</v>
      </c>
      <c r="C130" s="3" t="s">
        <v>95</v>
      </c>
      <c r="D130" s="53" t="s">
        <v>30</v>
      </c>
      <c r="E130" s="34">
        <f>+E131</f>
        <v>32250000</v>
      </c>
      <c r="F130" s="34">
        <f t="shared" ref="F130:R131" si="65">+F131</f>
        <v>12050000</v>
      </c>
      <c r="G130" s="64">
        <f t="shared" si="56"/>
        <v>0.37364341085271319</v>
      </c>
      <c r="H130" s="34">
        <f t="shared" si="65"/>
        <v>12050000</v>
      </c>
      <c r="I130" s="64">
        <f t="shared" si="57"/>
        <v>0.37364341085271319</v>
      </c>
      <c r="J130" s="23"/>
      <c r="K130" s="23"/>
      <c r="L130" s="34">
        <f t="shared" si="65"/>
        <v>0</v>
      </c>
      <c r="M130" s="64">
        <f t="shared" si="59"/>
        <v>0</v>
      </c>
      <c r="N130" s="34">
        <f t="shared" si="65"/>
        <v>2437746.7105263113</v>
      </c>
      <c r="O130" s="64">
        <f t="shared" si="60"/>
        <v>0.20230263157894698</v>
      </c>
      <c r="P130" s="34">
        <f t="shared" si="65"/>
        <v>9532976.9736842159</v>
      </c>
      <c r="Q130" s="64">
        <f t="shared" si="61"/>
        <v>0.79111842105263208</v>
      </c>
      <c r="R130" s="34">
        <f t="shared" si="65"/>
        <v>79276.315789473651</v>
      </c>
      <c r="S130" s="64">
        <f t="shared" si="62"/>
        <v>6.5789473684210497E-3</v>
      </c>
    </row>
    <row r="131" spans="2:19" ht="72" x14ac:dyDescent="0.3">
      <c r="B131" s="17">
        <v>7</v>
      </c>
      <c r="C131" s="4" t="s">
        <v>95</v>
      </c>
      <c r="D131" s="61" t="s">
        <v>86</v>
      </c>
      <c r="E131" s="35">
        <f>+E132</f>
        <v>32250000</v>
      </c>
      <c r="F131" s="35">
        <f t="shared" si="65"/>
        <v>12050000</v>
      </c>
      <c r="G131" s="71">
        <f t="shared" si="56"/>
        <v>0.37364341085271319</v>
      </c>
      <c r="H131" s="35">
        <f t="shared" si="65"/>
        <v>12050000</v>
      </c>
      <c r="I131" s="71">
        <f t="shared" si="57"/>
        <v>0.37364341085271319</v>
      </c>
      <c r="J131" s="23"/>
      <c r="K131" s="23"/>
      <c r="L131" s="35">
        <f t="shared" si="65"/>
        <v>0</v>
      </c>
      <c r="M131" s="71">
        <f t="shared" si="59"/>
        <v>0</v>
      </c>
      <c r="N131" s="35">
        <f t="shared" si="65"/>
        <v>2437746.7105263113</v>
      </c>
      <c r="O131" s="71">
        <f t="shared" si="60"/>
        <v>0.20230263157894698</v>
      </c>
      <c r="P131" s="35">
        <f t="shared" si="65"/>
        <v>9532976.9736842159</v>
      </c>
      <c r="Q131" s="71">
        <f t="shared" si="61"/>
        <v>0.79111842105263208</v>
      </c>
      <c r="R131" s="35">
        <f t="shared" si="65"/>
        <v>79276.315789473651</v>
      </c>
      <c r="S131" s="71">
        <f t="shared" si="62"/>
        <v>6.5789473684210497E-3</v>
      </c>
    </row>
    <row r="132" spans="2:19" s="2" customFormat="1" ht="72" x14ac:dyDescent="0.3">
      <c r="B132" s="39">
        <v>7</v>
      </c>
      <c r="C132" s="40" t="s">
        <v>95</v>
      </c>
      <c r="D132" s="56" t="s">
        <v>57</v>
      </c>
      <c r="E132" s="32">
        <v>32250000</v>
      </c>
      <c r="F132" s="32">
        <v>12050000</v>
      </c>
      <c r="G132" s="68">
        <f t="shared" si="56"/>
        <v>0.37364341085271319</v>
      </c>
      <c r="H132" s="32">
        <v>12050000</v>
      </c>
      <c r="I132" s="68">
        <f t="shared" si="57"/>
        <v>0.37364341085271319</v>
      </c>
      <c r="J132" s="24"/>
      <c r="K132" s="24"/>
      <c r="L132" s="48"/>
      <c r="M132" s="79">
        <f t="shared" si="59"/>
        <v>0</v>
      </c>
      <c r="N132" s="49">
        <f>12050000*0.202302631578947</f>
        <v>2437746.7105263113</v>
      </c>
      <c r="O132" s="82">
        <f t="shared" si="60"/>
        <v>0.20230263157894698</v>
      </c>
      <c r="P132" s="48">
        <f>12050000*0.791118421052632</f>
        <v>9532976.9736842159</v>
      </c>
      <c r="Q132" s="79">
        <f t="shared" si="61"/>
        <v>0.79111842105263208</v>
      </c>
      <c r="R132" s="48">
        <f>12050000*0.00657894736842105</f>
        <v>79276.315789473651</v>
      </c>
      <c r="S132" s="79">
        <f t="shared" si="62"/>
        <v>6.5789473684210497E-3</v>
      </c>
    </row>
    <row r="133" spans="2:19" ht="72" x14ac:dyDescent="0.3">
      <c r="B133" s="16">
        <v>7</v>
      </c>
      <c r="C133" s="3" t="s">
        <v>95</v>
      </c>
      <c r="D133" s="53" t="s">
        <v>31</v>
      </c>
      <c r="E133" s="34">
        <f>+E134+E136+E139+E143</f>
        <v>476455000</v>
      </c>
      <c r="F133" s="34">
        <f t="shared" ref="F133:H133" si="66">+F134+F136+F139+F143</f>
        <v>177020000</v>
      </c>
      <c r="G133" s="64">
        <f t="shared" si="56"/>
        <v>0.37153561196755203</v>
      </c>
      <c r="H133" s="34">
        <f t="shared" si="66"/>
        <v>177020000</v>
      </c>
      <c r="I133" s="64">
        <f t="shared" si="57"/>
        <v>0.37153561196755203</v>
      </c>
      <c r="J133" s="23"/>
      <c r="K133" s="23"/>
      <c r="L133" s="34">
        <f t="shared" ref="L133:R133" si="67">+L134+L136+L139+L143</f>
        <v>11684654.927949004</v>
      </c>
      <c r="M133" s="64">
        <f t="shared" si="59"/>
        <v>6.6007541113710336E-2</v>
      </c>
      <c r="N133" s="34">
        <f t="shared" si="67"/>
        <v>57155965.076681897</v>
      </c>
      <c r="O133" s="64">
        <f t="shared" si="60"/>
        <v>0.32287857347577614</v>
      </c>
      <c r="P133" s="34">
        <f t="shared" si="67"/>
        <v>10539893.606692821</v>
      </c>
      <c r="Q133" s="64">
        <f t="shared" si="61"/>
        <v>5.9540693744734044E-2</v>
      </c>
      <c r="R133" s="34">
        <f t="shared" si="67"/>
        <v>97639486.388676271</v>
      </c>
      <c r="S133" s="64">
        <f t="shared" si="62"/>
        <v>0.55157319166577945</v>
      </c>
    </row>
    <row r="134" spans="2:19" ht="72" x14ac:dyDescent="0.3">
      <c r="B134" s="17">
        <v>7</v>
      </c>
      <c r="C134" s="4" t="s">
        <v>95</v>
      </c>
      <c r="D134" s="61" t="s">
        <v>32</v>
      </c>
      <c r="E134" s="35">
        <f>+E135</f>
        <v>139578333</v>
      </c>
      <c r="F134" s="35">
        <f t="shared" ref="F134:R134" si="68">+F135</f>
        <v>42383333</v>
      </c>
      <c r="G134" s="71">
        <f t="shared" si="56"/>
        <v>0.30365266649229861</v>
      </c>
      <c r="H134" s="35">
        <f t="shared" si="68"/>
        <v>42383333</v>
      </c>
      <c r="I134" s="71">
        <f t="shared" si="57"/>
        <v>0.30365266649229861</v>
      </c>
      <c r="J134" s="23"/>
      <c r="K134" s="23"/>
      <c r="L134" s="35">
        <f t="shared" si="68"/>
        <v>3409527.8579375269</v>
      </c>
      <c r="M134" s="71">
        <f t="shared" si="59"/>
        <v>8.0445014976465556E-2</v>
      </c>
      <c r="N134" s="35">
        <f t="shared" si="68"/>
        <v>14689987.04749679</v>
      </c>
      <c r="O134" s="71">
        <f t="shared" si="60"/>
        <v>0.34659820282413351</v>
      </c>
      <c r="P134" s="35">
        <f t="shared" si="68"/>
        <v>5730908.5271715876</v>
      </c>
      <c r="Q134" s="71">
        <f t="shared" si="61"/>
        <v>0.13521608900299528</v>
      </c>
      <c r="R134" s="35">
        <f t="shared" si="68"/>
        <v>18552909.567394096</v>
      </c>
      <c r="S134" s="71">
        <f t="shared" si="62"/>
        <v>0.43774069319640568</v>
      </c>
    </row>
    <row r="135" spans="2:19" s="2" customFormat="1" ht="72" x14ac:dyDescent="0.3">
      <c r="B135" s="39">
        <v>7</v>
      </c>
      <c r="C135" s="40" t="s">
        <v>95</v>
      </c>
      <c r="D135" s="56" t="s">
        <v>57</v>
      </c>
      <c r="E135" s="32">
        <v>139578333</v>
      </c>
      <c r="F135" s="32">
        <v>42383333</v>
      </c>
      <c r="G135" s="68">
        <f t="shared" si="56"/>
        <v>0.30365266649229861</v>
      </c>
      <c r="H135" s="32">
        <v>42383333</v>
      </c>
      <c r="I135" s="68">
        <f t="shared" si="57"/>
        <v>0.30365266649229861</v>
      </c>
      <c r="J135" s="24"/>
      <c r="K135" s="24"/>
      <c r="L135" s="48">
        <f>(42383333*188)/2337</f>
        <v>3409527.8579375269</v>
      </c>
      <c r="M135" s="79">
        <f t="shared" si="59"/>
        <v>8.0445014976465556E-2</v>
      </c>
      <c r="N135" s="48">
        <f>(42383333*810)/2337</f>
        <v>14689987.04749679</v>
      </c>
      <c r="O135" s="79">
        <f t="shared" si="60"/>
        <v>0.34659820282413351</v>
      </c>
      <c r="P135" s="48">
        <f>(42383333*316)/2337</f>
        <v>5730908.5271715876</v>
      </c>
      <c r="Q135" s="79">
        <f t="shared" si="61"/>
        <v>0.13521608900299528</v>
      </c>
      <c r="R135" s="48">
        <f>(42383333*1023)/2337</f>
        <v>18552909.567394096</v>
      </c>
      <c r="S135" s="79">
        <f t="shared" si="62"/>
        <v>0.43774069319640568</v>
      </c>
    </row>
    <row r="136" spans="2:19" ht="72" x14ac:dyDescent="0.3">
      <c r="B136" s="17">
        <v>7</v>
      </c>
      <c r="C136" s="4" t="s">
        <v>95</v>
      </c>
      <c r="D136" s="61" t="s">
        <v>33</v>
      </c>
      <c r="E136" s="35">
        <f>+E137+E138</f>
        <v>156576667</v>
      </c>
      <c r="F136" s="35">
        <f t="shared" ref="F136:H136" si="69">+F137+F138</f>
        <v>64636667</v>
      </c>
      <c r="G136" s="71">
        <f t="shared" si="56"/>
        <v>0.41281161643324543</v>
      </c>
      <c r="H136" s="35">
        <f t="shared" si="69"/>
        <v>64636667</v>
      </c>
      <c r="I136" s="71">
        <f t="shared" si="57"/>
        <v>0.41281161643324543</v>
      </c>
      <c r="J136" s="23"/>
      <c r="K136" s="23"/>
      <c r="L136" s="35">
        <f t="shared" ref="L136:R136" si="70">+L137+L138</f>
        <v>0</v>
      </c>
      <c r="M136" s="71">
        <f t="shared" si="59"/>
        <v>0</v>
      </c>
      <c r="N136" s="35">
        <f t="shared" si="70"/>
        <v>0</v>
      </c>
      <c r="O136" s="71">
        <f t="shared" si="60"/>
        <v>0</v>
      </c>
      <c r="P136" s="35">
        <f t="shared" si="70"/>
        <v>0</v>
      </c>
      <c r="Q136" s="71">
        <f t="shared" si="61"/>
        <v>0</v>
      </c>
      <c r="R136" s="35">
        <f t="shared" si="70"/>
        <v>64636667</v>
      </c>
      <c r="S136" s="71">
        <f t="shared" si="62"/>
        <v>1</v>
      </c>
    </row>
    <row r="137" spans="2:19" s="2" customFormat="1" ht="72" x14ac:dyDescent="0.3">
      <c r="B137" s="39">
        <v>7</v>
      </c>
      <c r="C137" s="40" t="s">
        <v>95</v>
      </c>
      <c r="D137" s="56" t="s">
        <v>57</v>
      </c>
      <c r="E137" s="32">
        <v>75121667</v>
      </c>
      <c r="F137" s="32">
        <v>33351667</v>
      </c>
      <c r="G137" s="68">
        <f t="shared" si="56"/>
        <v>0.44396867550875835</v>
      </c>
      <c r="H137" s="32">
        <v>33351667</v>
      </c>
      <c r="I137" s="68">
        <f t="shared" si="57"/>
        <v>0.44396867550875835</v>
      </c>
      <c r="J137" s="24"/>
      <c r="K137" s="24"/>
      <c r="L137" s="37"/>
      <c r="M137" s="80">
        <f t="shared" si="59"/>
        <v>0</v>
      </c>
      <c r="N137" s="38"/>
      <c r="O137" s="83">
        <f t="shared" si="60"/>
        <v>0</v>
      </c>
      <c r="P137" s="37"/>
      <c r="Q137" s="80">
        <f t="shared" si="61"/>
        <v>0</v>
      </c>
      <c r="R137" s="48">
        <v>33351667</v>
      </c>
      <c r="S137" s="79">
        <f t="shared" si="62"/>
        <v>1</v>
      </c>
    </row>
    <row r="138" spans="2:19" s="2" customFormat="1" ht="72" x14ac:dyDescent="0.3">
      <c r="B138" s="39">
        <v>7</v>
      </c>
      <c r="C138" s="40" t="s">
        <v>95</v>
      </c>
      <c r="D138" s="56" t="s">
        <v>9</v>
      </c>
      <c r="E138" s="32">
        <v>81455000</v>
      </c>
      <c r="F138" s="32">
        <v>31285000</v>
      </c>
      <c r="G138" s="68">
        <f t="shared" si="56"/>
        <v>0.38407709778405252</v>
      </c>
      <c r="H138" s="32">
        <v>31285000</v>
      </c>
      <c r="I138" s="68">
        <f t="shared" si="57"/>
        <v>0.38407709778405252</v>
      </c>
      <c r="J138" s="24"/>
      <c r="K138" s="24"/>
      <c r="L138" s="37"/>
      <c r="M138" s="80">
        <f t="shared" si="59"/>
        <v>0</v>
      </c>
      <c r="N138" s="38"/>
      <c r="O138" s="83">
        <f t="shared" si="60"/>
        <v>0</v>
      </c>
      <c r="P138" s="37"/>
      <c r="Q138" s="80">
        <f t="shared" si="61"/>
        <v>0</v>
      </c>
      <c r="R138" s="48">
        <v>31285000</v>
      </c>
      <c r="S138" s="79">
        <f t="shared" si="62"/>
        <v>1</v>
      </c>
    </row>
    <row r="139" spans="2:19" ht="72" x14ac:dyDescent="0.3">
      <c r="B139" s="17">
        <v>7</v>
      </c>
      <c r="C139" s="4" t="s">
        <v>95</v>
      </c>
      <c r="D139" s="61" t="s">
        <v>34</v>
      </c>
      <c r="E139" s="35">
        <f>+E140+E141+E142</f>
        <v>147300000</v>
      </c>
      <c r="F139" s="35">
        <f t="shared" ref="F139:R139" si="71">+F140+F141+F142</f>
        <v>54100000</v>
      </c>
      <c r="G139" s="71">
        <f t="shared" si="56"/>
        <v>0.36727766463000677</v>
      </c>
      <c r="H139" s="35">
        <f t="shared" si="71"/>
        <v>54100000</v>
      </c>
      <c r="I139" s="71">
        <f t="shared" si="57"/>
        <v>0.36727766463000677</v>
      </c>
      <c r="J139" s="23"/>
      <c r="K139" s="23"/>
      <c r="L139" s="35">
        <f t="shared" si="71"/>
        <v>6395491.0641088709</v>
      </c>
      <c r="M139" s="71">
        <f t="shared" si="59"/>
        <v>0.11821610100016397</v>
      </c>
      <c r="N139" s="35">
        <f t="shared" si="71"/>
        <v>32820134.448270209</v>
      </c>
      <c r="O139" s="71">
        <f t="shared" si="60"/>
        <v>0.60665682898835871</v>
      </c>
      <c r="P139" s="35">
        <f t="shared" si="71"/>
        <v>3716658.4686014103</v>
      </c>
      <c r="Q139" s="71">
        <f t="shared" si="61"/>
        <v>6.8699786850303327E-2</v>
      </c>
      <c r="R139" s="35">
        <f t="shared" si="71"/>
        <v>11167716.019019511</v>
      </c>
      <c r="S139" s="71">
        <f t="shared" si="62"/>
        <v>0.20642728316117395</v>
      </c>
    </row>
    <row r="140" spans="2:19" s="2" customFormat="1" ht="72" x14ac:dyDescent="0.3">
      <c r="B140" s="39">
        <v>7</v>
      </c>
      <c r="C140" s="40" t="s">
        <v>95</v>
      </c>
      <c r="D140" s="56" t="s">
        <v>9</v>
      </c>
      <c r="E140" s="32">
        <v>70000000</v>
      </c>
      <c r="F140" s="32">
        <v>29800000</v>
      </c>
      <c r="G140" s="68">
        <f t="shared" si="56"/>
        <v>0.42571428571428571</v>
      </c>
      <c r="H140" s="32">
        <v>29800000</v>
      </c>
      <c r="I140" s="68">
        <f t="shared" si="57"/>
        <v>0.42571428571428571</v>
      </c>
      <c r="J140" s="24"/>
      <c r="K140" s="24"/>
      <c r="L140" s="48">
        <f>(29800000*721)/6099</f>
        <v>3522839.8098048861</v>
      </c>
      <c r="M140" s="79">
        <f t="shared" si="59"/>
        <v>0.11821610100016397</v>
      </c>
      <c r="N140" s="48">
        <f>(29800000*3700)/6099</f>
        <v>18078373.50385309</v>
      </c>
      <c r="O140" s="79">
        <f t="shared" si="60"/>
        <v>0.60665682898835871</v>
      </c>
      <c r="P140" s="48">
        <f>(29800000*419)/6099</f>
        <v>2047253.6481390393</v>
      </c>
      <c r="Q140" s="79">
        <f t="shared" si="61"/>
        <v>6.8699786850303327E-2</v>
      </c>
      <c r="R140" s="48">
        <f>(29800000*1259)/6099</f>
        <v>6151533.0382029843</v>
      </c>
      <c r="S140" s="79">
        <f t="shared" si="62"/>
        <v>0.20642728316117398</v>
      </c>
    </row>
    <row r="141" spans="2:19" s="2" customFormat="1" ht="72" x14ac:dyDescent="0.3">
      <c r="B141" s="39">
        <v>7</v>
      </c>
      <c r="C141" s="40" t="s">
        <v>95</v>
      </c>
      <c r="D141" s="56" t="s">
        <v>87</v>
      </c>
      <c r="E141" s="32">
        <v>67300000</v>
      </c>
      <c r="F141" s="32">
        <v>24300000</v>
      </c>
      <c r="G141" s="68">
        <f t="shared" si="56"/>
        <v>0.36106983655274888</v>
      </c>
      <c r="H141" s="32">
        <v>24300000</v>
      </c>
      <c r="I141" s="68">
        <f t="shared" si="57"/>
        <v>0.36106983655274888</v>
      </c>
      <c r="J141" s="24"/>
      <c r="K141" s="24"/>
      <c r="L141" s="48">
        <f>(24300000*721)/6099</f>
        <v>2872651.2543039843</v>
      </c>
      <c r="M141" s="79">
        <f t="shared" si="59"/>
        <v>0.11821610100016397</v>
      </c>
      <c r="N141" s="48">
        <f>(24300000*3700)/6099</f>
        <v>14741760.944417117</v>
      </c>
      <c r="O141" s="79">
        <f t="shared" si="60"/>
        <v>0.60665682898835871</v>
      </c>
      <c r="P141" s="48">
        <f>(24300000*419)/6099</f>
        <v>1669404.820462371</v>
      </c>
      <c r="Q141" s="79">
        <f t="shared" si="61"/>
        <v>6.8699786850303327E-2</v>
      </c>
      <c r="R141" s="48">
        <f>(24300000*1259)/6099</f>
        <v>5016182.9808165273</v>
      </c>
      <c r="S141" s="79">
        <f t="shared" si="62"/>
        <v>0.20642728316117395</v>
      </c>
    </row>
    <row r="142" spans="2:19" s="2" customFormat="1" ht="72" x14ac:dyDescent="0.3">
      <c r="B142" s="39">
        <v>7</v>
      </c>
      <c r="C142" s="40" t="s">
        <v>95</v>
      </c>
      <c r="D142" s="56" t="s">
        <v>57</v>
      </c>
      <c r="E142" s="32">
        <v>10000000</v>
      </c>
      <c r="F142" s="32">
        <v>0</v>
      </c>
      <c r="G142" s="68">
        <f t="shared" si="56"/>
        <v>0</v>
      </c>
      <c r="H142" s="32">
        <v>0</v>
      </c>
      <c r="I142" s="68">
        <f t="shared" si="57"/>
        <v>0</v>
      </c>
      <c r="J142" s="24"/>
      <c r="K142" s="24"/>
      <c r="L142" s="37"/>
      <c r="M142" s="80"/>
      <c r="N142" s="38"/>
      <c r="O142" s="83"/>
      <c r="P142" s="37"/>
      <c r="Q142" s="80"/>
      <c r="R142" s="37"/>
      <c r="S142" s="80"/>
    </row>
    <row r="143" spans="2:19" ht="72" x14ac:dyDescent="0.3">
      <c r="B143" s="17">
        <v>7</v>
      </c>
      <c r="C143" s="4" t="s">
        <v>95</v>
      </c>
      <c r="D143" s="61" t="s">
        <v>35</v>
      </c>
      <c r="E143" s="35">
        <f>+E144+E145</f>
        <v>33000000</v>
      </c>
      <c r="F143" s="35">
        <f t="shared" ref="F143:R143" si="72">+F144+F145</f>
        <v>15900000</v>
      </c>
      <c r="G143" s="71">
        <f t="shared" si="56"/>
        <v>0.48181818181818181</v>
      </c>
      <c r="H143" s="35">
        <f t="shared" si="72"/>
        <v>15900000</v>
      </c>
      <c r="I143" s="71">
        <f t="shared" si="57"/>
        <v>0.48181818181818181</v>
      </c>
      <c r="J143" s="23"/>
      <c r="K143" s="23"/>
      <c r="L143" s="35">
        <f t="shared" si="72"/>
        <v>1879636.005902607</v>
      </c>
      <c r="M143" s="71">
        <f t="shared" si="59"/>
        <v>0.11821610100016396</v>
      </c>
      <c r="N143" s="35">
        <f t="shared" si="72"/>
        <v>9645843.5809149034</v>
      </c>
      <c r="O143" s="71">
        <f t="shared" si="60"/>
        <v>0.60665682898835871</v>
      </c>
      <c r="P143" s="35">
        <f t="shared" si="72"/>
        <v>1092326.6109198229</v>
      </c>
      <c r="Q143" s="71">
        <f t="shared" si="61"/>
        <v>6.8699786850303327E-2</v>
      </c>
      <c r="R143" s="35">
        <f t="shared" si="72"/>
        <v>3282193.8022626657</v>
      </c>
      <c r="S143" s="71">
        <f t="shared" si="62"/>
        <v>0.20642728316117395</v>
      </c>
    </row>
    <row r="144" spans="2:19" s="2" customFormat="1" ht="72" x14ac:dyDescent="0.3">
      <c r="B144" s="39">
        <v>7</v>
      </c>
      <c r="C144" s="40" t="s">
        <v>95</v>
      </c>
      <c r="D144" s="56" t="s">
        <v>9</v>
      </c>
      <c r="E144" s="32">
        <v>15000000</v>
      </c>
      <c r="F144" s="32">
        <v>5300000</v>
      </c>
      <c r="G144" s="68">
        <f t="shared" si="56"/>
        <v>0.35333333333333333</v>
      </c>
      <c r="H144" s="32">
        <v>5300000</v>
      </c>
      <c r="I144" s="68">
        <f t="shared" si="57"/>
        <v>0.35333333333333333</v>
      </c>
      <c r="J144" s="24"/>
      <c r="K144" s="24"/>
      <c r="L144" s="48">
        <f>(5300000*721)/6099</f>
        <v>626545.33530086896</v>
      </c>
      <c r="M144" s="79">
        <f t="shared" si="59"/>
        <v>0.11821610100016396</v>
      </c>
      <c r="N144" s="48">
        <f>(5300000*3700)/6099</f>
        <v>3215281.1936383015</v>
      </c>
      <c r="O144" s="79">
        <f t="shared" si="60"/>
        <v>0.60665682898835871</v>
      </c>
      <c r="P144" s="48">
        <f>(5300000*419)/6099</f>
        <v>364108.87030660763</v>
      </c>
      <c r="Q144" s="79">
        <f t="shared" si="61"/>
        <v>6.8699786850303327E-2</v>
      </c>
      <c r="R144" s="48">
        <f>(5300000*1259)/6099</f>
        <v>1094064.6007542219</v>
      </c>
      <c r="S144" s="79">
        <f t="shared" si="62"/>
        <v>0.20642728316117395</v>
      </c>
    </row>
    <row r="145" spans="1:19" s="2" customFormat="1" ht="72" x14ac:dyDescent="0.3">
      <c r="B145" s="39">
        <v>7</v>
      </c>
      <c r="C145" s="40" t="s">
        <v>95</v>
      </c>
      <c r="D145" s="56" t="s">
        <v>57</v>
      </c>
      <c r="E145" s="32">
        <v>18000000</v>
      </c>
      <c r="F145" s="32">
        <v>10600000</v>
      </c>
      <c r="G145" s="68">
        <f t="shared" si="56"/>
        <v>0.58888888888888891</v>
      </c>
      <c r="H145" s="32">
        <v>10600000</v>
      </c>
      <c r="I145" s="68">
        <f t="shared" si="57"/>
        <v>0.58888888888888891</v>
      </c>
      <c r="J145" s="24"/>
      <c r="K145" s="24"/>
      <c r="L145" s="48">
        <f>(10600000*721)/6099</f>
        <v>1253090.6706017379</v>
      </c>
      <c r="M145" s="79">
        <f t="shared" si="59"/>
        <v>0.11821610100016396</v>
      </c>
      <c r="N145" s="48">
        <f>(10600000*3700)/6099</f>
        <v>6430562.3872766029</v>
      </c>
      <c r="O145" s="79">
        <f t="shared" si="60"/>
        <v>0.60665682898835871</v>
      </c>
      <c r="P145" s="48">
        <f>(10600000*419)/6099</f>
        <v>728217.74061321525</v>
      </c>
      <c r="Q145" s="79">
        <f t="shared" si="61"/>
        <v>6.8699786850303327E-2</v>
      </c>
      <c r="R145" s="48">
        <f>(10600000*1259)/6099</f>
        <v>2188129.2015084438</v>
      </c>
      <c r="S145" s="79">
        <f t="shared" si="62"/>
        <v>0.20642728316117395</v>
      </c>
    </row>
    <row r="146" spans="1:19" s="2" customFormat="1" ht="27.75" customHeight="1" x14ac:dyDescent="0.3">
      <c r="A146"/>
      <c r="B146" s="15"/>
      <c r="C146" s="15"/>
      <c r="D146" s="56"/>
      <c r="E146" s="32"/>
      <c r="F146" s="32"/>
      <c r="G146" s="68"/>
      <c r="H146" s="32"/>
      <c r="I146" s="68"/>
      <c r="J146" s="24"/>
      <c r="K146" s="24"/>
      <c r="L146" s="37"/>
      <c r="M146" s="80"/>
      <c r="N146" s="38"/>
      <c r="O146" s="83"/>
      <c r="P146" s="37"/>
      <c r="Q146" s="80"/>
      <c r="R146" s="37"/>
      <c r="S146" s="80"/>
    </row>
    <row r="147" spans="1:19" ht="27.75" customHeight="1" x14ac:dyDescent="0.3">
      <c r="B147" s="88" t="s">
        <v>88</v>
      </c>
      <c r="C147" s="89"/>
      <c r="D147" s="90"/>
      <c r="E147" s="84">
        <f>+E5+E38+E51+E114+E126+E130+E133</f>
        <v>65550704821</v>
      </c>
      <c r="F147" s="84">
        <f>+F5+F38+F51+F114+F126+F130+F133</f>
        <v>39868185135</v>
      </c>
      <c r="G147" s="85">
        <f t="shared" si="56"/>
        <v>0.60820375988127773</v>
      </c>
      <c r="H147" s="84">
        <f>+H5+H38+H51+H114+H126+H130+H133</f>
        <v>39665768413</v>
      </c>
      <c r="I147" s="85">
        <f t="shared" si="57"/>
        <v>0.60511581868289188</v>
      </c>
      <c r="J147" s="25"/>
      <c r="K147" s="25"/>
      <c r="L147" s="84">
        <f>+L5+L38+L51+L114+L126+L133+L130</f>
        <v>3487817346.58111</v>
      </c>
      <c r="M147" s="85">
        <f t="shared" si="59"/>
        <v>8.7483725049705849E-2</v>
      </c>
      <c r="N147" s="84">
        <f>+N5+N38+N51+N114+N126+N133+N130</f>
        <v>17205017102.915363</v>
      </c>
      <c r="O147" s="85">
        <f t="shared" si="60"/>
        <v>0.43154753708142085</v>
      </c>
      <c r="P147" s="84">
        <f>+P5+P38+P51+P114+P126+P133+P130</f>
        <v>16419539170.854416</v>
      </c>
      <c r="Q147" s="85">
        <f t="shared" si="61"/>
        <v>0.41184566378567899</v>
      </c>
      <c r="R147" s="84">
        <f>+R5+R38+R51+R114+R126+R133+R130</f>
        <v>2755811514.649107</v>
      </c>
      <c r="S147" s="85">
        <f t="shared" si="62"/>
        <v>6.9123074083194208E-2</v>
      </c>
    </row>
    <row r="149" spans="1:19" x14ac:dyDescent="0.3">
      <c r="N149" s="7">
        <f>+L147+N147+P147+R147-F147</f>
        <v>0</v>
      </c>
    </row>
    <row r="155" spans="1:19" x14ac:dyDescent="0.3">
      <c r="N155" s="7"/>
    </row>
  </sheetData>
  <mergeCells count="3">
    <mergeCell ref="D3:H3"/>
    <mergeCell ref="L3:S3"/>
    <mergeCell ref="B147:D14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2023</vt:lpstr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Raul camelo</cp:lastModifiedBy>
  <dcterms:created xsi:type="dcterms:W3CDTF">2023-06-24T16:29:09Z</dcterms:created>
  <dcterms:modified xsi:type="dcterms:W3CDTF">2023-06-30T21:44:32Z</dcterms:modified>
</cp:coreProperties>
</file>