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finitivo\"/>
    </mc:Choice>
  </mc:AlternateContent>
  <bookViews>
    <workbookView xWindow="-120" yWindow="-120" windowWidth="20736" windowHeight="11160"/>
  </bookViews>
  <sheets>
    <sheet name="2022" sheetId="3" r:id="rId1"/>
    <sheet name="Hoja1" sheetId="13" r:id="rId2"/>
    <sheet name="Hoja2" sheetId="10" r:id="rId3"/>
    <sheet name="Hoja3" sheetId="11" r:id="rId4"/>
  </sheets>
  <definedNames>
    <definedName name="_xlnm._FilterDatabase" localSheetId="0" hidden="1">'2022'!$A$4:$AT$206</definedName>
    <definedName name="AMAZONAS">#REF!</definedName>
    <definedName name="ANTIOQUIA">#REF!</definedName>
    <definedName name="ARAUCA">#REF!</definedName>
    <definedName name="_xlnm.Print_Area" localSheetId="0">'2022'!#REF!</definedName>
    <definedName name="ATLÁNTICO">#REF!</definedName>
    <definedName name="BOGOTÁ">#REF!</definedName>
    <definedName name="BOLÍVAR">#REF!</definedName>
    <definedName name="BOYACÁ">#REF!</definedName>
    <definedName name="CALDAS">#REF!</definedName>
    <definedName name="CAQUETÁ">#REF!</definedName>
    <definedName name="CASANARE">#REF!</definedName>
    <definedName name="CAUCA">#REF!</definedName>
    <definedName name="CESAR">#REF!</definedName>
    <definedName name="CHOCÓ">#REF!</definedName>
    <definedName name="CÓRDOBA">#REF!</definedName>
    <definedName name="CUNDINAMARCA">#REF!</definedName>
    <definedName name="DEPARTAMENTO">#REF!</definedName>
    <definedName name="DEPTO">#REF!</definedName>
    <definedName name="GUAINÍA">#REF!</definedName>
    <definedName name="GUAVIARE">#REF!</definedName>
    <definedName name="HUILA">#REF!</definedName>
    <definedName name="LA_GUAJIRA">#REF!</definedName>
    <definedName name="MAGDALENA">#REF!</definedName>
    <definedName name="META">#REF!</definedName>
    <definedName name="NARIÑO">#REF!</definedName>
    <definedName name="NORTE_DE_SANTANDER">#REF!</definedName>
    <definedName name="PUTUMAYO">#REF!</definedName>
    <definedName name="QUINDÍO">#REF!</definedName>
    <definedName name="RISARALDA">#REF!</definedName>
    <definedName name="SAN_ANDRÉS">#REF!</definedName>
    <definedName name="SANTANDER">#REF!</definedName>
    <definedName name="SUCRE">#REF!</definedName>
    <definedName name="TOLIMA">#REF!</definedName>
    <definedName name="VALLE_DEL_CAUCA">#REF!</definedName>
    <definedName name="VAUPÉS">#REF!</definedName>
    <definedName name="VICHADA">#REF!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65" i="3" l="1"/>
  <c r="Q164" i="3"/>
  <c r="Q167" i="3"/>
  <c r="Q166" i="3"/>
  <c r="Q169" i="3"/>
  <c r="Q168" i="3"/>
  <c r="Q171" i="3"/>
  <c r="Q172" i="3"/>
  <c r="Q173" i="3"/>
  <c r="Q170" i="3"/>
  <c r="Q175" i="3"/>
  <c r="Q174" i="3"/>
  <c r="Q177" i="3"/>
  <c r="Q178" i="3"/>
  <c r="Q179" i="3"/>
  <c r="Q176" i="3"/>
  <c r="Q163" i="3"/>
  <c r="O165" i="3"/>
  <c r="O164" i="3"/>
  <c r="O167" i="3"/>
  <c r="O166" i="3"/>
  <c r="O169" i="3"/>
  <c r="O168" i="3"/>
  <c r="O171" i="3"/>
  <c r="O172" i="3"/>
  <c r="O173" i="3"/>
  <c r="O170" i="3"/>
  <c r="O175" i="3"/>
  <c r="O174" i="3"/>
  <c r="O177" i="3"/>
  <c r="O178" i="3"/>
  <c r="O179" i="3"/>
  <c r="O176" i="3"/>
  <c r="O163" i="3"/>
  <c r="M165" i="3"/>
  <c r="M164" i="3"/>
  <c r="M167" i="3"/>
  <c r="M166" i="3"/>
  <c r="M169" i="3"/>
  <c r="M168" i="3"/>
  <c r="M171" i="3"/>
  <c r="M172" i="3"/>
  <c r="M173" i="3"/>
  <c r="M170" i="3"/>
  <c r="M175" i="3"/>
  <c r="M174" i="3"/>
  <c r="M177" i="3"/>
  <c r="M178" i="3"/>
  <c r="M179" i="3"/>
  <c r="M176" i="3"/>
  <c r="M163" i="3"/>
  <c r="K165" i="3"/>
  <c r="K164" i="3"/>
  <c r="K167" i="3"/>
  <c r="K166" i="3"/>
  <c r="K169" i="3"/>
  <c r="K168" i="3"/>
  <c r="K171" i="3"/>
  <c r="K172" i="3"/>
  <c r="K173" i="3"/>
  <c r="K170" i="3"/>
  <c r="K175" i="3"/>
  <c r="K174" i="3"/>
  <c r="K177" i="3"/>
  <c r="K178" i="3"/>
  <c r="K179" i="3"/>
  <c r="K176" i="3"/>
  <c r="K163" i="3"/>
  <c r="K7" i="3"/>
  <c r="K8" i="3"/>
  <c r="K6" i="3"/>
  <c r="K10" i="3"/>
  <c r="K11" i="3"/>
  <c r="K12" i="3"/>
  <c r="K13" i="3"/>
  <c r="K9" i="3"/>
  <c r="K15" i="3"/>
  <c r="K16" i="3"/>
  <c r="K14" i="3"/>
  <c r="K18" i="3"/>
  <c r="K19" i="3"/>
  <c r="K20" i="3"/>
  <c r="K17" i="3"/>
  <c r="K22" i="3"/>
  <c r="K24" i="3"/>
  <c r="K25" i="3"/>
  <c r="K26" i="3"/>
  <c r="K21" i="3"/>
  <c r="K28" i="3"/>
  <c r="K29" i="3"/>
  <c r="K30" i="3"/>
  <c r="K31" i="3"/>
  <c r="K27" i="3"/>
  <c r="K32" i="3"/>
  <c r="K35" i="3"/>
  <c r="K34" i="3"/>
  <c r="K37" i="3"/>
  <c r="K36" i="3"/>
  <c r="K38" i="3"/>
  <c r="K42" i="3"/>
  <c r="K41" i="3"/>
  <c r="K44" i="3"/>
  <c r="K43" i="3"/>
  <c r="K46" i="3"/>
  <c r="K45" i="3"/>
  <c r="K48" i="3"/>
  <c r="K49" i="3"/>
  <c r="K47" i="3"/>
  <c r="K51" i="3"/>
  <c r="K50" i="3"/>
  <c r="K53" i="3"/>
  <c r="K54" i="3"/>
  <c r="K55" i="3"/>
  <c r="K56" i="3"/>
  <c r="K57" i="3"/>
  <c r="K58" i="3"/>
  <c r="K59" i="3"/>
  <c r="K60" i="3"/>
  <c r="K52" i="3"/>
  <c r="K62" i="3"/>
  <c r="K61" i="3"/>
  <c r="K5" i="3"/>
  <c r="K65" i="3"/>
  <c r="K64" i="3"/>
  <c r="K66" i="3"/>
  <c r="K70" i="3"/>
  <c r="K69" i="3"/>
  <c r="K72" i="3"/>
  <c r="K73" i="3"/>
  <c r="K71" i="3"/>
  <c r="K74" i="3"/>
  <c r="K78" i="3"/>
  <c r="K77" i="3"/>
  <c r="K63" i="3"/>
  <c r="K80" i="3"/>
  <c r="K84" i="3"/>
  <c r="K87" i="3"/>
  <c r="K92" i="3"/>
  <c r="K89" i="3"/>
  <c r="K95" i="3"/>
  <c r="K100" i="3"/>
  <c r="K107" i="3"/>
  <c r="K109" i="3"/>
  <c r="K111" i="3"/>
  <c r="K113" i="3"/>
  <c r="K115" i="3"/>
  <c r="K117" i="3"/>
  <c r="K122" i="3"/>
  <c r="K124" i="3"/>
  <c r="K121" i="3"/>
  <c r="K126" i="3"/>
  <c r="K128" i="3"/>
  <c r="K125" i="3"/>
  <c r="K129" i="3"/>
  <c r="K132" i="3"/>
  <c r="K135" i="3"/>
  <c r="K137" i="3"/>
  <c r="K142" i="3"/>
  <c r="K144" i="3"/>
  <c r="K146" i="3"/>
  <c r="K148" i="3"/>
  <c r="K150" i="3"/>
  <c r="K153" i="3"/>
  <c r="K156" i="3"/>
  <c r="K161" i="3"/>
  <c r="K79" i="3"/>
  <c r="K181" i="3"/>
  <c r="K180" i="3"/>
  <c r="K185" i="3"/>
  <c r="K184" i="3"/>
  <c r="K190" i="3"/>
  <c r="K191" i="3"/>
  <c r="K189" i="3"/>
  <c r="K193" i="3"/>
  <c r="K194" i="3"/>
  <c r="K195" i="3"/>
  <c r="K192" i="3"/>
  <c r="K197" i="3"/>
  <c r="K198" i="3"/>
  <c r="K199" i="3"/>
  <c r="K200" i="3"/>
  <c r="K196" i="3"/>
  <c r="K201" i="3"/>
  <c r="K188" i="3"/>
  <c r="K206" i="3"/>
  <c r="M7" i="3"/>
  <c r="M8" i="3"/>
  <c r="M6" i="3"/>
  <c r="M10" i="3"/>
  <c r="M11" i="3"/>
  <c r="M12" i="3"/>
  <c r="M13" i="3"/>
  <c r="M9" i="3"/>
  <c r="M15" i="3"/>
  <c r="M16" i="3"/>
  <c r="M14" i="3"/>
  <c r="M18" i="3"/>
  <c r="M19" i="3"/>
  <c r="M20" i="3"/>
  <c r="M17" i="3"/>
  <c r="M22" i="3"/>
  <c r="M24" i="3"/>
  <c r="M25" i="3"/>
  <c r="M26" i="3"/>
  <c r="M21" i="3"/>
  <c r="M28" i="3"/>
  <c r="M29" i="3"/>
  <c r="M30" i="3"/>
  <c r="M31" i="3"/>
  <c r="M27" i="3"/>
  <c r="M32" i="3"/>
  <c r="M35" i="3"/>
  <c r="M34" i="3"/>
  <c r="M37" i="3"/>
  <c r="M36" i="3"/>
  <c r="M38" i="3"/>
  <c r="M41" i="3"/>
  <c r="M44" i="3"/>
  <c r="M43" i="3"/>
  <c r="M46" i="3"/>
  <c r="M45" i="3"/>
  <c r="M48" i="3"/>
  <c r="M49" i="3"/>
  <c r="M47" i="3"/>
  <c r="M51" i="3"/>
  <c r="M50" i="3"/>
  <c r="M53" i="3"/>
  <c r="M54" i="3"/>
  <c r="M55" i="3"/>
  <c r="M56" i="3"/>
  <c r="M57" i="3"/>
  <c r="M58" i="3"/>
  <c r="M59" i="3"/>
  <c r="M60" i="3"/>
  <c r="M52" i="3"/>
  <c r="M62" i="3"/>
  <c r="M61" i="3"/>
  <c r="M5" i="3"/>
  <c r="M65" i="3"/>
  <c r="M64" i="3"/>
  <c r="M67" i="3"/>
  <c r="M68" i="3"/>
  <c r="M66" i="3"/>
  <c r="M70" i="3"/>
  <c r="M69" i="3"/>
  <c r="M72" i="3"/>
  <c r="M73" i="3"/>
  <c r="M71" i="3"/>
  <c r="M74" i="3"/>
  <c r="M78" i="3"/>
  <c r="M77" i="3"/>
  <c r="M63" i="3"/>
  <c r="M80" i="3"/>
  <c r="M84" i="3"/>
  <c r="M87" i="3"/>
  <c r="M92" i="3"/>
  <c r="M89" i="3"/>
  <c r="M95" i="3"/>
  <c r="M100" i="3"/>
  <c r="M107" i="3"/>
  <c r="M109" i="3"/>
  <c r="M111" i="3"/>
  <c r="M113" i="3"/>
  <c r="M115" i="3"/>
  <c r="M117" i="3"/>
  <c r="M122" i="3"/>
  <c r="M124" i="3"/>
  <c r="M121" i="3"/>
  <c r="M126" i="3"/>
  <c r="M128" i="3"/>
  <c r="M125" i="3"/>
  <c r="M129" i="3"/>
  <c r="M132" i="3"/>
  <c r="M135" i="3"/>
  <c r="M137" i="3"/>
  <c r="M142" i="3"/>
  <c r="M144" i="3"/>
  <c r="M146" i="3"/>
  <c r="M148" i="3"/>
  <c r="M150" i="3"/>
  <c r="M153" i="3"/>
  <c r="M156" i="3"/>
  <c r="M161" i="3"/>
  <c r="M79" i="3"/>
  <c r="M181" i="3"/>
  <c r="M180" i="3"/>
  <c r="M186" i="3"/>
  <c r="M187" i="3"/>
  <c r="M185" i="3"/>
  <c r="M184" i="3"/>
  <c r="M190" i="3"/>
  <c r="M191" i="3"/>
  <c r="M189" i="3"/>
  <c r="M193" i="3"/>
  <c r="M194" i="3"/>
  <c r="M195" i="3"/>
  <c r="M192" i="3"/>
  <c r="M197" i="3"/>
  <c r="M198" i="3"/>
  <c r="M199" i="3"/>
  <c r="M200" i="3"/>
  <c r="M196" i="3"/>
  <c r="M202" i="3"/>
  <c r="M203" i="3"/>
  <c r="M204" i="3"/>
  <c r="M205" i="3"/>
  <c r="M201" i="3"/>
  <c r="M188" i="3"/>
  <c r="M206" i="3"/>
  <c r="O7" i="3"/>
  <c r="O8" i="3"/>
  <c r="O6" i="3"/>
  <c r="O10" i="3"/>
  <c r="O11" i="3"/>
  <c r="O12" i="3"/>
  <c r="O13" i="3"/>
  <c r="O9" i="3"/>
  <c r="O15" i="3"/>
  <c r="O16" i="3"/>
  <c r="O14" i="3"/>
  <c r="O18" i="3"/>
  <c r="O19" i="3"/>
  <c r="O20" i="3"/>
  <c r="O17" i="3"/>
  <c r="O22" i="3"/>
  <c r="O24" i="3"/>
  <c r="O25" i="3"/>
  <c r="O26" i="3"/>
  <c r="O21" i="3"/>
  <c r="O28" i="3"/>
  <c r="O29" i="3"/>
  <c r="O30" i="3"/>
  <c r="O31" i="3"/>
  <c r="O27" i="3"/>
  <c r="O33" i="3"/>
  <c r="O32" i="3"/>
  <c r="O35" i="3"/>
  <c r="O34" i="3"/>
  <c r="O37" i="3"/>
  <c r="O36" i="3"/>
  <c r="O39" i="3"/>
  <c r="O40" i="3"/>
  <c r="O38" i="3"/>
  <c r="O41" i="3"/>
  <c r="O44" i="3"/>
  <c r="O43" i="3"/>
  <c r="O46" i="3"/>
  <c r="O45" i="3"/>
  <c r="O48" i="3"/>
  <c r="O49" i="3"/>
  <c r="O47" i="3"/>
  <c r="O51" i="3"/>
  <c r="O50" i="3"/>
  <c r="O53" i="3"/>
  <c r="O54" i="3"/>
  <c r="O55" i="3"/>
  <c r="O56" i="3"/>
  <c r="O57" i="3"/>
  <c r="O58" i="3"/>
  <c r="O59" i="3"/>
  <c r="O60" i="3"/>
  <c r="O52" i="3"/>
  <c r="O62" i="3"/>
  <c r="O61" i="3"/>
  <c r="O5" i="3"/>
  <c r="O65" i="3"/>
  <c r="O64" i="3"/>
  <c r="O67" i="3"/>
  <c r="O68" i="3"/>
  <c r="O66" i="3"/>
  <c r="O70" i="3"/>
  <c r="O69" i="3"/>
  <c r="O72" i="3"/>
  <c r="O73" i="3"/>
  <c r="O71" i="3"/>
  <c r="O74" i="3"/>
  <c r="O78" i="3"/>
  <c r="O77" i="3"/>
  <c r="O63" i="3"/>
  <c r="O80" i="3"/>
  <c r="O84" i="3"/>
  <c r="O87" i="3"/>
  <c r="O92" i="3"/>
  <c r="O89" i="3"/>
  <c r="O95" i="3"/>
  <c r="O100" i="3"/>
  <c r="O107" i="3"/>
  <c r="O109" i="3"/>
  <c r="O111" i="3"/>
  <c r="O113" i="3"/>
  <c r="O115" i="3"/>
  <c r="O117" i="3"/>
  <c r="O122" i="3"/>
  <c r="O124" i="3"/>
  <c r="O121" i="3"/>
  <c r="O126" i="3"/>
  <c r="O128" i="3"/>
  <c r="O125" i="3"/>
  <c r="O129" i="3"/>
  <c r="O132" i="3"/>
  <c r="O135" i="3"/>
  <c r="O137" i="3"/>
  <c r="O142" i="3"/>
  <c r="O144" i="3"/>
  <c r="O146" i="3"/>
  <c r="O148" i="3"/>
  <c r="O150" i="3"/>
  <c r="O153" i="3"/>
  <c r="O156" i="3"/>
  <c r="O161" i="3"/>
  <c r="O79" i="3"/>
  <c r="O181" i="3"/>
  <c r="O180" i="3"/>
  <c r="O186" i="3"/>
  <c r="O187" i="3"/>
  <c r="O185" i="3"/>
  <c r="O184" i="3"/>
  <c r="O190" i="3"/>
  <c r="O191" i="3"/>
  <c r="O189" i="3"/>
  <c r="O193" i="3"/>
  <c r="O194" i="3"/>
  <c r="O195" i="3"/>
  <c r="O192" i="3"/>
  <c r="O197" i="3"/>
  <c r="O198" i="3"/>
  <c r="O199" i="3"/>
  <c r="O200" i="3"/>
  <c r="O196" i="3"/>
  <c r="O202" i="3"/>
  <c r="O204" i="3"/>
  <c r="O201" i="3"/>
  <c r="O188" i="3"/>
  <c r="O206" i="3"/>
  <c r="Q7" i="3"/>
  <c r="Q8" i="3"/>
  <c r="Q6" i="3"/>
  <c r="Q10" i="3"/>
  <c r="Q11" i="3"/>
  <c r="Q12" i="3"/>
  <c r="Q13" i="3"/>
  <c r="Q9" i="3"/>
  <c r="Q14" i="3"/>
  <c r="Q17" i="3"/>
  <c r="Q22" i="3"/>
  <c r="Q24" i="3"/>
  <c r="Q25" i="3"/>
  <c r="Q26" i="3"/>
  <c r="Q21" i="3"/>
  <c r="Q28" i="3"/>
  <c r="Q29" i="3"/>
  <c r="Q30" i="3"/>
  <c r="Q31" i="3"/>
  <c r="Q27" i="3"/>
  <c r="Q32" i="3"/>
  <c r="Q34" i="3"/>
  <c r="Q36" i="3"/>
  <c r="Q38" i="3"/>
  <c r="Q41" i="3"/>
  <c r="Q43" i="3"/>
  <c r="Q45" i="3"/>
  <c r="Q47" i="3"/>
  <c r="Q51" i="3"/>
  <c r="Q50" i="3"/>
  <c r="Q53" i="3"/>
  <c r="Q54" i="3"/>
  <c r="Q55" i="3"/>
  <c r="Q56" i="3"/>
  <c r="Q57" i="3"/>
  <c r="Q58" i="3"/>
  <c r="Q59" i="3"/>
  <c r="Q60" i="3"/>
  <c r="Q52" i="3"/>
  <c r="Q61" i="3"/>
  <c r="Q5" i="3"/>
  <c r="Q65" i="3"/>
  <c r="Q64" i="3"/>
  <c r="Q67" i="3"/>
  <c r="Q68" i="3"/>
  <c r="Q66" i="3"/>
  <c r="Q70" i="3"/>
  <c r="Q69" i="3"/>
  <c r="Q72" i="3"/>
  <c r="Q73" i="3"/>
  <c r="Q71" i="3"/>
  <c r="Q74" i="3"/>
  <c r="Q78" i="3"/>
  <c r="Q77" i="3"/>
  <c r="Q63" i="3"/>
  <c r="Q80" i="3"/>
  <c r="Q84" i="3"/>
  <c r="Q87" i="3"/>
  <c r="Q92" i="3"/>
  <c r="Q89" i="3"/>
  <c r="Q95" i="3"/>
  <c r="Q100" i="3"/>
  <c r="Q107" i="3"/>
  <c r="Q109" i="3"/>
  <c r="Q111" i="3"/>
  <c r="Q113" i="3"/>
  <c r="Q115" i="3"/>
  <c r="Q117" i="3"/>
  <c r="Q122" i="3"/>
  <c r="Q124" i="3"/>
  <c r="Q121" i="3"/>
  <c r="Q126" i="3"/>
  <c r="Q128" i="3"/>
  <c r="Q125" i="3"/>
  <c r="Q129" i="3"/>
  <c r="Q132" i="3"/>
  <c r="Q135" i="3"/>
  <c r="Q137" i="3"/>
  <c r="Q142" i="3"/>
  <c r="Q144" i="3"/>
  <c r="Q146" i="3"/>
  <c r="Q148" i="3"/>
  <c r="Q150" i="3"/>
  <c r="Q153" i="3"/>
  <c r="Q156" i="3"/>
  <c r="Q161" i="3"/>
  <c r="Q79" i="3"/>
  <c r="Q181" i="3"/>
  <c r="Q180" i="3"/>
  <c r="Q186" i="3"/>
  <c r="Q187" i="3"/>
  <c r="Q185" i="3"/>
  <c r="Q184" i="3"/>
  <c r="Q190" i="3"/>
  <c r="Q191" i="3"/>
  <c r="Q189" i="3"/>
  <c r="Q193" i="3"/>
  <c r="Q194" i="3"/>
  <c r="Q195" i="3"/>
  <c r="Q192" i="3"/>
  <c r="Q197" i="3"/>
  <c r="Q198" i="3"/>
  <c r="Q199" i="3"/>
  <c r="Q200" i="3"/>
  <c r="Q196" i="3"/>
  <c r="Q202" i="3"/>
  <c r="Q203" i="3"/>
  <c r="Q204" i="3"/>
  <c r="Q205" i="3"/>
  <c r="Q201" i="3"/>
  <c r="Q188" i="3"/>
  <c r="Q206" i="3"/>
  <c r="H148" i="3"/>
  <c r="F148" i="3"/>
  <c r="E148" i="3"/>
  <c r="H52" i="3"/>
  <c r="F52" i="3"/>
  <c r="E52" i="3"/>
  <c r="E27" i="3"/>
  <c r="E21" i="3"/>
  <c r="H21" i="3"/>
  <c r="F21" i="3"/>
  <c r="H17" i="3"/>
  <c r="F17" i="3"/>
  <c r="E17" i="3"/>
  <c r="G17" i="3"/>
  <c r="I17" i="3"/>
  <c r="F164" i="3"/>
  <c r="F166" i="3"/>
  <c r="F168" i="3"/>
  <c r="F170" i="3"/>
  <c r="F174" i="3"/>
  <c r="F176" i="3"/>
  <c r="F163" i="3"/>
  <c r="H164" i="3"/>
  <c r="H166" i="3"/>
  <c r="H168" i="3"/>
  <c r="H170" i="3"/>
  <c r="H174" i="3"/>
  <c r="H176" i="3"/>
  <c r="H163" i="3"/>
  <c r="E164" i="3"/>
  <c r="E166" i="3"/>
  <c r="E168" i="3"/>
  <c r="E170" i="3"/>
  <c r="E174" i="3"/>
  <c r="E176" i="3"/>
  <c r="E163" i="3"/>
  <c r="R179" i="3"/>
  <c r="R178" i="3"/>
  <c r="R177" i="3"/>
  <c r="R176" i="3"/>
  <c r="P179" i="3"/>
  <c r="P178" i="3"/>
  <c r="P177" i="3"/>
  <c r="P176" i="3"/>
  <c r="N179" i="3"/>
  <c r="N178" i="3"/>
  <c r="N177" i="3"/>
  <c r="N176" i="3"/>
  <c r="L179" i="3"/>
  <c r="L178" i="3"/>
  <c r="L177" i="3"/>
  <c r="L176" i="3"/>
  <c r="I178" i="3"/>
  <c r="I177" i="3"/>
  <c r="I179" i="3"/>
  <c r="I176" i="3"/>
  <c r="G178" i="3"/>
  <c r="G177" i="3"/>
  <c r="G179" i="3"/>
  <c r="G176" i="3"/>
  <c r="I11" i="3"/>
  <c r="H6" i="3"/>
  <c r="H9" i="3"/>
  <c r="H14" i="3"/>
  <c r="H27" i="3"/>
  <c r="H32" i="3"/>
  <c r="H34" i="3"/>
  <c r="H36" i="3"/>
  <c r="H38" i="3"/>
  <c r="H41" i="3"/>
  <c r="H43" i="3"/>
  <c r="H45" i="3"/>
  <c r="H47" i="3"/>
  <c r="H50" i="3"/>
  <c r="H61" i="3"/>
  <c r="H5" i="3"/>
  <c r="E6" i="3"/>
  <c r="E9" i="3"/>
  <c r="E14" i="3"/>
  <c r="E32" i="3"/>
  <c r="E34" i="3"/>
  <c r="E36" i="3"/>
  <c r="E38" i="3"/>
  <c r="E41" i="3"/>
  <c r="E43" i="3"/>
  <c r="E45" i="3"/>
  <c r="E47" i="3"/>
  <c r="E50" i="3"/>
  <c r="E61" i="3"/>
  <c r="E5" i="3"/>
  <c r="I5" i="3"/>
  <c r="H64" i="3"/>
  <c r="H66" i="3"/>
  <c r="H69" i="3"/>
  <c r="H71" i="3"/>
  <c r="H74" i="3"/>
  <c r="H77" i="3"/>
  <c r="H63" i="3"/>
  <c r="H80" i="3"/>
  <c r="H84" i="3"/>
  <c r="H87" i="3"/>
  <c r="H89" i="3"/>
  <c r="H92" i="3"/>
  <c r="H95" i="3"/>
  <c r="H100" i="3"/>
  <c r="H107" i="3"/>
  <c r="H109" i="3"/>
  <c r="H111" i="3"/>
  <c r="H113" i="3"/>
  <c r="H115" i="3"/>
  <c r="H117" i="3"/>
  <c r="H121" i="3"/>
  <c r="H125" i="3"/>
  <c r="H129" i="3"/>
  <c r="H132" i="3"/>
  <c r="H135" i="3"/>
  <c r="H137" i="3"/>
  <c r="H142" i="3"/>
  <c r="H144" i="3"/>
  <c r="H146" i="3"/>
  <c r="H150" i="3"/>
  <c r="H153" i="3"/>
  <c r="H156" i="3"/>
  <c r="H161" i="3"/>
  <c r="H79" i="3"/>
  <c r="H181" i="3"/>
  <c r="H180" i="3"/>
  <c r="H185" i="3"/>
  <c r="H184" i="3"/>
  <c r="H189" i="3"/>
  <c r="H192" i="3"/>
  <c r="H196" i="3"/>
  <c r="H201" i="3"/>
  <c r="H188" i="3"/>
  <c r="H206" i="3"/>
  <c r="E64" i="3"/>
  <c r="E66" i="3"/>
  <c r="E69" i="3"/>
  <c r="E71" i="3"/>
  <c r="E74" i="3"/>
  <c r="E77" i="3"/>
  <c r="E63" i="3"/>
  <c r="E80" i="3"/>
  <c r="E84" i="3"/>
  <c r="E87" i="3"/>
  <c r="E89" i="3"/>
  <c r="E92" i="3"/>
  <c r="E95" i="3"/>
  <c r="E100" i="3"/>
  <c r="E107" i="3"/>
  <c r="E109" i="3"/>
  <c r="E111" i="3"/>
  <c r="E113" i="3"/>
  <c r="E115" i="3"/>
  <c r="E117" i="3"/>
  <c r="E121" i="3"/>
  <c r="E125" i="3"/>
  <c r="E129" i="3"/>
  <c r="E132" i="3"/>
  <c r="E135" i="3"/>
  <c r="E137" i="3"/>
  <c r="E142" i="3"/>
  <c r="E144" i="3"/>
  <c r="E146" i="3"/>
  <c r="E150" i="3"/>
  <c r="E153" i="3"/>
  <c r="E156" i="3"/>
  <c r="E161" i="3"/>
  <c r="E79" i="3"/>
  <c r="E181" i="3"/>
  <c r="E180" i="3"/>
  <c r="E185" i="3"/>
  <c r="E184" i="3"/>
  <c r="E189" i="3"/>
  <c r="E192" i="3"/>
  <c r="E196" i="3"/>
  <c r="E201" i="3"/>
  <c r="E188" i="3"/>
  <c r="E206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6" i="3"/>
  <c r="I15" i="3"/>
  <c r="I14" i="3"/>
  <c r="I13" i="3"/>
  <c r="I12" i="3"/>
  <c r="I10" i="3"/>
  <c r="I9" i="3"/>
  <c r="I8" i="3"/>
  <c r="I7" i="3"/>
  <c r="I6" i="3"/>
  <c r="G13" i="3"/>
  <c r="R183" i="3"/>
  <c r="R182" i="3"/>
  <c r="R162" i="3"/>
  <c r="R160" i="3"/>
  <c r="R159" i="3"/>
  <c r="R158" i="3"/>
  <c r="R157" i="3"/>
  <c r="R155" i="3"/>
  <c r="R154" i="3"/>
  <c r="R152" i="3"/>
  <c r="R151" i="3"/>
  <c r="R149" i="3"/>
  <c r="R147" i="3"/>
  <c r="R145" i="3"/>
  <c r="R143" i="3"/>
  <c r="R141" i="3"/>
  <c r="R140" i="3"/>
  <c r="R139" i="3"/>
  <c r="R138" i="3"/>
  <c r="R136" i="3"/>
  <c r="R134" i="3"/>
  <c r="R133" i="3"/>
  <c r="R131" i="3"/>
  <c r="R130" i="3"/>
  <c r="R127" i="3"/>
  <c r="R123" i="3"/>
  <c r="R120" i="3"/>
  <c r="R119" i="3"/>
  <c r="R118" i="3"/>
  <c r="R116" i="3"/>
  <c r="R114" i="3"/>
  <c r="R112" i="3"/>
  <c r="R110" i="3"/>
  <c r="R108" i="3"/>
  <c r="R106" i="3"/>
  <c r="R105" i="3"/>
  <c r="R104" i="3"/>
  <c r="R103" i="3"/>
  <c r="R102" i="3"/>
  <c r="R101" i="3"/>
  <c r="R99" i="3"/>
  <c r="R98" i="3"/>
  <c r="R97" i="3"/>
  <c r="R96" i="3"/>
  <c r="R94" i="3"/>
  <c r="R93" i="3"/>
  <c r="R91" i="3"/>
  <c r="R90" i="3"/>
  <c r="R88" i="3"/>
  <c r="R86" i="3"/>
  <c r="R85" i="3"/>
  <c r="R83" i="3"/>
  <c r="R82" i="3"/>
  <c r="R81" i="3"/>
  <c r="R76" i="3"/>
  <c r="R75" i="3"/>
  <c r="R62" i="3"/>
  <c r="R49" i="3"/>
  <c r="R48" i="3"/>
  <c r="R46" i="3"/>
  <c r="R44" i="3"/>
  <c r="R42" i="3"/>
  <c r="R40" i="3"/>
  <c r="R39" i="3"/>
  <c r="R37" i="3"/>
  <c r="R35" i="3"/>
  <c r="R33" i="3"/>
  <c r="R20" i="3"/>
  <c r="R19" i="3"/>
  <c r="R18" i="3"/>
  <c r="R16" i="3"/>
  <c r="R15" i="3"/>
  <c r="P205" i="3"/>
  <c r="P203" i="3"/>
  <c r="P183" i="3"/>
  <c r="P182" i="3"/>
  <c r="P162" i="3"/>
  <c r="P160" i="3"/>
  <c r="P159" i="3"/>
  <c r="P158" i="3"/>
  <c r="P157" i="3"/>
  <c r="P155" i="3"/>
  <c r="P154" i="3"/>
  <c r="P152" i="3"/>
  <c r="P151" i="3"/>
  <c r="P149" i="3"/>
  <c r="P147" i="3"/>
  <c r="P145" i="3"/>
  <c r="P143" i="3"/>
  <c r="P141" i="3"/>
  <c r="P140" i="3"/>
  <c r="P139" i="3"/>
  <c r="P138" i="3"/>
  <c r="P136" i="3"/>
  <c r="P134" i="3"/>
  <c r="P133" i="3"/>
  <c r="P131" i="3"/>
  <c r="P130" i="3"/>
  <c r="P127" i="3"/>
  <c r="P123" i="3"/>
  <c r="P120" i="3"/>
  <c r="P119" i="3"/>
  <c r="P118" i="3"/>
  <c r="P116" i="3"/>
  <c r="P114" i="3"/>
  <c r="P112" i="3"/>
  <c r="P110" i="3"/>
  <c r="P108" i="3"/>
  <c r="P106" i="3"/>
  <c r="P105" i="3"/>
  <c r="P104" i="3"/>
  <c r="P103" i="3"/>
  <c r="P102" i="3"/>
  <c r="P101" i="3"/>
  <c r="P99" i="3"/>
  <c r="P98" i="3"/>
  <c r="P97" i="3"/>
  <c r="P96" i="3"/>
  <c r="P94" i="3"/>
  <c r="P93" i="3"/>
  <c r="P91" i="3"/>
  <c r="P90" i="3"/>
  <c r="P88" i="3"/>
  <c r="P86" i="3"/>
  <c r="P85" i="3"/>
  <c r="P83" i="3"/>
  <c r="P82" i="3"/>
  <c r="P81" i="3"/>
  <c r="P76" i="3"/>
  <c r="P75" i="3"/>
  <c r="P42" i="3"/>
  <c r="N183" i="3"/>
  <c r="N182" i="3"/>
  <c r="N162" i="3"/>
  <c r="N160" i="3"/>
  <c r="N159" i="3"/>
  <c r="N158" i="3"/>
  <c r="N157" i="3"/>
  <c r="N155" i="3"/>
  <c r="N154" i="3"/>
  <c r="N152" i="3"/>
  <c r="N151" i="3"/>
  <c r="N149" i="3"/>
  <c r="N147" i="3"/>
  <c r="N145" i="3"/>
  <c r="N143" i="3"/>
  <c r="N141" i="3"/>
  <c r="N140" i="3"/>
  <c r="N139" i="3"/>
  <c r="N138" i="3"/>
  <c r="N136" i="3"/>
  <c r="N134" i="3"/>
  <c r="N133" i="3"/>
  <c r="N131" i="3"/>
  <c r="N130" i="3"/>
  <c r="N127" i="3"/>
  <c r="N123" i="3"/>
  <c r="N120" i="3"/>
  <c r="N119" i="3"/>
  <c r="N118" i="3"/>
  <c r="N116" i="3"/>
  <c r="N114" i="3"/>
  <c r="N112" i="3"/>
  <c r="N110" i="3"/>
  <c r="N108" i="3"/>
  <c r="N106" i="3"/>
  <c r="N105" i="3"/>
  <c r="N104" i="3"/>
  <c r="N103" i="3"/>
  <c r="N102" i="3"/>
  <c r="N101" i="3"/>
  <c r="N99" i="3"/>
  <c r="N98" i="3"/>
  <c r="N97" i="3"/>
  <c r="N96" i="3"/>
  <c r="N94" i="3"/>
  <c r="N93" i="3"/>
  <c r="N91" i="3"/>
  <c r="N90" i="3"/>
  <c r="N88" i="3"/>
  <c r="N86" i="3"/>
  <c r="N85" i="3"/>
  <c r="N83" i="3"/>
  <c r="N82" i="3"/>
  <c r="N81" i="3"/>
  <c r="N76" i="3"/>
  <c r="N75" i="3"/>
  <c r="N42" i="3"/>
  <c r="N40" i="3"/>
  <c r="N39" i="3"/>
  <c r="N33" i="3"/>
  <c r="L205" i="3"/>
  <c r="L204" i="3"/>
  <c r="L203" i="3"/>
  <c r="L202" i="3"/>
  <c r="L187" i="3"/>
  <c r="L186" i="3"/>
  <c r="L183" i="3"/>
  <c r="L182" i="3"/>
  <c r="L162" i="3"/>
  <c r="L160" i="3"/>
  <c r="L159" i="3"/>
  <c r="L158" i="3"/>
  <c r="L157" i="3"/>
  <c r="L155" i="3"/>
  <c r="L154" i="3"/>
  <c r="L152" i="3"/>
  <c r="L151" i="3"/>
  <c r="L149" i="3"/>
  <c r="L147" i="3"/>
  <c r="L145" i="3"/>
  <c r="L143" i="3"/>
  <c r="L141" i="3"/>
  <c r="L140" i="3"/>
  <c r="L139" i="3"/>
  <c r="L138" i="3"/>
  <c r="L136" i="3"/>
  <c r="L134" i="3"/>
  <c r="L133" i="3"/>
  <c r="L131" i="3"/>
  <c r="L130" i="3"/>
  <c r="L127" i="3"/>
  <c r="L123" i="3"/>
  <c r="L120" i="3"/>
  <c r="L119" i="3"/>
  <c r="L118" i="3"/>
  <c r="L116" i="3"/>
  <c r="L114" i="3"/>
  <c r="L112" i="3"/>
  <c r="L110" i="3"/>
  <c r="L108" i="3"/>
  <c r="L106" i="3"/>
  <c r="L105" i="3"/>
  <c r="L104" i="3"/>
  <c r="L103" i="3"/>
  <c r="L102" i="3"/>
  <c r="L101" i="3"/>
  <c r="L99" i="3"/>
  <c r="L98" i="3"/>
  <c r="L97" i="3"/>
  <c r="L96" i="3"/>
  <c r="L94" i="3"/>
  <c r="L93" i="3"/>
  <c r="L91" i="3"/>
  <c r="L90" i="3"/>
  <c r="L88" i="3"/>
  <c r="L86" i="3"/>
  <c r="L85" i="3"/>
  <c r="L83" i="3"/>
  <c r="L82" i="3"/>
  <c r="L81" i="3"/>
  <c r="L76" i="3"/>
  <c r="L75" i="3"/>
  <c r="L68" i="3"/>
  <c r="L67" i="3"/>
  <c r="L40" i="3"/>
  <c r="L39" i="3"/>
  <c r="L33" i="3"/>
  <c r="G205" i="3"/>
  <c r="G204" i="3"/>
  <c r="G203" i="3"/>
  <c r="G202" i="3"/>
  <c r="G200" i="3"/>
  <c r="G199" i="3"/>
  <c r="G198" i="3"/>
  <c r="G197" i="3"/>
  <c r="G195" i="3"/>
  <c r="G194" i="3"/>
  <c r="G193" i="3"/>
  <c r="G191" i="3"/>
  <c r="G190" i="3"/>
  <c r="G187" i="3"/>
  <c r="G186" i="3"/>
  <c r="G183" i="3"/>
  <c r="G182" i="3"/>
  <c r="G175" i="3"/>
  <c r="G173" i="3"/>
  <c r="G172" i="3"/>
  <c r="G171" i="3"/>
  <c r="G169" i="3"/>
  <c r="G167" i="3"/>
  <c r="G165" i="3"/>
  <c r="G162" i="3"/>
  <c r="G160" i="3"/>
  <c r="G159" i="3"/>
  <c r="G158" i="3"/>
  <c r="G157" i="3"/>
  <c r="G155" i="3"/>
  <c r="G154" i="3"/>
  <c r="G152" i="3"/>
  <c r="G151" i="3"/>
  <c r="G149" i="3"/>
  <c r="G147" i="3"/>
  <c r="G145" i="3"/>
  <c r="G143" i="3"/>
  <c r="G141" i="3"/>
  <c r="G140" i="3"/>
  <c r="G139" i="3"/>
  <c r="G138" i="3"/>
  <c r="G136" i="3"/>
  <c r="G134" i="3"/>
  <c r="G133" i="3"/>
  <c r="G131" i="3"/>
  <c r="G130" i="3"/>
  <c r="G128" i="3"/>
  <c r="G127" i="3"/>
  <c r="G126" i="3"/>
  <c r="G124" i="3"/>
  <c r="G123" i="3"/>
  <c r="G122" i="3"/>
  <c r="G120" i="3"/>
  <c r="G119" i="3"/>
  <c r="G118" i="3"/>
  <c r="G116" i="3"/>
  <c r="G114" i="3"/>
  <c r="G112" i="3"/>
  <c r="G110" i="3"/>
  <c r="G108" i="3"/>
  <c r="G106" i="3"/>
  <c r="G105" i="3"/>
  <c r="G104" i="3"/>
  <c r="G103" i="3"/>
  <c r="G102" i="3"/>
  <c r="G101" i="3"/>
  <c r="G99" i="3"/>
  <c r="G98" i="3"/>
  <c r="G97" i="3"/>
  <c r="G96" i="3"/>
  <c r="G94" i="3"/>
  <c r="G93" i="3"/>
  <c r="G91" i="3"/>
  <c r="G90" i="3"/>
  <c r="G88" i="3"/>
  <c r="G86" i="3"/>
  <c r="G85" i="3"/>
  <c r="G83" i="3"/>
  <c r="G82" i="3"/>
  <c r="G81" i="3"/>
  <c r="G78" i="3"/>
  <c r="G76" i="3"/>
  <c r="G75" i="3"/>
  <c r="G73" i="3"/>
  <c r="G72" i="3"/>
  <c r="G70" i="3"/>
  <c r="G68" i="3"/>
  <c r="G67" i="3"/>
  <c r="G65" i="3"/>
  <c r="G62" i="3"/>
  <c r="G60" i="3"/>
  <c r="G59" i="3"/>
  <c r="G58" i="3"/>
  <c r="G57" i="3"/>
  <c r="G56" i="3"/>
  <c r="G55" i="3"/>
  <c r="G54" i="3"/>
  <c r="G53" i="3"/>
  <c r="G51" i="3"/>
  <c r="G49" i="3"/>
  <c r="G48" i="3"/>
  <c r="G46" i="3"/>
  <c r="G44" i="3"/>
  <c r="G42" i="3"/>
  <c r="G40" i="3"/>
  <c r="G39" i="3"/>
  <c r="G37" i="3"/>
  <c r="G35" i="3"/>
  <c r="G33" i="3"/>
  <c r="G31" i="3"/>
  <c r="G30" i="3"/>
  <c r="G29" i="3"/>
  <c r="G28" i="3"/>
  <c r="G26" i="3"/>
  <c r="G25" i="3"/>
  <c r="G24" i="3"/>
  <c r="G23" i="3"/>
  <c r="G22" i="3"/>
  <c r="G20" i="3"/>
  <c r="G19" i="3"/>
  <c r="G18" i="3"/>
  <c r="G16" i="3"/>
  <c r="G15" i="3"/>
  <c r="G12" i="3"/>
  <c r="G11" i="3"/>
  <c r="G10" i="3"/>
  <c r="G8" i="3"/>
  <c r="G7" i="3"/>
  <c r="R78" i="3"/>
  <c r="P78" i="3"/>
  <c r="N78" i="3"/>
  <c r="L78" i="3"/>
  <c r="P190" i="3"/>
  <c r="N190" i="3"/>
  <c r="N197" i="3"/>
  <c r="N193" i="3"/>
  <c r="R205" i="3"/>
  <c r="N205" i="3"/>
  <c r="R204" i="3"/>
  <c r="P204" i="3"/>
  <c r="N204" i="3"/>
  <c r="R203" i="3"/>
  <c r="N203" i="3"/>
  <c r="R202" i="3"/>
  <c r="P202" i="3"/>
  <c r="N202" i="3"/>
  <c r="R200" i="3"/>
  <c r="P200" i="3"/>
  <c r="N200" i="3"/>
  <c r="L200" i="3"/>
  <c r="R199" i="3"/>
  <c r="P199" i="3"/>
  <c r="N199" i="3"/>
  <c r="L199" i="3"/>
  <c r="R198" i="3"/>
  <c r="P198" i="3"/>
  <c r="N198" i="3"/>
  <c r="L198" i="3"/>
  <c r="L197" i="3"/>
  <c r="R195" i="3"/>
  <c r="P195" i="3"/>
  <c r="N195" i="3"/>
  <c r="L195" i="3"/>
  <c r="R194" i="3"/>
  <c r="P194" i="3"/>
  <c r="N194" i="3"/>
  <c r="L194" i="3"/>
  <c r="L193" i="3"/>
  <c r="P197" i="3"/>
  <c r="P193" i="3"/>
  <c r="R197" i="3"/>
  <c r="R193" i="3"/>
  <c r="S78" i="3"/>
  <c r="F77" i="3"/>
  <c r="F74" i="3"/>
  <c r="F71" i="3"/>
  <c r="F69" i="3"/>
  <c r="F66" i="3"/>
  <c r="L66" i="3"/>
  <c r="R77" i="3"/>
  <c r="L77" i="3"/>
  <c r="P77" i="3"/>
  <c r="N77" i="3"/>
  <c r="P74" i="3"/>
  <c r="L74" i="3"/>
  <c r="R74" i="3"/>
  <c r="N74" i="3"/>
  <c r="F156" i="3"/>
  <c r="F153" i="3"/>
  <c r="F150" i="3"/>
  <c r="F137" i="3"/>
  <c r="P153" i="3"/>
  <c r="L153" i="3"/>
  <c r="R153" i="3"/>
  <c r="N153" i="3"/>
  <c r="G170" i="3"/>
  <c r="P150" i="3"/>
  <c r="L150" i="3"/>
  <c r="R150" i="3"/>
  <c r="N150" i="3"/>
  <c r="L148" i="3"/>
  <c r="R148" i="3"/>
  <c r="N148" i="3"/>
  <c r="P148" i="3"/>
  <c r="L137" i="3"/>
  <c r="P137" i="3"/>
  <c r="R137" i="3"/>
  <c r="N137" i="3"/>
  <c r="P156" i="3"/>
  <c r="L156" i="3"/>
  <c r="R156" i="3"/>
  <c r="N156" i="3"/>
  <c r="G150" i="3"/>
  <c r="G148" i="3"/>
  <c r="G137" i="3"/>
  <c r="G156" i="3"/>
  <c r="G153" i="3"/>
  <c r="F132" i="3"/>
  <c r="F129" i="3"/>
  <c r="F125" i="3"/>
  <c r="F121" i="3"/>
  <c r="F117" i="3"/>
  <c r="F100" i="3"/>
  <c r="F95" i="3"/>
  <c r="G121" i="3"/>
  <c r="L132" i="3"/>
  <c r="P132" i="3"/>
  <c r="R132" i="3"/>
  <c r="N132" i="3"/>
  <c r="L100" i="3"/>
  <c r="P100" i="3"/>
  <c r="R100" i="3"/>
  <c r="N100" i="3"/>
  <c r="G125" i="3"/>
  <c r="R117" i="3"/>
  <c r="N117" i="3"/>
  <c r="L117" i="3"/>
  <c r="P117" i="3"/>
  <c r="P129" i="3"/>
  <c r="R129" i="3"/>
  <c r="N129" i="3"/>
  <c r="L129" i="3"/>
  <c r="G117" i="3"/>
  <c r="G129" i="3"/>
  <c r="G100" i="3"/>
  <c r="G132" i="3"/>
  <c r="G95" i="3"/>
  <c r="F92" i="3"/>
  <c r="F89" i="3"/>
  <c r="F84" i="3"/>
  <c r="F80" i="3"/>
  <c r="L84" i="3"/>
  <c r="P84" i="3"/>
  <c r="R84" i="3"/>
  <c r="N84" i="3"/>
  <c r="P92" i="3"/>
  <c r="R92" i="3"/>
  <c r="N92" i="3"/>
  <c r="L92" i="3"/>
  <c r="P80" i="3"/>
  <c r="R80" i="3"/>
  <c r="N80" i="3"/>
  <c r="L80" i="3"/>
  <c r="R89" i="3"/>
  <c r="N89" i="3"/>
  <c r="L89" i="3"/>
  <c r="P89" i="3"/>
  <c r="G92" i="3"/>
  <c r="G89" i="3"/>
  <c r="G84" i="3"/>
  <c r="G80" i="3"/>
  <c r="G77" i="3"/>
  <c r="G66" i="3"/>
  <c r="G52" i="3"/>
  <c r="F38" i="3"/>
  <c r="F27" i="3"/>
  <c r="G21" i="3"/>
  <c r="F9" i="3"/>
  <c r="F6" i="3"/>
  <c r="R17" i="3"/>
  <c r="G9" i="3"/>
  <c r="G38" i="3"/>
  <c r="N38" i="3"/>
  <c r="R38" i="3"/>
  <c r="L38" i="3"/>
  <c r="G6" i="3"/>
  <c r="G27" i="3"/>
  <c r="R95" i="3"/>
  <c r="P95" i="3"/>
  <c r="N95" i="3"/>
  <c r="L95" i="3"/>
  <c r="F201" i="3"/>
  <c r="F196" i="3"/>
  <c r="F192" i="3"/>
  <c r="L201" i="3"/>
  <c r="P201" i="3"/>
  <c r="R201" i="3"/>
  <c r="N201" i="3"/>
  <c r="R192" i="3"/>
  <c r="L192" i="3"/>
  <c r="P192" i="3"/>
  <c r="N192" i="3"/>
  <c r="R196" i="3"/>
  <c r="P196" i="3"/>
  <c r="N196" i="3"/>
  <c r="L196" i="3"/>
  <c r="G196" i="3"/>
  <c r="G192" i="3"/>
  <c r="G201" i="3"/>
  <c r="R191" i="3"/>
  <c r="L191" i="3"/>
  <c r="L190" i="3"/>
  <c r="F189" i="3"/>
  <c r="G189" i="3"/>
  <c r="N187" i="3"/>
  <c r="R186" i="3"/>
  <c r="P186" i="3"/>
  <c r="N186" i="3"/>
  <c r="F185" i="3"/>
  <c r="F181" i="3"/>
  <c r="R175" i="3"/>
  <c r="P175" i="3"/>
  <c r="N175" i="3"/>
  <c r="L175" i="3"/>
  <c r="L173" i="3"/>
  <c r="L172" i="3"/>
  <c r="R171" i="3"/>
  <c r="P171" i="3"/>
  <c r="N171" i="3"/>
  <c r="L171" i="3"/>
  <c r="R169" i="3"/>
  <c r="P169" i="3"/>
  <c r="N169" i="3"/>
  <c r="L169" i="3"/>
  <c r="R167" i="3"/>
  <c r="P167" i="3"/>
  <c r="N167" i="3"/>
  <c r="L167" i="3"/>
  <c r="G166" i="3"/>
  <c r="R165" i="3"/>
  <c r="P165" i="3"/>
  <c r="N165" i="3"/>
  <c r="L165" i="3"/>
  <c r="G164" i="3"/>
  <c r="F161" i="3"/>
  <c r="F146" i="3"/>
  <c r="F144" i="3"/>
  <c r="F142" i="3"/>
  <c r="F135" i="3"/>
  <c r="L128" i="3"/>
  <c r="R126" i="3"/>
  <c r="P126" i="3"/>
  <c r="N126" i="3"/>
  <c r="L126" i="3"/>
  <c r="L124" i="3"/>
  <c r="R122" i="3"/>
  <c r="P122" i="3"/>
  <c r="N122" i="3"/>
  <c r="L122" i="3"/>
  <c r="F115" i="3"/>
  <c r="F113" i="3"/>
  <c r="F111" i="3"/>
  <c r="F109" i="3"/>
  <c r="F107" i="3"/>
  <c r="F87" i="3"/>
  <c r="G74" i="3"/>
  <c r="L73" i="3"/>
  <c r="R72" i="3"/>
  <c r="P72" i="3"/>
  <c r="N72" i="3"/>
  <c r="L72" i="3"/>
  <c r="G71" i="3"/>
  <c r="R70" i="3"/>
  <c r="P70" i="3"/>
  <c r="N70" i="3"/>
  <c r="L70" i="3"/>
  <c r="G69" i="3"/>
  <c r="N68" i="3"/>
  <c r="R67" i="3"/>
  <c r="P67" i="3"/>
  <c r="N67" i="3"/>
  <c r="R65" i="3"/>
  <c r="P65" i="3"/>
  <c r="N65" i="3"/>
  <c r="L65" i="3"/>
  <c r="F64" i="3"/>
  <c r="G64" i="3"/>
  <c r="P62" i="3"/>
  <c r="N62" i="3"/>
  <c r="L62" i="3"/>
  <c r="F61" i="3"/>
  <c r="L60" i="3"/>
  <c r="L59" i="3"/>
  <c r="L58" i="3"/>
  <c r="L57" i="3"/>
  <c r="L56" i="3"/>
  <c r="L55" i="3"/>
  <c r="L54" i="3"/>
  <c r="R53" i="3"/>
  <c r="P53" i="3"/>
  <c r="N53" i="3"/>
  <c r="L53" i="3"/>
  <c r="R51" i="3"/>
  <c r="P51" i="3"/>
  <c r="N51" i="3"/>
  <c r="L51" i="3"/>
  <c r="F50" i="3"/>
  <c r="G50" i="3"/>
  <c r="L49" i="3"/>
  <c r="P48" i="3"/>
  <c r="N48" i="3"/>
  <c r="L48" i="3"/>
  <c r="F47" i="3"/>
  <c r="P46" i="3"/>
  <c r="N46" i="3"/>
  <c r="L46" i="3"/>
  <c r="F45" i="3"/>
  <c r="P44" i="3"/>
  <c r="N44" i="3"/>
  <c r="L44" i="3"/>
  <c r="F43" i="3"/>
  <c r="L42" i="3"/>
  <c r="F41" i="3"/>
  <c r="P40" i="3"/>
  <c r="P39" i="3"/>
  <c r="P37" i="3"/>
  <c r="N37" i="3"/>
  <c r="L37" i="3"/>
  <c r="F36" i="3"/>
  <c r="P35" i="3"/>
  <c r="N35" i="3"/>
  <c r="L35" i="3"/>
  <c r="F34" i="3"/>
  <c r="P33" i="3"/>
  <c r="F32" i="3"/>
  <c r="L31" i="3"/>
  <c r="L30" i="3"/>
  <c r="L29" i="3"/>
  <c r="R28" i="3"/>
  <c r="P28" i="3"/>
  <c r="N28" i="3"/>
  <c r="L28" i="3"/>
  <c r="L26" i="3"/>
  <c r="L25" i="3"/>
  <c r="L24" i="3"/>
  <c r="R22" i="3"/>
  <c r="P22" i="3"/>
  <c r="N22" i="3"/>
  <c r="L22" i="3"/>
  <c r="L20" i="3"/>
  <c r="L19" i="3"/>
  <c r="P18" i="3"/>
  <c r="N18" i="3"/>
  <c r="L18" i="3"/>
  <c r="L16" i="3"/>
  <c r="P15" i="3"/>
  <c r="N15" i="3"/>
  <c r="L15" i="3"/>
  <c r="F14" i="3"/>
  <c r="L13" i="3"/>
  <c r="L12" i="3"/>
  <c r="L11" i="3"/>
  <c r="L10" i="3"/>
  <c r="L8" i="3"/>
  <c r="R7" i="3"/>
  <c r="P7" i="3"/>
  <c r="N7" i="3"/>
  <c r="L7" i="3"/>
  <c r="R8" i="3"/>
  <c r="R11" i="3"/>
  <c r="R13" i="3"/>
  <c r="N16" i="3"/>
  <c r="N24" i="3"/>
  <c r="N26" i="3"/>
  <c r="N29" i="3"/>
  <c r="N31" i="3"/>
  <c r="G34" i="3"/>
  <c r="R34" i="3"/>
  <c r="G45" i="3"/>
  <c r="R45" i="3"/>
  <c r="R54" i="3"/>
  <c r="R57" i="3"/>
  <c r="R59" i="3"/>
  <c r="R60" i="3"/>
  <c r="P142" i="3"/>
  <c r="L142" i="3"/>
  <c r="R142" i="3"/>
  <c r="N142" i="3"/>
  <c r="G181" i="3"/>
  <c r="P181" i="3"/>
  <c r="L181" i="3"/>
  <c r="R181" i="3"/>
  <c r="N181" i="3"/>
  <c r="P25" i="3"/>
  <c r="P26" i="3"/>
  <c r="P29" i="3"/>
  <c r="P31" i="3"/>
  <c r="P49" i="3"/>
  <c r="R73" i="3"/>
  <c r="P135" i="3"/>
  <c r="L135" i="3"/>
  <c r="R135" i="3"/>
  <c r="N135" i="3"/>
  <c r="N172" i="3"/>
  <c r="N173" i="3"/>
  <c r="P187" i="3"/>
  <c r="N191" i="3"/>
  <c r="N8" i="3"/>
  <c r="N9" i="3"/>
  <c r="N10" i="3"/>
  <c r="N11" i="3"/>
  <c r="N12" i="3"/>
  <c r="N13" i="3"/>
  <c r="G14" i="3"/>
  <c r="R14" i="3"/>
  <c r="N19" i="3"/>
  <c r="P20" i="3"/>
  <c r="R24" i="3"/>
  <c r="R25" i="3"/>
  <c r="R26" i="3"/>
  <c r="R29" i="3"/>
  <c r="R30" i="3"/>
  <c r="R31" i="3"/>
  <c r="G36" i="3"/>
  <c r="R36" i="3"/>
  <c r="G41" i="3"/>
  <c r="R41" i="3"/>
  <c r="P41" i="3"/>
  <c r="N41" i="3"/>
  <c r="G43" i="3"/>
  <c r="R43" i="3"/>
  <c r="G47" i="3"/>
  <c r="R47" i="3"/>
  <c r="N54" i="3"/>
  <c r="N55" i="3"/>
  <c r="N56" i="3"/>
  <c r="N57" i="3"/>
  <c r="N58" i="3"/>
  <c r="N59" i="3"/>
  <c r="N60" i="3"/>
  <c r="G61" i="3"/>
  <c r="R61" i="3"/>
  <c r="P68" i="3"/>
  <c r="L107" i="3"/>
  <c r="P107" i="3"/>
  <c r="R107" i="3"/>
  <c r="N107" i="3"/>
  <c r="P115" i="3"/>
  <c r="R115" i="3"/>
  <c r="L115" i="3"/>
  <c r="N115" i="3"/>
  <c r="P124" i="3"/>
  <c r="P128" i="3"/>
  <c r="P146" i="3"/>
  <c r="L146" i="3"/>
  <c r="R146" i="3"/>
  <c r="N146" i="3"/>
  <c r="G168" i="3"/>
  <c r="P172" i="3"/>
  <c r="P173" i="3"/>
  <c r="R187" i="3"/>
  <c r="P191" i="3"/>
  <c r="R9" i="3"/>
  <c r="R10" i="3"/>
  <c r="R12" i="3"/>
  <c r="N25" i="3"/>
  <c r="N30" i="3"/>
  <c r="G32" i="3"/>
  <c r="N32" i="3"/>
  <c r="L32" i="3"/>
  <c r="R32" i="3"/>
  <c r="N49" i="3"/>
  <c r="R55" i="3"/>
  <c r="R56" i="3"/>
  <c r="R58" i="3"/>
  <c r="P73" i="3"/>
  <c r="P111" i="3"/>
  <c r="R111" i="3"/>
  <c r="N111" i="3"/>
  <c r="L111" i="3"/>
  <c r="P16" i="3"/>
  <c r="N20" i="3"/>
  <c r="P24" i="3"/>
  <c r="P30" i="3"/>
  <c r="R109" i="3"/>
  <c r="N109" i="3"/>
  <c r="L109" i="3"/>
  <c r="P109" i="3"/>
  <c r="N124" i="3"/>
  <c r="N128" i="3"/>
  <c r="L161" i="3"/>
  <c r="R161" i="3"/>
  <c r="N161" i="3"/>
  <c r="P161" i="3"/>
  <c r="G174" i="3"/>
  <c r="P8" i="3"/>
  <c r="P9" i="3"/>
  <c r="P10" i="3"/>
  <c r="P11" i="3"/>
  <c r="P12" i="3"/>
  <c r="P13" i="3"/>
  <c r="P19" i="3"/>
  <c r="P54" i="3"/>
  <c r="P55" i="3"/>
  <c r="P56" i="3"/>
  <c r="P57" i="3"/>
  <c r="P58" i="3"/>
  <c r="P59" i="3"/>
  <c r="P60" i="3"/>
  <c r="R68" i="3"/>
  <c r="N73" i="3"/>
  <c r="P87" i="3"/>
  <c r="R87" i="3"/>
  <c r="N87" i="3"/>
  <c r="L87" i="3"/>
  <c r="L113" i="3"/>
  <c r="P113" i="3"/>
  <c r="R113" i="3"/>
  <c r="N113" i="3"/>
  <c r="R124" i="3"/>
  <c r="R128" i="3"/>
  <c r="P144" i="3"/>
  <c r="L144" i="3"/>
  <c r="R144" i="3"/>
  <c r="N144" i="3"/>
  <c r="R172" i="3"/>
  <c r="R173" i="3"/>
  <c r="G185" i="3"/>
  <c r="L185" i="3"/>
  <c r="R190" i="3"/>
  <c r="G107" i="3"/>
  <c r="G115" i="3"/>
  <c r="G87" i="3"/>
  <c r="G113" i="3"/>
  <c r="G144" i="3"/>
  <c r="G146" i="3"/>
  <c r="G111" i="3"/>
  <c r="G142" i="3"/>
  <c r="G109" i="3"/>
  <c r="G135" i="3"/>
  <c r="G161" i="3"/>
  <c r="F184" i="3"/>
  <c r="L184" i="3"/>
  <c r="F63" i="3"/>
  <c r="F180" i="3"/>
  <c r="F188" i="3"/>
  <c r="G188" i="3"/>
  <c r="L9" i="3"/>
  <c r="N50" i="3"/>
  <c r="L64" i="3"/>
  <c r="N66" i="3"/>
  <c r="N166" i="3"/>
  <c r="P168" i="3"/>
  <c r="R174" i="3"/>
  <c r="P170" i="3"/>
  <c r="P45" i="3"/>
  <c r="L47" i="3"/>
  <c r="R50" i="3"/>
  <c r="R52" i="3"/>
  <c r="L61" i="3"/>
  <c r="P64" i="3"/>
  <c r="R66" i="3"/>
  <c r="R69" i="3"/>
  <c r="P71" i="3"/>
  <c r="L121" i="3"/>
  <c r="L125" i="3"/>
  <c r="P164" i="3"/>
  <c r="R166" i="3"/>
  <c r="L168" i="3"/>
  <c r="L170" i="3"/>
  <c r="N174" i="3"/>
  <c r="P47" i="3"/>
  <c r="N52" i="3"/>
  <c r="P61" i="3"/>
  <c r="N69" i="3"/>
  <c r="L71" i="3"/>
  <c r="P121" i="3"/>
  <c r="P125" i="3"/>
  <c r="L164" i="3"/>
  <c r="N45" i="3"/>
  <c r="P50" i="3"/>
  <c r="P52" i="3"/>
  <c r="N64" i="3"/>
  <c r="P66" i="3"/>
  <c r="P69" i="3"/>
  <c r="N71" i="3"/>
  <c r="R121" i="3"/>
  <c r="R125" i="3"/>
  <c r="N164" i="3"/>
  <c r="P166" i="3"/>
  <c r="R168" i="3"/>
  <c r="R170" i="3"/>
  <c r="L174" i="3"/>
  <c r="N47" i="3"/>
  <c r="L50" i="3"/>
  <c r="L52" i="3"/>
  <c r="N61" i="3"/>
  <c r="R64" i="3"/>
  <c r="L69" i="3"/>
  <c r="R71" i="3"/>
  <c r="N121" i="3"/>
  <c r="N125" i="3"/>
  <c r="R164" i="3"/>
  <c r="L166" i="3"/>
  <c r="N168" i="3"/>
  <c r="N170" i="3"/>
  <c r="P174" i="3"/>
  <c r="N6" i="3"/>
  <c r="P32" i="3"/>
  <c r="L45" i="3"/>
  <c r="P6" i="3"/>
  <c r="N17" i="3"/>
  <c r="L21" i="3"/>
  <c r="L27" i="3"/>
  <c r="N34" i="3"/>
  <c r="R6" i="3"/>
  <c r="P34" i="3"/>
  <c r="L36" i="3"/>
  <c r="L41" i="3"/>
  <c r="L43" i="3"/>
  <c r="P38" i="3"/>
  <c r="F5" i="3"/>
  <c r="L14" i="3"/>
  <c r="P17" i="3"/>
  <c r="N21" i="3"/>
  <c r="N27" i="3"/>
  <c r="L6" i="3"/>
  <c r="N14" i="3"/>
  <c r="P21" i="3"/>
  <c r="P27" i="3"/>
  <c r="N36" i="3"/>
  <c r="N43" i="3"/>
  <c r="P14" i="3"/>
  <c r="L17" i="3"/>
  <c r="R27" i="3"/>
  <c r="P36" i="3"/>
  <c r="R21" i="3"/>
  <c r="L34" i="3"/>
  <c r="P43" i="3"/>
  <c r="F79" i="3"/>
  <c r="G79" i="3"/>
  <c r="R184" i="3"/>
  <c r="R185" i="3"/>
  <c r="R188" i="3"/>
  <c r="R189" i="3"/>
  <c r="L188" i="3"/>
  <c r="L189" i="3"/>
  <c r="G163" i="3"/>
  <c r="G5" i="3"/>
  <c r="N184" i="3"/>
  <c r="N185" i="3"/>
  <c r="P188" i="3"/>
  <c r="P189" i="3"/>
  <c r="P184" i="3"/>
  <c r="P185" i="3"/>
  <c r="N180" i="3"/>
  <c r="R180" i="3"/>
  <c r="L180" i="3"/>
  <c r="P180" i="3"/>
  <c r="N188" i="3"/>
  <c r="N189" i="3"/>
  <c r="G180" i="3"/>
  <c r="G63" i="3"/>
  <c r="G184" i="3"/>
  <c r="R5" i="3"/>
  <c r="P5" i="3"/>
  <c r="R63" i="3"/>
  <c r="L63" i="3"/>
  <c r="F206" i="3"/>
  <c r="L5" i="3"/>
  <c r="N5" i="3"/>
  <c r="R163" i="3"/>
  <c r="N79" i="3"/>
  <c r="N163" i="3"/>
  <c r="R79" i="3"/>
  <c r="N63" i="3"/>
  <c r="L163" i="3"/>
  <c r="P79" i="3"/>
  <c r="P163" i="3"/>
  <c r="L79" i="3"/>
  <c r="P63" i="3"/>
  <c r="G206" i="3"/>
  <c r="R206" i="3"/>
  <c r="L206" i="3"/>
  <c r="N206" i="3"/>
  <c r="P206" i="3"/>
</calcChain>
</file>

<file path=xl/sharedStrings.xml><?xml version="1.0" encoding="utf-8"?>
<sst xmlns="http://schemas.openxmlformats.org/spreadsheetml/2006/main" count="421" uniqueCount="121">
  <si>
    <t>SECTOR/PRODUCTO/FUENTE</t>
  </si>
  <si>
    <t>COMPROMISOS</t>
  </si>
  <si>
    <t>OBLIGACIONES</t>
  </si>
  <si>
    <t>PAGOS</t>
  </si>
  <si>
    <t>PRIMERA INFANCIA                ( Madres Gestantes- Edades 0-5 años)</t>
  </si>
  <si>
    <t>ADOLESCENCIA                      ( 12-17 años)</t>
  </si>
  <si>
    <t>Infraestructura educativa dotada</t>
  </si>
  <si>
    <t>INGRESOS CORRIENTES DE LIBRE DESTINACION</t>
  </si>
  <si>
    <t>Infraestructura educativa mantenida</t>
  </si>
  <si>
    <t>ESTAMPILLAS</t>
  </si>
  <si>
    <t>Servicio de accesibilidad a contenidos web para fines pedagogicos</t>
  </si>
  <si>
    <t>SGP-EDUCACION-PRESTACION DE SERVICIOS</t>
  </si>
  <si>
    <t>Servicio de acondicionamiento de ambientes de aprendizaje</t>
  </si>
  <si>
    <t>Servicio de apoyo a la permanencia con alimentacion escolar</t>
  </si>
  <si>
    <t>APORTES NACION - ALIMENTACION ESCOLAR</t>
  </si>
  <si>
    <t>RECURSOS DEL BALANCE DE LIBRE DESTINACION</t>
  </si>
  <si>
    <t>Servicio de apoyo a la permanencia con transporte escolar</t>
  </si>
  <si>
    <t>Servicio de apoyo a proyectos pedagogicos productivos</t>
  </si>
  <si>
    <t>Servicio de apoyo para el fortalecimiento de escuelas de padres</t>
  </si>
  <si>
    <t>Servicio de apoyo para la implementacion de la estrategia educativa del sistema de responsabilidad penal para adolescentes</t>
  </si>
  <si>
    <t>Servicio de articulacion entre la educacion media y el sector productivo.</t>
  </si>
  <si>
    <t>Servicio de atencion integral para la primera infancia</t>
  </si>
  <si>
    <t>Servicio de fomento para la permanencia en programas de educacion formal</t>
  </si>
  <si>
    <t>Servicio de fomento para la prevencion de riesgos sociales en entornos escolares</t>
  </si>
  <si>
    <t>Servicio de gestion de riesgos y desastres en establecimientos educativos</t>
  </si>
  <si>
    <t>Servicio educacion formal por modelos educativos flexibles</t>
  </si>
  <si>
    <t>Servicio educativo</t>
  </si>
  <si>
    <t>TASAS COMPENSATORIAS</t>
  </si>
  <si>
    <t>Servicio educativos de promocion del bilingüismo2201034</t>
  </si>
  <si>
    <t>INCLUSION SOCIAL Y RECONCILIACION</t>
  </si>
  <si>
    <t>Documentos de lineamientos tecnicos4102035</t>
  </si>
  <si>
    <t>Servicio de asistencia tecnica a comunidades en temas de fortalecimiento del tejido social y construccion de escenarios comunitarios protectores de derechos</t>
  </si>
  <si>
    <t>Servicio de atencion integral a la primera infancia</t>
  </si>
  <si>
    <t>Servicio de promocion de temas de dinamica relacional y desarrollo autonomo</t>
  </si>
  <si>
    <t xml:space="preserve">Servicios de promoción de los derechos de los niños, niñas, adolescentes y jóvenes </t>
  </si>
  <si>
    <t>SALUD Y PROTECCION SOCIAL</t>
  </si>
  <si>
    <t>Cuartos frios adecuados1905012</t>
  </si>
  <si>
    <t>SGP-SALUD-SALUD PUBLICA</t>
  </si>
  <si>
    <t>Documentos de lineamientos tecnicos1903001</t>
  </si>
  <si>
    <t>Documentos de lineamientos tecnicos1905014</t>
  </si>
  <si>
    <t>Documentos de planeacion1905015</t>
  </si>
  <si>
    <t>Servicio de adopcion y seguimiento de acciones y medidas especiales</t>
  </si>
  <si>
    <t>Servicio de analisis de laboratorio</t>
  </si>
  <si>
    <t>Servicio de apoyo financiero para el fortalecimiento patrimonial de las empresas prestadoras de salud con participacion financiera de las entidades territoriales</t>
  </si>
  <si>
    <t>SGP-SALUD-SUBSIDIO A LA OFERTA</t>
  </si>
  <si>
    <t>Servicio de asistencia tecnica en inspeccion, vigilancia y control</t>
  </si>
  <si>
    <t>Servicio de atencion en salud publica en situaciones de emergencias y desastres</t>
  </si>
  <si>
    <t>Servicio de auditoria y visitas inspectivas</t>
  </si>
  <si>
    <t>Servicio de educacion informal en temas de salud publica</t>
  </si>
  <si>
    <t>Servicio de evaluacion, aprobacion y seguimiento de planes de gestion integral del riesgo</t>
  </si>
  <si>
    <t>Servicio de gestion del riesgo en temas de consumo de sustancias psicoactivas</t>
  </si>
  <si>
    <t>Servicio de gestion del riesgo en temas de salud sexual y reproductiva</t>
  </si>
  <si>
    <t>Servicio de gestion del riesgo en temas de trastornos mentales</t>
  </si>
  <si>
    <t>Servicio de gestion del riesgo para abordar condiciones cronicas prevalentes</t>
  </si>
  <si>
    <t>Servicio de gestion del riesgo para abordar situaciones de salud relacionadas con condiciones ambientales</t>
  </si>
  <si>
    <t>Servicio de gestion del riesgo para abordar situaciones prevalentes de origen laboral</t>
  </si>
  <si>
    <t>Servicio de gestion del riesgo para enfermedades emergentes, reemergentes y desatendidas</t>
  </si>
  <si>
    <t>Servicio de gestion del riesgo para enfermedades inmunoprevenibles</t>
  </si>
  <si>
    <t>Servicio de gestion del riesgo para temas de consumo, aprovechamiento biologico, calidad e inocuidad de los alimentos</t>
  </si>
  <si>
    <t>Servicio de informacion de vigilancia epidemiologica</t>
  </si>
  <si>
    <t>Servicio de informacion para la gestion de la inspeccion, vigilancia y control sanitario</t>
  </si>
  <si>
    <t>Servicio de inspeccion, vigilancia y control1903011</t>
  </si>
  <si>
    <t>Servicio de promocion de la salud y prevencion de riesgos asociados a condiciones no transmisibles</t>
  </si>
  <si>
    <t>Servicio de promocion, prevencion, vigilancia y control de vectores y zoonosis</t>
  </si>
  <si>
    <t>Servicio de registro sanitario</t>
  </si>
  <si>
    <t>VIVIENDA, CIUDAD Y TERRITORIO</t>
  </si>
  <si>
    <t>Alcantarillados construidos</t>
  </si>
  <si>
    <t>SGP-AGUA POTABLE Y SANEAMIENTO BASICO</t>
  </si>
  <si>
    <t>Documentos de planeacion4003006</t>
  </si>
  <si>
    <t>Estudios de pre inversion e inversion4003042</t>
  </si>
  <si>
    <t>Servicios de apoyo financiero para la ejecucion de proyectos de acueductos y alcantarillado</t>
  </si>
  <si>
    <t>Servicios de apoyo financiero para la ejecucion de proyectos de acueductos y de manejo de aguas residuales</t>
  </si>
  <si>
    <t>Servicio de educación informal en tecnologías de la información y las comunicaciones</t>
  </si>
  <si>
    <t>Servicio de educación informal en el marco de la conservación de la biodiversidad y los Servicio ecosistémicos</t>
  </si>
  <si>
    <t>CULTURA</t>
  </si>
  <si>
    <t>Servicio de educación informal en áreas artísticas y culturales</t>
  </si>
  <si>
    <t>Servicio de circulación artística y cultural</t>
  </si>
  <si>
    <t>Servicios bibliotecarios</t>
  </si>
  <si>
    <t>Servicio de divulgación y publicaciones</t>
  </si>
  <si>
    <t>TOTAL</t>
  </si>
  <si>
    <t>CUIPO 2022</t>
  </si>
  <si>
    <t xml:space="preserve">CURSOS DEL VIDA </t>
  </si>
  <si>
    <t>INFANCIA                         ( 6 - 11 años )</t>
  </si>
  <si>
    <t xml:space="preserve">RECURSOS DEL BALANCE DE DESTINACION ESPECIFICA POR ACTO ADMINISTRATIVO </t>
  </si>
  <si>
    <t xml:space="preserve">R.B. ESTAMPILLAS </t>
  </si>
  <si>
    <t xml:space="preserve">RECURSOS DEL BALANCE DE LIBRE DESTINACION </t>
  </si>
  <si>
    <t xml:space="preserve">R.B. PARTICIPACION Y DERECHOS DE EXPLOTACION DEL EJERCICIO DEL MONOPOLIO DE LICORES DESTILADOS Y ALCOHOLES POTABLES </t>
  </si>
  <si>
    <t xml:space="preserve">R.B. IMPUESTO SOBRE VEHICULOS AUTOMOTORES </t>
  </si>
  <si>
    <t xml:space="preserve">SGP-EDUCACION-PRESTACION DE SERVICIOS </t>
  </si>
  <si>
    <t xml:space="preserve">TASAS COMPENSATORIAS </t>
  </si>
  <si>
    <t xml:space="preserve">R.B. OTRAS TRANSFERENCIAS CORRIENTES DE OTRAS ENTIDADES DEL GOBIERNO GENERAL </t>
  </si>
  <si>
    <t xml:space="preserve">R.B. SGP-EDUCACION-CANCELACION DE PRESTACIONES SOCIALES DEL MAGISTERIO </t>
  </si>
  <si>
    <t xml:space="preserve">R.B. SGP-EDUCACION-PRESTACIÓN DE SERVICIO EDUCATIVO </t>
  </si>
  <si>
    <t xml:space="preserve">REINTEGROS Y OTROS RECURSOS NO APROPIADOS </t>
  </si>
  <si>
    <t xml:space="preserve">Servicio dirigidos a la atencion de niños, niñas, adolescentes y jovenes, con enfoque pedagogico y restaurativo encaminados a la inclusion social </t>
  </si>
  <si>
    <t xml:space="preserve">INGRESOS CORRIENTES DE LIBRE DESTINACION </t>
  </si>
  <si>
    <t xml:space="preserve">R.B. SGP-SALUD-SALUD PUBLICA </t>
  </si>
  <si>
    <t xml:space="preserve">R.B. COMPENSACIONES DE INGRESOS TRIBUTARIOS Y NO TRIBUTARIOS </t>
  </si>
  <si>
    <t xml:space="preserve">INGRESOS CORRIENTES DE DESTINACION ESPECIFICA POR ACTO ADMINISTRATIVO </t>
  </si>
  <si>
    <t xml:space="preserve">OTRAS TRANSFERENCIAS CORRIENTES DE OTRAS ENTIDADES CON DESTINACION ESPECIFICA LEGAL DEL GOBIERNO GENERAL </t>
  </si>
  <si>
    <t xml:space="preserve">R.B. SGP-SALUD-SUBSIDIO A LA OFERTA </t>
  </si>
  <si>
    <t xml:space="preserve">ESTAMPILLAS </t>
  </si>
  <si>
    <t>TECNOLOGIAS DE LA INFORMACION Y LAS COMUNICACIONES</t>
  </si>
  <si>
    <t xml:space="preserve">AGRICULTURA Y DESARROLLO SOSTENIBLE </t>
  </si>
  <si>
    <t>CATEGORIA DE INVERSIÓN</t>
  </si>
  <si>
    <t>EDUCACIÓN</t>
  </si>
  <si>
    <t xml:space="preserve">EDUCACIÓN Y FORMACIÓN INTEGRAL </t>
  </si>
  <si>
    <t>ALIMENTACIÓN Y NUTRICIÓN</t>
  </si>
  <si>
    <t>PROTECCIÓN Y PREVENCIÓN DE LAS VULNERACIONES</t>
  </si>
  <si>
    <t>SALUD</t>
  </si>
  <si>
    <t xml:space="preserve">SEXUALIDAD AUTONOMA Y RESPONSABLE </t>
  </si>
  <si>
    <t>DEPORTE, RECREACIÓN, CULTURA, JUEGO, CIENCI, TECNOLOGIA E INNOVACIÓN (CTEI) Y MEDIO AMBIENTE</t>
  </si>
  <si>
    <t>No.</t>
  </si>
  <si>
    <t>OPORTUNIDADES PARA LA TRANSICIÓN A LA JUVENTUD</t>
  </si>
  <si>
    <t xml:space="preserve">GOBIERNO Y CAPACIDADES </t>
  </si>
  <si>
    <t>DEPORTE,RECREACIÓN, CULTURA, JUEGO, CIENCIA, TECNOLOGIA E INNOVACIÓN (CTEI) Y MEDIO AMBIENTE</t>
  </si>
  <si>
    <t>OBLIGACIONES/COMPROMISOS</t>
  </si>
  <si>
    <t>PAGOS/
COMPROMISOS</t>
  </si>
  <si>
    <t>Servicio de mantenimiento a la infraestructura deportiva</t>
  </si>
  <si>
    <t>OTROS</t>
  </si>
  <si>
    <t>PARTICIPACIÓN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</si>
</sst>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[$€-2]\ * #,##0.00_ ;_ [$€-2]\ * \-#,##0.00_ ;_ [$€-2]\ * &quot;-&quot;??_ "/>
    <numFmt numFmtId="165" formatCode="_(&quot;$&quot;\ * #,##0.00_);_(&quot;$&quot;\ * \(#,##0.00\);_(&quot;$&quot;\ * &quot;-&quot;??_);_(@_)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Arial"/>
      <family val="2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24994659260841701"/>
        <bgColor theme="4" tint="-0.249977111117893"/>
      </patternFill>
    </fill>
    <fill>
      <patternFill patternType="solid">
        <fgColor theme="9"/>
        <bgColor indexed="64"/>
      </patternFill>
    </fill>
    <fill>
      <patternFill patternType="solid">
        <fgColor theme="9"/>
        <bgColor theme="4" tint="-0.249977111117893"/>
      </patternFill>
    </fill>
    <fill>
      <patternFill patternType="solid">
        <fgColor theme="8" tint="0.39994506668294322"/>
        <bgColor theme="4" tint="0.79976805932798245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4" tint="-0.2499465926084170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4" borderId="0" xfId="0" applyFill="1"/>
    <xf numFmtId="0" fontId="2" fillId="3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4" fontId="0" fillId="0" borderId="1" xfId="2" applyFont="1" applyBorder="1" applyAlignment="1">
      <alignment horizontal="right" vertical="center" wrapText="1"/>
    </xf>
    <xf numFmtId="0" fontId="3" fillId="5" borderId="1" xfId="0" applyFont="1" applyFill="1" applyBorder="1" applyAlignment="1">
      <alignment horizontal="justify" vertical="center" wrapText="1"/>
    </xf>
    <xf numFmtId="44" fontId="3" fillId="5" borderId="1" xfId="2" applyFont="1" applyFill="1" applyBorder="1" applyAlignment="1">
      <alignment horizontal="right" vertical="center"/>
    </xf>
    <xf numFmtId="43" fontId="2" fillId="3" borderId="1" xfId="1" applyFont="1" applyFill="1" applyBorder="1" applyAlignment="1">
      <alignment horizontal="left" vertical="center" wrapText="1"/>
    </xf>
    <xf numFmtId="43" fontId="3" fillId="5" borderId="1" xfId="1" applyFont="1" applyFill="1" applyBorder="1" applyAlignment="1">
      <alignment horizontal="left" vertical="center" wrapText="1"/>
    </xf>
    <xf numFmtId="44" fontId="2" fillId="3" borderId="1" xfId="0" applyNumberFormat="1" applyFont="1" applyFill="1" applyBorder="1" applyAlignment="1">
      <alignment horizontal="left" vertical="center" wrapText="1"/>
    </xf>
    <xf numFmtId="44" fontId="3" fillId="5" borderId="1" xfId="0" applyNumberFormat="1" applyFont="1" applyFill="1" applyBorder="1" applyAlignment="1">
      <alignment horizontal="left" vertical="center" wrapText="1"/>
    </xf>
    <xf numFmtId="44" fontId="0" fillId="4" borderId="1" xfId="2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vertical="center"/>
    </xf>
    <xf numFmtId="43" fontId="2" fillId="3" borderId="1" xfId="0" applyNumberFormat="1" applyFont="1" applyFill="1" applyBorder="1" applyAlignment="1">
      <alignment horizontal="left" vertical="center" wrapText="1"/>
    </xf>
    <xf numFmtId="42" fontId="0" fillId="0" borderId="0" xfId="0" applyNumberFormat="1"/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0" fontId="0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4" fontId="2" fillId="3" borderId="1" xfId="2" applyFont="1" applyFill="1" applyBorder="1" applyAlignment="1">
      <alignment horizontal="right" vertical="center"/>
    </xf>
    <xf numFmtId="43" fontId="0" fillId="0" borderId="1" xfId="1" applyFont="1" applyBorder="1" applyAlignment="1">
      <alignment vertical="center"/>
    </xf>
    <xf numFmtId="44" fontId="0" fillId="0" borderId="1" xfId="2" applyFont="1" applyBorder="1" applyAlignment="1">
      <alignment horizontal="right" vertical="center"/>
    </xf>
    <xf numFmtId="43" fontId="0" fillId="4" borderId="1" xfId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justify" vertical="center"/>
    </xf>
    <xf numFmtId="0" fontId="2" fillId="6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44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0" fillId="0" borderId="1" xfId="1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44" fontId="0" fillId="0" borderId="1" xfId="2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justify" vertical="center"/>
    </xf>
    <xf numFmtId="43" fontId="0" fillId="0" borderId="1" xfId="1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vertical="center"/>
    </xf>
    <xf numFmtId="3" fontId="0" fillId="0" borderId="1" xfId="2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1" fillId="0" borderId="1" xfId="1" applyFont="1" applyFill="1" applyBorder="1" applyAlignment="1">
      <alignment horizontal="right" vertical="center" wrapText="1"/>
    </xf>
    <xf numFmtId="43" fontId="8" fillId="0" borderId="1" xfId="1" applyFont="1" applyFill="1" applyBorder="1" applyAlignment="1" applyProtection="1">
      <alignment vertical="center" wrapText="1"/>
      <protection locked="0"/>
    </xf>
    <xf numFmtId="0" fontId="0" fillId="0" borderId="1" xfId="0" applyFill="1" applyBorder="1" applyAlignment="1">
      <alignment vertical="center"/>
    </xf>
    <xf numFmtId="43" fontId="8" fillId="0" borderId="1" xfId="1" applyFont="1" applyFill="1" applyBorder="1" applyAlignment="1" applyProtection="1">
      <alignment horizontal="right" vertical="center" wrapText="1"/>
      <protection locked="0"/>
    </xf>
    <xf numFmtId="0" fontId="4" fillId="8" borderId="1" xfId="0" applyFont="1" applyFill="1" applyBorder="1" applyAlignment="1">
      <alignment horizontal="center" vertical="center" wrapText="1"/>
    </xf>
    <xf numFmtId="44" fontId="0" fillId="0" borderId="1" xfId="0" applyNumberFormat="1" applyFill="1" applyBorder="1" applyAlignment="1">
      <alignment vertical="center"/>
    </xf>
    <xf numFmtId="43" fontId="5" fillId="0" borderId="1" xfId="1" applyFont="1" applyFill="1" applyBorder="1" applyAlignment="1" applyProtection="1">
      <alignment vertical="center" wrapText="1"/>
      <protection locked="0"/>
    </xf>
    <xf numFmtId="3" fontId="8" fillId="0" borderId="1" xfId="3" applyNumberFormat="1" applyFont="1" applyFill="1" applyBorder="1" applyAlignment="1" applyProtection="1">
      <alignment vertical="center" wrapText="1"/>
      <protection locked="0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44" fontId="0" fillId="4" borderId="1" xfId="2" applyFont="1" applyFill="1" applyBorder="1" applyAlignment="1">
      <alignment horizontal="right" vertical="center"/>
    </xf>
    <xf numFmtId="0" fontId="0" fillId="4" borderId="1" xfId="0" applyFill="1" applyBorder="1" applyAlignment="1">
      <alignment horizontal="left" vertical="center" wrapText="1"/>
    </xf>
    <xf numFmtId="44" fontId="1" fillId="0" borderId="1" xfId="2" applyFont="1" applyFill="1" applyBorder="1" applyAlignment="1">
      <alignment horizontal="right" vertical="center" wrapText="1"/>
    </xf>
    <xf numFmtId="43" fontId="1" fillId="0" borderId="1" xfId="1" applyFont="1" applyFill="1" applyBorder="1" applyAlignment="1">
      <alignment horizontal="left" vertical="center" wrapText="1"/>
    </xf>
    <xf numFmtId="3" fontId="0" fillId="0" borderId="1" xfId="0" applyNumberFormat="1" applyFill="1" applyBorder="1" applyAlignment="1">
      <alignment horizontal="righ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justify" vertical="center" wrapText="1"/>
    </xf>
    <xf numFmtId="43" fontId="3" fillId="9" borderId="1" xfId="1" applyFont="1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43" fontId="0" fillId="0" borderId="1" xfId="1" applyFont="1" applyFill="1" applyBorder="1" applyAlignment="1">
      <alignment horizontal="justify" vertical="center" wrapText="1"/>
    </xf>
    <xf numFmtId="10" fontId="0" fillId="0" borderId="0" xfId="0" applyNumberFormat="1" applyAlignment="1">
      <alignment horizontal="right"/>
    </xf>
    <xf numFmtId="10" fontId="2" fillId="6" borderId="1" xfId="5" applyNumberFormat="1" applyFont="1" applyFill="1" applyBorder="1" applyAlignment="1">
      <alignment horizontal="right" vertical="center" wrapText="1"/>
    </xf>
    <xf numFmtId="10" fontId="2" fillId="3" borderId="1" xfId="5" applyNumberFormat="1" applyFont="1" applyFill="1" applyBorder="1" applyAlignment="1">
      <alignment horizontal="right" vertical="center"/>
    </xf>
    <xf numFmtId="10" fontId="0" fillId="4" borderId="1" xfId="5" applyNumberFormat="1" applyFont="1" applyFill="1" applyBorder="1" applyAlignment="1">
      <alignment horizontal="right" vertical="center"/>
    </xf>
    <xf numFmtId="10" fontId="0" fillId="0" borderId="1" xfId="5" applyNumberFormat="1" applyFont="1" applyFill="1" applyBorder="1" applyAlignment="1">
      <alignment horizontal="right" vertical="center" wrapText="1"/>
    </xf>
    <xf numFmtId="10" fontId="0" fillId="4" borderId="1" xfId="5" applyNumberFormat="1" applyFont="1" applyFill="1" applyBorder="1" applyAlignment="1">
      <alignment horizontal="right" vertical="center" wrapText="1"/>
    </xf>
    <xf numFmtId="10" fontId="1" fillId="0" borderId="1" xfId="5" applyNumberFormat="1" applyFont="1" applyFill="1" applyBorder="1" applyAlignment="1">
      <alignment horizontal="right" vertical="center" wrapText="1"/>
    </xf>
    <xf numFmtId="10" fontId="0" fillId="0" borderId="1" xfId="5" applyNumberFormat="1" applyFont="1" applyBorder="1" applyAlignment="1">
      <alignment horizontal="right" vertical="center"/>
    </xf>
    <xf numFmtId="10" fontId="0" fillId="0" borderId="1" xfId="5" applyNumberFormat="1" applyFont="1" applyBorder="1" applyAlignment="1">
      <alignment horizontal="right" vertical="center" wrapText="1"/>
    </xf>
    <xf numFmtId="10" fontId="0" fillId="0" borderId="1" xfId="5" applyNumberFormat="1" applyFont="1" applyFill="1" applyBorder="1" applyAlignment="1">
      <alignment horizontal="right" vertical="center"/>
    </xf>
    <xf numFmtId="10" fontId="3" fillId="5" borderId="1" xfId="5" applyNumberFormat="1" applyFont="1" applyFill="1" applyBorder="1" applyAlignment="1">
      <alignment horizontal="right" vertical="center"/>
    </xf>
    <xf numFmtId="10" fontId="3" fillId="9" borderId="1" xfId="5" applyNumberFormat="1" applyFont="1" applyFill="1" applyBorder="1" applyAlignment="1">
      <alignment horizontal="right" vertical="center" wrapText="1"/>
    </xf>
    <xf numFmtId="10" fontId="2" fillId="3" borderId="1" xfId="5" applyNumberFormat="1" applyFont="1" applyFill="1" applyBorder="1" applyAlignment="1">
      <alignment horizontal="right" vertical="center" wrapText="1"/>
    </xf>
    <xf numFmtId="10" fontId="3" fillId="5" borderId="1" xfId="5" applyNumberFormat="1" applyFont="1" applyFill="1" applyBorder="1" applyAlignment="1">
      <alignment horizontal="right" vertical="center" wrapText="1"/>
    </xf>
    <xf numFmtId="10" fontId="1" fillId="0" borderId="1" xfId="5" applyNumberFormat="1" applyFont="1" applyFill="1" applyBorder="1" applyAlignment="1">
      <alignment horizontal="right" vertical="center"/>
    </xf>
    <xf numFmtId="10" fontId="0" fillId="0" borderId="0" xfId="5" applyNumberFormat="1" applyFont="1" applyAlignment="1">
      <alignment horizontal="right"/>
    </xf>
    <xf numFmtId="10" fontId="3" fillId="0" borderId="0" xfId="5" applyNumberFormat="1" applyFont="1" applyBorder="1" applyAlignment="1">
      <alignment horizontal="right"/>
    </xf>
    <xf numFmtId="10" fontId="6" fillId="0" borderId="0" xfId="5" applyNumberFormat="1" applyFont="1" applyBorder="1" applyAlignment="1">
      <alignment horizontal="right"/>
    </xf>
    <xf numFmtId="10" fontId="4" fillId="8" borderId="1" xfId="5" applyNumberFormat="1" applyFont="1" applyFill="1" applyBorder="1" applyAlignment="1">
      <alignment horizontal="right" vertical="center" wrapText="1"/>
    </xf>
    <xf numFmtId="10" fontId="5" fillId="0" borderId="1" xfId="5" applyNumberFormat="1" applyFont="1" applyFill="1" applyBorder="1" applyAlignment="1" applyProtection="1">
      <alignment horizontal="right" vertical="center" wrapText="1"/>
      <protection locked="0"/>
    </xf>
    <xf numFmtId="10" fontId="8" fillId="0" borderId="1" xfId="5" applyNumberFormat="1" applyFont="1" applyFill="1" applyBorder="1" applyAlignment="1" applyProtection="1">
      <alignment horizontal="right" vertical="center" wrapText="1"/>
      <protection locked="0"/>
    </xf>
    <xf numFmtId="10" fontId="3" fillId="4" borderId="0" xfId="5" applyNumberFormat="1" applyFont="1" applyFill="1" applyBorder="1" applyAlignment="1">
      <alignment horizontal="right"/>
    </xf>
    <xf numFmtId="4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left" vertical="center" wrapText="1"/>
    </xf>
    <xf numFmtId="43" fontId="3" fillId="10" borderId="1" xfId="1" applyFont="1" applyFill="1" applyBorder="1" applyAlignment="1">
      <alignment horizontal="left" vertical="center" wrapText="1"/>
    </xf>
    <xf numFmtId="10" fontId="3" fillId="10" borderId="1" xfId="5" applyNumberFormat="1" applyFont="1" applyFill="1" applyBorder="1" applyAlignment="1">
      <alignment horizontal="right" vertical="center" wrapText="1"/>
    </xf>
    <xf numFmtId="44" fontId="3" fillId="10" borderId="1" xfId="2" applyFont="1" applyFill="1" applyBorder="1" applyAlignment="1">
      <alignment horizontal="right" vertical="center"/>
    </xf>
    <xf numFmtId="10" fontId="3" fillId="10" borderId="1" xfId="5" applyNumberFormat="1" applyFont="1" applyFill="1" applyBorder="1" applyAlignment="1">
      <alignment horizontal="right" vertical="center"/>
    </xf>
    <xf numFmtId="44" fontId="3" fillId="10" borderId="1" xfId="2" applyFont="1" applyFill="1" applyBorder="1" applyAlignment="1">
      <alignment horizontal="left" vertical="center" wrapText="1"/>
    </xf>
    <xf numFmtId="44" fontId="3" fillId="10" borderId="1" xfId="0" applyNumberFormat="1" applyFont="1" applyFill="1" applyBorder="1" applyAlignment="1">
      <alignment horizontal="left" vertical="center" wrapText="1"/>
    </xf>
    <xf numFmtId="43" fontId="3" fillId="10" borderId="1" xfId="1" applyFont="1" applyFill="1" applyBorder="1" applyAlignment="1">
      <alignment vertical="center"/>
    </xf>
    <xf numFmtId="44" fontId="2" fillId="11" borderId="1" xfId="2" applyFont="1" applyFill="1" applyBorder="1" applyAlignment="1">
      <alignment horizontal="right" vertical="center"/>
    </xf>
    <xf numFmtId="10" fontId="2" fillId="11" borderId="1" xfId="5" applyNumberFormat="1" applyFont="1" applyFill="1" applyBorder="1" applyAlignment="1">
      <alignment horizontal="right" vertical="center"/>
    </xf>
    <xf numFmtId="44" fontId="2" fillId="11" borderId="1" xfId="0" applyNumberFormat="1" applyFont="1" applyFill="1" applyBorder="1" applyAlignment="1">
      <alignment vertical="center"/>
    </xf>
    <xf numFmtId="0" fontId="2" fillId="11" borderId="2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7" borderId="1" xfId="0" applyFont="1" applyFill="1" applyBorder="1" applyAlignment="1">
      <alignment horizontal="center" vertical="center"/>
    </xf>
    <xf numFmtId="44" fontId="0" fillId="0" borderId="0" xfId="0" applyNumberFormat="1"/>
  </cellXfs>
  <cellStyles count="7">
    <cellStyle name="Millares" xfId="1" builtinId="3"/>
    <cellStyle name="Millares 2 2 2" xfId="6"/>
    <cellStyle name="Moneda" xfId="2" builtinId="4"/>
    <cellStyle name="Moneda 2" xfId="4"/>
    <cellStyle name="Normal" xfId="0" builtinId="0"/>
    <cellStyle name="Normal 2 2" xfId="3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11"/>
  <sheetViews>
    <sheetView showGridLines="0" tabSelected="1" topLeftCell="A200" zoomScale="85" zoomScaleNormal="85" workbookViewId="0">
      <selection activeCell="A211" sqref="A211"/>
    </sheetView>
  </sheetViews>
  <sheetFormatPr baseColWidth="10" defaultColWidth="10.88671875" defaultRowHeight="14.4" x14ac:dyDescent="0.3"/>
  <cols>
    <col min="2" max="2" width="10.88671875" style="1"/>
    <col min="3" max="3" width="26.6640625" style="3" customWidth="1"/>
    <col min="4" max="4" width="63.33203125" customWidth="1"/>
    <col min="5" max="5" width="28.77734375" customWidth="1"/>
    <col min="6" max="6" width="25.88671875" customWidth="1"/>
    <col min="7" max="7" width="14.88671875" style="70" bestFit="1" customWidth="1"/>
    <col min="8" max="8" width="24.6640625" customWidth="1"/>
    <col min="9" max="9" width="14.88671875" style="85" bestFit="1" customWidth="1"/>
    <col min="10" max="10" width="11.44140625" customWidth="1"/>
    <col min="11" max="11" width="22.21875" customWidth="1"/>
    <col min="12" max="12" width="14.6640625" style="85" bestFit="1" customWidth="1"/>
    <col min="13" max="13" width="22.77734375" customWidth="1"/>
    <col min="14" max="14" width="14.6640625" style="85" bestFit="1" customWidth="1"/>
    <col min="15" max="15" width="21.88671875" customWidth="1"/>
    <col min="16" max="16" width="14.6640625" style="85" bestFit="1" customWidth="1"/>
    <col min="17" max="17" width="22.5546875" customWidth="1"/>
    <col min="18" max="18" width="14.6640625" style="85" bestFit="1" customWidth="1"/>
    <col min="19" max="19" width="13" bestFit="1" customWidth="1"/>
  </cols>
  <sheetData>
    <row r="1" spans="2:46" x14ac:dyDescent="0.3">
      <c r="F1" s="18"/>
    </row>
    <row r="2" spans="2:46" x14ac:dyDescent="0.3">
      <c r="B2" s="110"/>
      <c r="C2" s="110"/>
      <c r="D2" s="110"/>
      <c r="E2" s="110"/>
      <c r="F2" s="110"/>
      <c r="G2" s="110"/>
      <c r="H2" s="110"/>
      <c r="I2" s="86"/>
      <c r="K2" s="109"/>
      <c r="L2" s="109"/>
      <c r="M2" s="109"/>
      <c r="N2" s="109"/>
      <c r="O2" s="109"/>
      <c r="P2" s="109"/>
      <c r="Q2" s="109"/>
      <c r="R2" s="91"/>
    </row>
    <row r="3" spans="2:46" ht="21" x14ac:dyDescent="0.4">
      <c r="B3" s="111" t="s">
        <v>80</v>
      </c>
      <c r="C3" s="111"/>
      <c r="D3" s="111"/>
      <c r="E3" s="111"/>
      <c r="F3" s="111"/>
      <c r="G3" s="111"/>
      <c r="H3" s="111"/>
      <c r="I3" s="87"/>
      <c r="K3" s="112" t="s">
        <v>81</v>
      </c>
      <c r="L3" s="112"/>
      <c r="M3" s="112"/>
      <c r="N3" s="112"/>
      <c r="O3" s="112"/>
      <c r="P3" s="112"/>
      <c r="Q3" s="112"/>
      <c r="R3" s="112"/>
    </row>
    <row r="4" spans="2:46" s="1" customFormat="1" ht="47.25" customHeight="1" x14ac:dyDescent="0.3">
      <c r="B4" s="23" t="s">
        <v>112</v>
      </c>
      <c r="C4" s="35" t="s">
        <v>104</v>
      </c>
      <c r="D4" s="35" t="s">
        <v>0</v>
      </c>
      <c r="E4" s="35" t="s">
        <v>1</v>
      </c>
      <c r="F4" s="35" t="s">
        <v>2</v>
      </c>
      <c r="G4" s="71" t="s">
        <v>116</v>
      </c>
      <c r="H4" s="35" t="s">
        <v>3</v>
      </c>
      <c r="I4" s="71" t="s">
        <v>117</v>
      </c>
      <c r="K4" s="54" t="s">
        <v>4</v>
      </c>
      <c r="L4" s="88" t="s">
        <v>120</v>
      </c>
      <c r="M4" s="54" t="s">
        <v>82</v>
      </c>
      <c r="N4" s="88" t="s">
        <v>120</v>
      </c>
      <c r="O4" s="54" t="s">
        <v>5</v>
      </c>
      <c r="P4" s="88" t="s">
        <v>120</v>
      </c>
      <c r="Q4" s="54" t="s">
        <v>119</v>
      </c>
      <c r="R4" s="88" t="s">
        <v>120</v>
      </c>
    </row>
    <row r="5" spans="2:46" s="2" customFormat="1" ht="31.2" x14ac:dyDescent="0.3">
      <c r="B5" s="58">
        <v>3</v>
      </c>
      <c r="C5" s="59" t="s">
        <v>106</v>
      </c>
      <c r="D5" s="59" t="s">
        <v>105</v>
      </c>
      <c r="E5" s="29">
        <f>+E6+E9+E14+E17+E21+E27+E32+E34+E36+E38+E41+E43+E45+E47+E50+E52+E61</f>
        <v>131581207411</v>
      </c>
      <c r="F5" s="29">
        <f>+F6+F9+F14+F17+F21+F27+F32+F34+F36+F38+F41+F43+F45+F47+F50+F52+F61</f>
        <v>126595079233</v>
      </c>
      <c r="G5" s="72">
        <f>+F5/E5</f>
        <v>0.96210607672548865</v>
      </c>
      <c r="H5" s="29">
        <f>+H6+H9+H14+H17+H21+H27+H32+H34+H36+H38+H41+H43+H45+H47+H50+H52+H61</f>
        <v>126595079233</v>
      </c>
      <c r="I5" s="72">
        <f>+H5/E5</f>
        <v>0.96210607672548865</v>
      </c>
      <c r="J5" s="16"/>
      <c r="K5" s="29">
        <f>+K6+K9+K14+K17+K21+K27+K32+K34+K36+K38+K41+K43+K45+K47+K50+K52+K61</f>
        <v>10061012435.625862</v>
      </c>
      <c r="L5" s="72">
        <f>+K5/F5</f>
        <v>7.947396136234039E-2</v>
      </c>
      <c r="M5" s="29">
        <f>+M6+M9+M14+M17+M21+M27+M32+M34+M36+M38+M41+M43+M45+M47+M50+M52+M61</f>
        <v>55242213330.865875</v>
      </c>
      <c r="N5" s="72">
        <f>+M5/F5</f>
        <v>0.43636935705211588</v>
      </c>
      <c r="O5" s="29">
        <f>+O6+O9+O14+O17+O21+O27+O32+O34+O36+O38+O41+O43+O45+O47+O50+O52+O61</f>
        <v>54349011113.198578</v>
      </c>
      <c r="P5" s="72">
        <f>+O5/F5</f>
        <v>0.42931377303511514</v>
      </c>
      <c r="Q5" s="29">
        <f>+Q6+Q9+Q14+Q17+Q21+Q27+Q32+Q34+Q36+Q38+Q41+Q43+Q45+Q47+Q50+Q52+Q61</f>
        <v>6942842353.3096733</v>
      </c>
      <c r="R5" s="72">
        <f>+Q5/F5</f>
        <v>5.4842908550428532E-2</v>
      </c>
    </row>
    <row r="6" spans="2:46" s="2" customFormat="1" ht="28.8" x14ac:dyDescent="0.3">
      <c r="B6" s="94">
        <v>3</v>
      </c>
      <c r="C6" s="95" t="s">
        <v>106</v>
      </c>
      <c r="D6" s="95" t="s">
        <v>6</v>
      </c>
      <c r="E6" s="98">
        <f>+E7+E8</f>
        <v>25000000</v>
      </c>
      <c r="F6" s="98">
        <f t="shared" ref="F6:H6" si="0">+F7+F8</f>
        <v>25000000</v>
      </c>
      <c r="G6" s="99">
        <f t="shared" ref="G6:G56" si="1">+F6/E6</f>
        <v>1</v>
      </c>
      <c r="H6" s="98">
        <f t="shared" si="0"/>
        <v>25000000</v>
      </c>
      <c r="I6" s="99">
        <f t="shared" ref="I6:I56" si="2">+H6/E6</f>
        <v>1</v>
      </c>
      <c r="J6" s="16"/>
      <c r="K6" s="98">
        <f>+K7+K8</f>
        <v>1819322.459222083</v>
      </c>
      <c r="L6" s="99">
        <f t="shared" ref="L6:L56" si="3">+K6/F6</f>
        <v>7.2772898368883315E-2</v>
      </c>
      <c r="M6" s="98">
        <f t="shared" ref="M6:Q6" si="4">+M7+M8</f>
        <v>9269134.2534504384</v>
      </c>
      <c r="N6" s="99">
        <f t="shared" ref="N6:N56" si="5">+M6/F6</f>
        <v>0.37076537013801752</v>
      </c>
      <c r="O6" s="98">
        <f t="shared" si="4"/>
        <v>11308030.112923464</v>
      </c>
      <c r="P6" s="99">
        <f t="shared" ref="P6:P56" si="6">+O6/F6</f>
        <v>0.45232120451693858</v>
      </c>
      <c r="Q6" s="98">
        <f t="shared" si="4"/>
        <v>2603513.1744040153</v>
      </c>
      <c r="R6" s="99">
        <f t="shared" ref="R6:R56" si="7">+Q6/F6</f>
        <v>0.10414052697616061</v>
      </c>
    </row>
    <row r="7" spans="2:46" s="2" customFormat="1" ht="30.75" customHeight="1" x14ac:dyDescent="0.3">
      <c r="B7" s="20">
        <v>3</v>
      </c>
      <c r="C7" s="21" t="s">
        <v>106</v>
      </c>
      <c r="D7" s="6" t="s">
        <v>7</v>
      </c>
      <c r="E7" s="60">
        <v>10000000</v>
      </c>
      <c r="F7" s="60">
        <v>10000000</v>
      </c>
      <c r="G7" s="73">
        <f t="shared" si="1"/>
        <v>1</v>
      </c>
      <c r="H7" s="31">
        <v>10000000</v>
      </c>
      <c r="I7" s="77">
        <f t="shared" si="2"/>
        <v>1</v>
      </c>
      <c r="J7" s="16"/>
      <c r="K7" s="30">
        <f>($F$7/1594)*116</f>
        <v>727728.98368883308</v>
      </c>
      <c r="L7" s="77">
        <f t="shared" si="3"/>
        <v>7.2772898368883301E-2</v>
      </c>
      <c r="M7" s="30">
        <f>($F$7/1594)*591</f>
        <v>3707653.7013801755</v>
      </c>
      <c r="N7" s="77">
        <f t="shared" si="5"/>
        <v>0.37076537013801758</v>
      </c>
      <c r="O7" s="30">
        <f>($F$7/1594)*721</f>
        <v>4523212.0451693852</v>
      </c>
      <c r="P7" s="77">
        <f t="shared" si="6"/>
        <v>0.45232120451693852</v>
      </c>
      <c r="Q7" s="30">
        <f>($F$7/1594)*166</f>
        <v>1041405.269761606</v>
      </c>
      <c r="R7" s="77">
        <f t="shared" si="7"/>
        <v>0.10414052697616059</v>
      </c>
    </row>
    <row r="8" spans="2:46" s="36" customFormat="1" ht="37.5" customHeight="1" x14ac:dyDescent="0.3">
      <c r="B8" s="33">
        <v>3</v>
      </c>
      <c r="C8" s="34" t="s">
        <v>106</v>
      </c>
      <c r="D8" s="40" t="s">
        <v>83</v>
      </c>
      <c r="E8" s="43">
        <v>15000000</v>
      </c>
      <c r="F8" s="43">
        <v>15000000</v>
      </c>
      <c r="G8" s="74">
        <f t="shared" si="1"/>
        <v>1</v>
      </c>
      <c r="H8" s="43">
        <v>15000000</v>
      </c>
      <c r="I8" s="74">
        <f t="shared" si="2"/>
        <v>1</v>
      </c>
      <c r="J8" s="37"/>
      <c r="K8" s="39">
        <f>($F$8/1594)*116</f>
        <v>1091593.4755332498</v>
      </c>
      <c r="L8" s="79">
        <f t="shared" si="3"/>
        <v>7.2772898368883315E-2</v>
      </c>
      <c r="M8" s="39">
        <f>($F$8/1594)*591</f>
        <v>5561480.5520702638</v>
      </c>
      <c r="N8" s="79">
        <f t="shared" si="5"/>
        <v>0.37076537013801758</v>
      </c>
      <c r="O8" s="39">
        <f>($F$8/1594)*721</f>
        <v>6784818.0677540787</v>
      </c>
      <c r="P8" s="79">
        <f t="shared" si="6"/>
        <v>0.45232120451693858</v>
      </c>
      <c r="Q8" s="39">
        <f>($F$8/1594)*166</f>
        <v>1562107.9046424092</v>
      </c>
      <c r="R8" s="79">
        <f t="shared" si="7"/>
        <v>0.10414052697616061</v>
      </c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</row>
    <row r="9" spans="2:46" s="2" customFormat="1" ht="28.8" x14ac:dyDescent="0.3">
      <c r="B9" s="94">
        <v>3</v>
      </c>
      <c r="C9" s="95" t="s">
        <v>106</v>
      </c>
      <c r="D9" s="95" t="s">
        <v>8</v>
      </c>
      <c r="E9" s="98">
        <f>+E10+E11+E12+E13</f>
        <v>3462926536</v>
      </c>
      <c r="F9" s="98">
        <f t="shared" ref="F9:H9" si="8">+F10+F11+F12+F13</f>
        <v>1182020241</v>
      </c>
      <c r="G9" s="99">
        <f t="shared" si="1"/>
        <v>0.34133563871826822</v>
      </c>
      <c r="H9" s="98">
        <f t="shared" si="8"/>
        <v>1182020241</v>
      </c>
      <c r="I9" s="99">
        <f t="shared" si="2"/>
        <v>0.34133563871826822</v>
      </c>
      <c r="J9" s="16"/>
      <c r="K9" s="98">
        <f>+K10+K11+K12+K13</f>
        <v>91934846.651412129</v>
      </c>
      <c r="L9" s="99">
        <f t="shared" si="3"/>
        <v>7.7777726186511326E-2</v>
      </c>
      <c r="M9" s="98">
        <f t="shared" ref="M9:Q9" si="9">+M10+M11+M12+M13</f>
        <v>440757029.89722806</v>
      </c>
      <c r="N9" s="99">
        <f t="shared" si="5"/>
        <v>0.37288450282741653</v>
      </c>
      <c r="O9" s="98">
        <f t="shared" si="9"/>
        <v>562717414.48410046</v>
      </c>
      <c r="P9" s="99">
        <f t="shared" si="6"/>
        <v>0.47606411038108482</v>
      </c>
      <c r="Q9" s="98">
        <f t="shared" si="9"/>
        <v>86610949.967259422</v>
      </c>
      <c r="R9" s="99">
        <f t="shared" si="7"/>
        <v>7.3273660604987412E-2</v>
      </c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</row>
    <row r="10" spans="2:46" s="2" customFormat="1" ht="28.8" x14ac:dyDescent="0.3">
      <c r="B10" s="20">
        <v>3</v>
      </c>
      <c r="C10" s="21" t="s">
        <v>106</v>
      </c>
      <c r="D10" s="61" t="s">
        <v>9</v>
      </c>
      <c r="E10" s="60">
        <v>1144687538</v>
      </c>
      <c r="F10" s="60">
        <v>750899000</v>
      </c>
      <c r="G10" s="73">
        <f t="shared" si="1"/>
        <v>0.65598600060936452</v>
      </c>
      <c r="H10" s="31">
        <v>750899000</v>
      </c>
      <c r="I10" s="77">
        <f t="shared" si="2"/>
        <v>0.65598600060936452</v>
      </c>
      <c r="J10" s="16"/>
      <c r="K10" s="30">
        <f>F10*7.7/100</f>
        <v>57819223</v>
      </c>
      <c r="L10" s="77">
        <f t="shared" si="3"/>
        <v>7.6999999999999999E-2</v>
      </c>
      <c r="M10" s="30">
        <f>F10*37.2/100</f>
        <v>279334428.00000006</v>
      </c>
      <c r="N10" s="77">
        <f t="shared" si="5"/>
        <v>0.37200000000000005</v>
      </c>
      <c r="O10" s="30">
        <f>F10*47.62/100</f>
        <v>357578103.80000001</v>
      </c>
      <c r="P10" s="77">
        <f t="shared" si="6"/>
        <v>0.47620000000000001</v>
      </c>
      <c r="Q10" s="30">
        <f>F10*7.48/100</f>
        <v>56167245.200000003</v>
      </c>
      <c r="R10" s="77">
        <f t="shared" si="7"/>
        <v>7.4800000000000005E-2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2:46" s="2" customFormat="1" ht="28.8" x14ac:dyDescent="0.3">
      <c r="B11" s="20">
        <v>3</v>
      </c>
      <c r="C11" s="21" t="s">
        <v>106</v>
      </c>
      <c r="D11" s="61" t="s">
        <v>7</v>
      </c>
      <c r="E11" s="14">
        <v>34200000</v>
      </c>
      <c r="F11" s="14">
        <v>34200000</v>
      </c>
      <c r="G11" s="75">
        <f t="shared" si="1"/>
        <v>1</v>
      </c>
      <c r="H11" s="7">
        <v>34200000</v>
      </c>
      <c r="I11" s="78">
        <f>+H11/E11</f>
        <v>1</v>
      </c>
      <c r="J11" s="16"/>
      <c r="K11" s="30">
        <f>($F$11/3824)*323</f>
        <v>2888755.2301255227</v>
      </c>
      <c r="L11" s="77">
        <f t="shared" si="3"/>
        <v>8.4466527196652708E-2</v>
      </c>
      <c r="M11" s="30">
        <f>($F$11/3824)*1455</f>
        <v>13012813.807531381</v>
      </c>
      <c r="N11" s="77">
        <f t="shared" si="5"/>
        <v>0.38049163179916318</v>
      </c>
      <c r="O11" s="30">
        <f>($F$11/3824)*1816</f>
        <v>16241422.594142258</v>
      </c>
      <c r="P11" s="77">
        <f t="shared" si="6"/>
        <v>0.47489539748953974</v>
      </c>
      <c r="Q11" s="30">
        <f>($F$11/3824)*230</f>
        <v>2057008.3682008367</v>
      </c>
      <c r="R11" s="77">
        <f t="shared" si="7"/>
        <v>6.0146443514644349E-2</v>
      </c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</row>
    <row r="12" spans="2:46" s="2" customFormat="1" ht="28.8" x14ac:dyDescent="0.3">
      <c r="B12" s="20">
        <v>3</v>
      </c>
      <c r="C12" s="21" t="s">
        <v>106</v>
      </c>
      <c r="D12" s="6" t="s">
        <v>84</v>
      </c>
      <c r="E12" s="62">
        <v>308000000</v>
      </c>
      <c r="F12" s="62">
        <v>308000000</v>
      </c>
      <c r="G12" s="76">
        <f t="shared" si="1"/>
        <v>1</v>
      </c>
      <c r="H12" s="43">
        <v>308000000</v>
      </c>
      <c r="I12" s="74">
        <f t="shared" si="2"/>
        <v>1</v>
      </c>
      <c r="J12" s="16"/>
      <c r="K12" s="32">
        <f t="shared" ref="K12" si="10">F12*7.7/100</f>
        <v>23716000</v>
      </c>
      <c r="L12" s="73">
        <f t="shared" si="3"/>
        <v>7.6999999999999999E-2</v>
      </c>
      <c r="M12" s="32">
        <f t="shared" ref="M12" si="11">F12*37.2/100</f>
        <v>114576000</v>
      </c>
      <c r="N12" s="73">
        <f t="shared" si="5"/>
        <v>0.372</v>
      </c>
      <c r="O12" s="32">
        <f t="shared" ref="O12" si="12">F12*47.62/100</f>
        <v>146669600</v>
      </c>
      <c r="P12" s="73">
        <f t="shared" si="6"/>
        <v>0.47620000000000001</v>
      </c>
      <c r="Q12" s="32">
        <f t="shared" ref="Q12" si="13">F12*7.48/100</f>
        <v>23038400</v>
      </c>
      <c r="R12" s="73">
        <f t="shared" si="7"/>
        <v>7.4800000000000005E-2</v>
      </c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</row>
    <row r="13" spans="2:46" s="36" customFormat="1" ht="28.8" x14ac:dyDescent="0.3">
      <c r="B13" s="33">
        <v>3</v>
      </c>
      <c r="C13" s="34" t="s">
        <v>106</v>
      </c>
      <c r="D13" s="40" t="s">
        <v>85</v>
      </c>
      <c r="E13" s="62">
        <v>1976038998</v>
      </c>
      <c r="F13" s="62">
        <v>88921241</v>
      </c>
      <c r="G13" s="76">
        <f>+F13/E13</f>
        <v>4.499973992922178E-2</v>
      </c>
      <c r="H13" s="43">
        <v>88921241</v>
      </c>
      <c r="I13" s="74">
        <f t="shared" si="2"/>
        <v>4.499973992922178E-2</v>
      </c>
      <c r="J13" s="37"/>
      <c r="K13" s="39">
        <f>($F$13/3824)*323</f>
        <v>7510868.4212866109</v>
      </c>
      <c r="L13" s="79">
        <f t="shared" si="3"/>
        <v>8.4466527196652721E-2</v>
      </c>
      <c r="M13" s="39">
        <f>($F$13/3824)*1455</f>
        <v>33833788.089696653</v>
      </c>
      <c r="N13" s="79">
        <f t="shared" si="5"/>
        <v>0.38049163179916318</v>
      </c>
      <c r="O13" s="39">
        <f>($F$13/3824)*1816</f>
        <v>42228288.089958161</v>
      </c>
      <c r="P13" s="79">
        <f t="shared" si="6"/>
        <v>0.47489539748953979</v>
      </c>
      <c r="Q13" s="39">
        <f>($F$13/3824)*230</f>
        <v>5348296.3990585776</v>
      </c>
      <c r="R13" s="79">
        <f t="shared" si="7"/>
        <v>6.0146443514644356E-2</v>
      </c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</row>
    <row r="14" spans="2:46" s="2" customFormat="1" ht="38.25" customHeight="1" x14ac:dyDescent="0.3">
      <c r="B14" s="94">
        <v>3</v>
      </c>
      <c r="C14" s="95" t="s">
        <v>106</v>
      </c>
      <c r="D14" s="95" t="s">
        <v>10</v>
      </c>
      <c r="E14" s="98">
        <f>+E15+E16</f>
        <v>601717925</v>
      </c>
      <c r="F14" s="98">
        <f t="shared" ref="F14:H14" si="14">+F15+F16</f>
        <v>601717925</v>
      </c>
      <c r="G14" s="99">
        <f t="shared" si="1"/>
        <v>1</v>
      </c>
      <c r="H14" s="98">
        <f t="shared" si="14"/>
        <v>601717925</v>
      </c>
      <c r="I14" s="99">
        <f t="shared" si="2"/>
        <v>1</v>
      </c>
      <c r="J14" s="16"/>
      <c r="K14" s="98">
        <f>+K15+K16</f>
        <v>45293906.891293347</v>
      </c>
      <c r="L14" s="99">
        <f t="shared" si="3"/>
        <v>7.527431876205673E-2</v>
      </c>
      <c r="M14" s="98">
        <f t="shared" ref="M14:Q14" si="15">+M15+M16</f>
        <v>253079067.84958792</v>
      </c>
      <c r="N14" s="99">
        <f t="shared" si="5"/>
        <v>0.42059419760444716</v>
      </c>
      <c r="O14" s="98">
        <f t="shared" si="15"/>
        <v>303344950.25911874</v>
      </c>
      <c r="P14" s="99">
        <f t="shared" si="6"/>
        <v>0.50413148363349614</v>
      </c>
      <c r="Q14" s="98">
        <f t="shared" si="15"/>
        <v>0</v>
      </c>
      <c r="R14" s="99">
        <f t="shared" si="7"/>
        <v>0</v>
      </c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</row>
    <row r="15" spans="2:46" s="2" customFormat="1" ht="28.8" x14ac:dyDescent="0.3">
      <c r="B15" s="20">
        <v>3</v>
      </c>
      <c r="C15" s="21" t="s">
        <v>106</v>
      </c>
      <c r="D15" s="6" t="s">
        <v>7</v>
      </c>
      <c r="E15" s="31">
        <v>21841500</v>
      </c>
      <c r="F15" s="31">
        <v>21841500</v>
      </c>
      <c r="G15" s="77">
        <f t="shared" si="1"/>
        <v>1</v>
      </c>
      <c r="H15" s="31">
        <v>21841500</v>
      </c>
      <c r="I15" s="77">
        <f t="shared" si="2"/>
        <v>1</v>
      </c>
      <c r="J15" s="16"/>
      <c r="K15" s="30">
        <f>($F$15/10350)*868</f>
        <v>1831731.5942028987</v>
      </c>
      <c r="L15" s="77">
        <f t="shared" si="3"/>
        <v>8.3864734299516908E-2</v>
      </c>
      <c r="M15" s="30">
        <f>($F$15/10350)*4775</f>
        <v>10076634.057971016</v>
      </c>
      <c r="N15" s="77">
        <f t="shared" si="5"/>
        <v>0.46135265700483097</v>
      </c>
      <c r="O15" s="30">
        <f>($F$15/10350)*4707</f>
        <v>9933134.3478260878</v>
      </c>
      <c r="P15" s="77">
        <f t="shared" si="6"/>
        <v>0.45478260869565224</v>
      </c>
      <c r="Q15" s="30"/>
      <c r="R15" s="77">
        <f t="shared" si="7"/>
        <v>0</v>
      </c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</row>
    <row r="16" spans="2:46" s="2" customFormat="1" ht="28.8" x14ac:dyDescent="0.3">
      <c r="B16" s="20">
        <v>3</v>
      </c>
      <c r="C16" s="21" t="s">
        <v>106</v>
      </c>
      <c r="D16" s="6" t="s">
        <v>11</v>
      </c>
      <c r="E16" s="60">
        <v>579876425</v>
      </c>
      <c r="F16" s="31">
        <v>579876425</v>
      </c>
      <c r="G16" s="77">
        <f t="shared" si="1"/>
        <v>1</v>
      </c>
      <c r="H16" s="31">
        <v>579876425</v>
      </c>
      <c r="I16" s="77">
        <f t="shared" si="2"/>
        <v>1</v>
      </c>
      <c r="J16" s="16"/>
      <c r="K16" s="30">
        <f>($F$16/30967)*2321</f>
        <v>43462175.297090448</v>
      </c>
      <c r="L16" s="77">
        <f t="shared" si="3"/>
        <v>7.4950754028481933E-2</v>
      </c>
      <c r="M16" s="30">
        <f>($F$16/30967)*12977</f>
        <v>243002433.79161689</v>
      </c>
      <c r="N16" s="77">
        <f t="shared" si="5"/>
        <v>0.41905899828850068</v>
      </c>
      <c r="O16" s="30">
        <f>($F$16/30967)*15669</f>
        <v>293411815.91129267</v>
      </c>
      <c r="P16" s="77">
        <f t="shared" si="6"/>
        <v>0.50599024768301737</v>
      </c>
      <c r="Q16" s="30"/>
      <c r="R16" s="77">
        <f t="shared" si="7"/>
        <v>0</v>
      </c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</row>
    <row r="17" spans="2:46" s="2" customFormat="1" ht="28.8" x14ac:dyDescent="0.3">
      <c r="B17" s="94">
        <v>3</v>
      </c>
      <c r="C17" s="95" t="s">
        <v>106</v>
      </c>
      <c r="D17" s="95" t="s">
        <v>12</v>
      </c>
      <c r="E17" s="98">
        <f>+E18+E19+E20</f>
        <v>417000000</v>
      </c>
      <c r="F17" s="98">
        <f>+F18+F19+F20</f>
        <v>417000000</v>
      </c>
      <c r="G17" s="99">
        <f t="shared" si="1"/>
        <v>1</v>
      </c>
      <c r="H17" s="98">
        <f>+H18+H19+H20</f>
        <v>417000000</v>
      </c>
      <c r="I17" s="99">
        <f t="shared" si="2"/>
        <v>1</v>
      </c>
      <c r="J17" s="16"/>
      <c r="K17" s="98">
        <f>+K18+K19+K20</f>
        <v>23689351.069302563</v>
      </c>
      <c r="L17" s="99">
        <f t="shared" si="3"/>
        <v>5.6808995370030126E-2</v>
      </c>
      <c r="M17" s="98">
        <f>+M18+M19+M20</f>
        <v>155467112.51561695</v>
      </c>
      <c r="N17" s="99">
        <f t="shared" si="5"/>
        <v>0.37282281178805027</v>
      </c>
      <c r="O17" s="98">
        <f>+O18+O19+O20</f>
        <v>237843536.41508046</v>
      </c>
      <c r="P17" s="99">
        <f t="shared" si="6"/>
        <v>0.57036819284191953</v>
      </c>
      <c r="Q17" s="98">
        <f>+Q18+Q19+Q20</f>
        <v>0</v>
      </c>
      <c r="R17" s="99">
        <f t="shared" si="7"/>
        <v>0</v>
      </c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</row>
    <row r="18" spans="2:46" s="2" customFormat="1" ht="28.8" x14ac:dyDescent="0.3">
      <c r="B18" s="20">
        <v>3</v>
      </c>
      <c r="C18" s="21" t="s">
        <v>106</v>
      </c>
      <c r="D18" s="6" t="s">
        <v>7</v>
      </c>
      <c r="E18" s="31">
        <v>402000000</v>
      </c>
      <c r="F18" s="31">
        <v>402000000</v>
      </c>
      <c r="G18" s="77">
        <f t="shared" si="1"/>
        <v>1</v>
      </c>
      <c r="H18" s="31">
        <v>402000000</v>
      </c>
      <c r="I18" s="77">
        <f t="shared" si="2"/>
        <v>1</v>
      </c>
      <c r="J18" s="16"/>
      <c r="K18" s="30">
        <f>($F$18/13607)*773</f>
        <v>22837216.13875211</v>
      </c>
      <c r="L18" s="77">
        <f t="shared" si="3"/>
        <v>5.6808995370030126E-2</v>
      </c>
      <c r="M18" s="30">
        <f>($F$18/13607)*5073</f>
        <v>149874770.3387962</v>
      </c>
      <c r="N18" s="77">
        <f t="shared" si="5"/>
        <v>0.37282281178805027</v>
      </c>
      <c r="O18" s="30">
        <f>($F$18/13607)*7761</f>
        <v>229288013.52245167</v>
      </c>
      <c r="P18" s="77">
        <f t="shared" si="6"/>
        <v>0.57036819284191953</v>
      </c>
      <c r="Q18" s="30"/>
      <c r="R18" s="77">
        <f t="shared" si="7"/>
        <v>0</v>
      </c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</row>
    <row r="19" spans="2:46" s="36" customFormat="1" ht="36.75" customHeight="1" x14ac:dyDescent="0.3">
      <c r="B19" s="33">
        <v>3</v>
      </c>
      <c r="C19" s="34" t="s">
        <v>106</v>
      </c>
      <c r="D19" s="40" t="s">
        <v>85</v>
      </c>
      <c r="E19" s="43">
        <v>10000000</v>
      </c>
      <c r="F19" s="43">
        <v>10000000</v>
      </c>
      <c r="G19" s="74">
        <f t="shared" si="1"/>
        <v>1</v>
      </c>
      <c r="H19" s="43">
        <v>10000000</v>
      </c>
      <c r="I19" s="74">
        <f t="shared" si="2"/>
        <v>1</v>
      </c>
      <c r="J19" s="37"/>
      <c r="K19" s="55">
        <f>($F$19/13607)*773</f>
        <v>568089.95370030135</v>
      </c>
      <c r="L19" s="79">
        <f t="shared" si="3"/>
        <v>5.6808995370030133E-2</v>
      </c>
      <c r="M19" s="55">
        <f>($F$19/13607)*5073</f>
        <v>3728228.1178805027</v>
      </c>
      <c r="N19" s="79">
        <f t="shared" si="5"/>
        <v>0.37282281178805027</v>
      </c>
      <c r="O19" s="55">
        <f>($F$19/13607)*7761</f>
        <v>5703681.928419196</v>
      </c>
      <c r="P19" s="79">
        <f t="shared" si="6"/>
        <v>0.57036819284191964</v>
      </c>
      <c r="Q19" s="55"/>
      <c r="R19" s="79">
        <f t="shared" si="7"/>
        <v>0</v>
      </c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</row>
    <row r="20" spans="2:46" s="36" customFormat="1" ht="49.5" customHeight="1" x14ac:dyDescent="0.3">
      <c r="B20" s="33">
        <v>3</v>
      </c>
      <c r="C20" s="34" t="s">
        <v>106</v>
      </c>
      <c r="D20" s="40" t="s">
        <v>86</v>
      </c>
      <c r="E20" s="43">
        <v>5000000</v>
      </c>
      <c r="F20" s="43">
        <v>5000000</v>
      </c>
      <c r="G20" s="74">
        <f t="shared" si="1"/>
        <v>1</v>
      </c>
      <c r="H20" s="43">
        <v>5000000</v>
      </c>
      <c r="I20" s="74">
        <f t="shared" si="2"/>
        <v>1</v>
      </c>
      <c r="J20" s="37"/>
      <c r="K20" s="55">
        <f>($F$20/13607)*773</f>
        <v>284044.97685015068</v>
      </c>
      <c r="L20" s="79">
        <f t="shared" si="3"/>
        <v>5.6808995370030133E-2</v>
      </c>
      <c r="M20" s="55">
        <f>($F$20/13607)*5073</f>
        <v>1864114.0589402514</v>
      </c>
      <c r="N20" s="79">
        <f t="shared" si="5"/>
        <v>0.37282281178805027</v>
      </c>
      <c r="O20" s="55">
        <f>($F$20/13607)*7761</f>
        <v>2851840.964209598</v>
      </c>
      <c r="P20" s="79">
        <f t="shared" si="6"/>
        <v>0.57036819284191964</v>
      </c>
      <c r="Q20" s="52"/>
      <c r="R20" s="79">
        <f t="shared" si="7"/>
        <v>0</v>
      </c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</row>
    <row r="21" spans="2:46" s="2" customFormat="1" x14ac:dyDescent="0.3">
      <c r="B21" s="94">
        <v>2</v>
      </c>
      <c r="C21" s="95" t="s">
        <v>107</v>
      </c>
      <c r="D21" s="95" t="s">
        <v>13</v>
      </c>
      <c r="E21" s="98">
        <f>+E22+E23+E24+E25+E26</f>
        <v>12941667835</v>
      </c>
      <c r="F21" s="98">
        <f>+F22+F23+F24+F25+F26</f>
        <v>10619698641</v>
      </c>
      <c r="G21" s="99">
        <f t="shared" si="1"/>
        <v>0.82058192007367337</v>
      </c>
      <c r="H21" s="98">
        <f>+H22+H23+H24+H25+H26</f>
        <v>10619698641</v>
      </c>
      <c r="I21" s="99">
        <f t="shared" si="2"/>
        <v>0.82058192007367337</v>
      </c>
      <c r="J21" s="16"/>
      <c r="K21" s="98">
        <f>+K22+K23+K24+K25+K26</f>
        <v>1014830948.6133672</v>
      </c>
      <c r="L21" s="99">
        <f t="shared" si="3"/>
        <v>9.5561181434599171E-2</v>
      </c>
      <c r="M21" s="98">
        <f>+M22+M23+M24+M25+M26</f>
        <v>5196393299.5758991</v>
      </c>
      <c r="N21" s="99">
        <f t="shared" si="5"/>
        <v>0.48931645569620258</v>
      </c>
      <c r="O21" s="98">
        <f>+O22+O23+O24+O25+O26</f>
        <v>4295914548.9871387</v>
      </c>
      <c r="P21" s="99">
        <f t="shared" si="6"/>
        <v>0.4045232067510548</v>
      </c>
      <c r="Q21" s="98">
        <f>+Q22+Q23+Q24+Q25+Q26</f>
        <v>112559843.82359494</v>
      </c>
      <c r="R21" s="99">
        <f t="shared" si="7"/>
        <v>1.059915611814346E-2</v>
      </c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</row>
    <row r="22" spans="2:46" s="2" customFormat="1" x14ac:dyDescent="0.3">
      <c r="B22" s="20">
        <v>2</v>
      </c>
      <c r="C22" s="21" t="s">
        <v>107</v>
      </c>
      <c r="D22" s="6" t="s">
        <v>14</v>
      </c>
      <c r="E22" s="7">
        <v>8967474767</v>
      </c>
      <c r="F22" s="7">
        <v>6895505573</v>
      </c>
      <c r="G22" s="78">
        <f t="shared" si="1"/>
        <v>0.7689461918950945</v>
      </c>
      <c r="H22" s="7">
        <v>6895505573</v>
      </c>
      <c r="I22" s="78">
        <f t="shared" si="2"/>
        <v>0.7689461918950945</v>
      </c>
      <c r="J22" s="16"/>
      <c r="K22" s="30">
        <f>($F$22/29625)*2831</f>
        <v>658942659.14474261</v>
      </c>
      <c r="L22" s="77">
        <f t="shared" si="3"/>
        <v>9.5561181434599157E-2</v>
      </c>
      <c r="M22" s="30">
        <f>($F$22/29625)*14496</f>
        <v>3374084347.2137723</v>
      </c>
      <c r="N22" s="77">
        <f t="shared" si="5"/>
        <v>0.48931645569620258</v>
      </c>
      <c r="O22" s="30">
        <f>($F$22/29625)*11984</f>
        <v>2789392026.5597301</v>
      </c>
      <c r="P22" s="77">
        <f t="shared" si="6"/>
        <v>0.40452320675105485</v>
      </c>
      <c r="Q22" s="30">
        <f>($F$22/29625)*314</f>
        <v>73086540.08175528</v>
      </c>
      <c r="R22" s="77">
        <f t="shared" si="7"/>
        <v>1.059915611814346E-2</v>
      </c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</row>
    <row r="23" spans="2:46" s="2" customFormat="1" x14ac:dyDescent="0.3">
      <c r="B23" s="20">
        <v>2</v>
      </c>
      <c r="C23" s="21" t="s">
        <v>107</v>
      </c>
      <c r="D23" s="6" t="s">
        <v>7</v>
      </c>
      <c r="E23" s="7">
        <v>250000000</v>
      </c>
      <c r="F23" s="7">
        <v>0</v>
      </c>
      <c r="G23" s="78">
        <f t="shared" si="1"/>
        <v>0</v>
      </c>
      <c r="H23" s="7">
        <v>0</v>
      </c>
      <c r="I23" s="78">
        <f t="shared" si="2"/>
        <v>0</v>
      </c>
      <c r="J23" s="16"/>
      <c r="K23" s="26"/>
      <c r="L23" s="77"/>
      <c r="M23" s="26"/>
      <c r="N23" s="77"/>
      <c r="O23" s="26"/>
      <c r="P23" s="77"/>
      <c r="Q23" s="26"/>
      <c r="R23" s="7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</row>
    <row r="24" spans="2:46" s="2" customFormat="1" ht="34.5" customHeight="1" x14ac:dyDescent="0.3">
      <c r="B24" s="20">
        <v>2</v>
      </c>
      <c r="C24" s="21" t="s">
        <v>107</v>
      </c>
      <c r="D24" s="6" t="s">
        <v>15</v>
      </c>
      <c r="E24" s="31">
        <v>2113480639</v>
      </c>
      <c r="F24" s="31">
        <v>2113480639</v>
      </c>
      <c r="G24" s="77">
        <f t="shared" si="1"/>
        <v>1</v>
      </c>
      <c r="H24" s="31">
        <v>2113480639</v>
      </c>
      <c r="I24" s="77">
        <f t="shared" si="2"/>
        <v>1</v>
      </c>
      <c r="J24" s="16"/>
      <c r="K24" s="30">
        <f>($F$24/29625)*2831</f>
        <v>201966706.80199155</v>
      </c>
      <c r="L24" s="77">
        <f t="shared" si="3"/>
        <v>9.5561181434599157E-2</v>
      </c>
      <c r="M24" s="30">
        <f>($F$24/29625)*14496</f>
        <v>1034160855.4580253</v>
      </c>
      <c r="N24" s="77">
        <f t="shared" si="5"/>
        <v>0.48931645569620252</v>
      </c>
      <c r="O24" s="30">
        <f>($F$24/29625)*11984</f>
        <v>854951965.49454844</v>
      </c>
      <c r="P24" s="77">
        <f t="shared" si="6"/>
        <v>0.4045232067510548</v>
      </c>
      <c r="Q24" s="30">
        <f>($F$24/29625)*314</f>
        <v>22401111.245434597</v>
      </c>
      <c r="R24" s="77">
        <f t="shared" si="7"/>
        <v>1.0599156118143459E-2</v>
      </c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2:46" s="36" customFormat="1" x14ac:dyDescent="0.3">
      <c r="B25" s="33">
        <v>2</v>
      </c>
      <c r="C25" s="34" t="s">
        <v>107</v>
      </c>
      <c r="D25" s="40" t="s">
        <v>87</v>
      </c>
      <c r="E25" s="41">
        <v>1566665054</v>
      </c>
      <c r="F25" s="41">
        <v>1566665054</v>
      </c>
      <c r="G25" s="79">
        <f t="shared" si="1"/>
        <v>1</v>
      </c>
      <c r="H25" s="41">
        <v>1566665054</v>
      </c>
      <c r="I25" s="79">
        <f t="shared" si="2"/>
        <v>1</v>
      </c>
      <c r="J25" s="37"/>
      <c r="K25" s="39">
        <f>($F$25/29625)*2831</f>
        <v>149712363.47254008</v>
      </c>
      <c r="L25" s="79">
        <f t="shared" si="3"/>
        <v>9.5561181434599157E-2</v>
      </c>
      <c r="M25" s="39">
        <f>($F$25/29625)*14496</f>
        <v>766594991.48637974</v>
      </c>
      <c r="N25" s="79">
        <f t="shared" si="5"/>
        <v>0.48931645569620252</v>
      </c>
      <c r="O25" s="39">
        <f>($F$25/29625)*11984</f>
        <v>633752371.54889452</v>
      </c>
      <c r="P25" s="79">
        <f t="shared" si="6"/>
        <v>0.40452320675105485</v>
      </c>
      <c r="Q25" s="39">
        <f>($F$25/29625)*314</f>
        <v>16605327.492185654</v>
      </c>
      <c r="R25" s="79">
        <f t="shared" si="7"/>
        <v>1.059915611814346E-2</v>
      </c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</row>
    <row r="26" spans="2:46" s="36" customFormat="1" x14ac:dyDescent="0.3">
      <c r="B26" s="33">
        <v>2</v>
      </c>
      <c r="C26" s="34" t="s">
        <v>107</v>
      </c>
      <c r="D26" s="40" t="s">
        <v>88</v>
      </c>
      <c r="E26" s="41">
        <v>44047375</v>
      </c>
      <c r="F26" s="41">
        <v>44047375</v>
      </c>
      <c r="G26" s="79">
        <f t="shared" si="1"/>
        <v>1</v>
      </c>
      <c r="H26" s="41">
        <v>44047375</v>
      </c>
      <c r="I26" s="79">
        <f t="shared" si="2"/>
        <v>1</v>
      </c>
      <c r="J26" s="37"/>
      <c r="K26" s="39">
        <f>($F$26/29625)*2831</f>
        <v>4209219.1940928269</v>
      </c>
      <c r="L26" s="79">
        <f t="shared" si="3"/>
        <v>9.5561181434599157E-2</v>
      </c>
      <c r="M26" s="39">
        <f>($F$26/29625)*14496</f>
        <v>21553105.417721517</v>
      </c>
      <c r="N26" s="79">
        <f t="shared" si="5"/>
        <v>0.48931645569620247</v>
      </c>
      <c r="O26" s="39">
        <f>($F$26/29625)*11984</f>
        <v>17818185.383966245</v>
      </c>
      <c r="P26" s="79">
        <f t="shared" si="6"/>
        <v>0.40452320675105485</v>
      </c>
      <c r="Q26" s="39">
        <f>($F$26/29625)*314</f>
        <v>466865.00421940931</v>
      </c>
      <c r="R26" s="79">
        <f t="shared" si="7"/>
        <v>1.059915611814346E-2</v>
      </c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</row>
    <row r="27" spans="2:46" s="2" customFormat="1" ht="28.8" x14ac:dyDescent="0.3">
      <c r="B27" s="94">
        <v>3</v>
      </c>
      <c r="C27" s="95" t="s">
        <v>106</v>
      </c>
      <c r="D27" s="95" t="s">
        <v>16</v>
      </c>
      <c r="E27" s="98">
        <f>+E28+E29+E30+E31</f>
        <v>145000000</v>
      </c>
      <c r="F27" s="98">
        <f t="shared" ref="F27:H27" si="16">+F28+F29+F30+F31</f>
        <v>145000000</v>
      </c>
      <c r="G27" s="99">
        <f t="shared" si="1"/>
        <v>1</v>
      </c>
      <c r="H27" s="98">
        <f t="shared" si="16"/>
        <v>145000000</v>
      </c>
      <c r="I27" s="99">
        <f t="shared" si="2"/>
        <v>1</v>
      </c>
      <c r="J27" s="16"/>
      <c r="K27" s="98">
        <f>+K28+K29+K30+K31</f>
        <v>1556564.8224607762</v>
      </c>
      <c r="L27" s="99">
        <f t="shared" si="3"/>
        <v>1.0734929810074319E-2</v>
      </c>
      <c r="M27" s="98">
        <f t="shared" ref="M27:Q27" si="17">+M28+M29+M30+M31</f>
        <v>28676713.459950455</v>
      </c>
      <c r="N27" s="99">
        <f t="shared" si="5"/>
        <v>0.19777043765483071</v>
      </c>
      <c r="O27" s="98">
        <f>+O28+O29+O30+O31</f>
        <v>108061519.40545005</v>
      </c>
      <c r="P27" s="99">
        <f t="shared" si="6"/>
        <v>0.74525185796862103</v>
      </c>
      <c r="Q27" s="98">
        <f t="shared" si="17"/>
        <v>6705202.3121387288</v>
      </c>
      <c r="R27" s="99">
        <f t="shared" si="7"/>
        <v>4.6242774566473993E-2</v>
      </c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</row>
    <row r="28" spans="2:46" s="2" customFormat="1" ht="28.8" x14ac:dyDescent="0.3">
      <c r="B28" s="20">
        <v>3</v>
      </c>
      <c r="C28" s="21" t="s">
        <v>106</v>
      </c>
      <c r="D28" s="6" t="s">
        <v>7</v>
      </c>
      <c r="E28" s="7">
        <v>10000000</v>
      </c>
      <c r="F28" s="7">
        <v>10000000</v>
      </c>
      <c r="G28" s="78">
        <f t="shared" si="1"/>
        <v>1</v>
      </c>
      <c r="H28" s="7">
        <v>10000000</v>
      </c>
      <c r="I28" s="78">
        <f t="shared" si="2"/>
        <v>1</v>
      </c>
      <c r="J28" s="16"/>
      <c r="K28" s="30">
        <f>($F$28/2422)*26</f>
        <v>107349.29810074318</v>
      </c>
      <c r="L28" s="77">
        <f t="shared" si="3"/>
        <v>1.0734929810074317E-2</v>
      </c>
      <c r="M28" s="30">
        <f>($F$28/2422)*479</f>
        <v>1977704.3765483072</v>
      </c>
      <c r="N28" s="77">
        <f t="shared" si="5"/>
        <v>0.19777043765483074</v>
      </c>
      <c r="O28" s="30">
        <f>($F$28/2422)*1805</f>
        <v>7452518.5796862096</v>
      </c>
      <c r="P28" s="77">
        <f t="shared" si="6"/>
        <v>0.74525185796862092</v>
      </c>
      <c r="Q28" s="30">
        <f>($F$28/2422)*112</f>
        <v>462427.74566473986</v>
      </c>
      <c r="R28" s="77">
        <f t="shared" si="7"/>
        <v>4.6242774566473986E-2</v>
      </c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</row>
    <row r="29" spans="2:46" s="36" customFormat="1" ht="28.8" x14ac:dyDescent="0.3">
      <c r="B29" s="33">
        <v>3</v>
      </c>
      <c r="C29" s="34" t="s">
        <v>106</v>
      </c>
      <c r="D29" s="40" t="s">
        <v>15</v>
      </c>
      <c r="E29" s="43">
        <v>30000000</v>
      </c>
      <c r="F29" s="43">
        <v>30000000</v>
      </c>
      <c r="G29" s="74">
        <f t="shared" si="1"/>
        <v>1</v>
      </c>
      <c r="H29" s="43">
        <v>30000000</v>
      </c>
      <c r="I29" s="74">
        <f t="shared" si="2"/>
        <v>1</v>
      </c>
      <c r="J29" s="37"/>
      <c r="K29" s="39">
        <f>($F$29/2422)*26</f>
        <v>322047.89430222957</v>
      </c>
      <c r="L29" s="79">
        <f t="shared" si="3"/>
        <v>1.0734929810074319E-2</v>
      </c>
      <c r="M29" s="39">
        <f>($F$29/2422)*479</f>
        <v>5933113.129644922</v>
      </c>
      <c r="N29" s="79">
        <f t="shared" si="5"/>
        <v>0.19777043765483074</v>
      </c>
      <c r="O29" s="39">
        <f>($F$29/2422)*1805</f>
        <v>22357555.739058632</v>
      </c>
      <c r="P29" s="79">
        <f t="shared" si="6"/>
        <v>0.74525185796862103</v>
      </c>
      <c r="Q29" s="39">
        <f>($F$29/2422)*112</f>
        <v>1387283.2369942197</v>
      </c>
      <c r="R29" s="79">
        <f t="shared" si="7"/>
        <v>4.6242774566473993E-2</v>
      </c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</row>
    <row r="30" spans="2:46" s="36" customFormat="1" ht="42.75" customHeight="1" x14ac:dyDescent="0.3">
      <c r="B30" s="33">
        <v>3</v>
      </c>
      <c r="C30" s="34" t="s">
        <v>106</v>
      </c>
      <c r="D30" s="40" t="s">
        <v>86</v>
      </c>
      <c r="E30" s="43">
        <v>95000000</v>
      </c>
      <c r="F30" s="43">
        <v>95000000</v>
      </c>
      <c r="G30" s="74">
        <f t="shared" si="1"/>
        <v>1</v>
      </c>
      <c r="H30" s="43">
        <v>95000000</v>
      </c>
      <c r="I30" s="74">
        <f t="shared" si="2"/>
        <v>1</v>
      </c>
      <c r="J30" s="37"/>
      <c r="K30" s="39">
        <f>($F$30/2422)*26</f>
        <v>1019818.3319570603</v>
      </c>
      <c r="L30" s="79">
        <f t="shared" si="3"/>
        <v>1.0734929810074319E-2</v>
      </c>
      <c r="M30" s="39">
        <f>($F$30/2422)*479</f>
        <v>18788191.577208918</v>
      </c>
      <c r="N30" s="79">
        <f t="shared" si="5"/>
        <v>0.19777043765483071</v>
      </c>
      <c r="O30" s="39">
        <f>($F$30/2422)*1805</f>
        <v>70798926.507018998</v>
      </c>
      <c r="P30" s="79">
        <f t="shared" si="6"/>
        <v>0.74525185796862103</v>
      </c>
      <c r="Q30" s="39">
        <f>($F$30/2422)*112</f>
        <v>4393063.5838150289</v>
      </c>
      <c r="R30" s="79">
        <f t="shared" si="7"/>
        <v>4.6242774566473986E-2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</row>
    <row r="31" spans="2:46" s="36" customFormat="1" ht="28.8" x14ac:dyDescent="0.3">
      <c r="B31" s="33">
        <v>3</v>
      </c>
      <c r="C31" s="34" t="s">
        <v>106</v>
      </c>
      <c r="D31" s="40" t="s">
        <v>89</v>
      </c>
      <c r="E31" s="43">
        <v>10000000</v>
      </c>
      <c r="F31" s="43">
        <v>10000000</v>
      </c>
      <c r="G31" s="74">
        <f t="shared" si="1"/>
        <v>1</v>
      </c>
      <c r="H31" s="43">
        <v>10000000</v>
      </c>
      <c r="I31" s="74">
        <f t="shared" si="2"/>
        <v>1</v>
      </c>
      <c r="J31" s="37"/>
      <c r="K31" s="39">
        <f>($F$31/2422)*26</f>
        <v>107349.29810074318</v>
      </c>
      <c r="L31" s="79">
        <f t="shared" si="3"/>
        <v>1.0734929810074317E-2</v>
      </c>
      <c r="M31" s="39">
        <f>($F$31/2422)*479</f>
        <v>1977704.3765483072</v>
      </c>
      <c r="N31" s="79">
        <f t="shared" si="5"/>
        <v>0.19777043765483074</v>
      </c>
      <c r="O31" s="39">
        <f>($F$31/2422)*1805</f>
        <v>7452518.5796862096</v>
      </c>
      <c r="P31" s="79">
        <f t="shared" si="6"/>
        <v>0.74525185796862092</v>
      </c>
      <c r="Q31" s="39">
        <f>($F$31/2422)*112</f>
        <v>462427.74566473986</v>
      </c>
      <c r="R31" s="79">
        <f t="shared" si="7"/>
        <v>4.6242774566473986E-2</v>
      </c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</row>
    <row r="32" spans="2:46" s="2" customFormat="1" ht="35.25" customHeight="1" x14ac:dyDescent="0.3">
      <c r="B32" s="94">
        <v>9</v>
      </c>
      <c r="C32" s="95" t="s">
        <v>113</v>
      </c>
      <c r="D32" s="95" t="s">
        <v>17</v>
      </c>
      <c r="E32" s="98">
        <f>+E33</f>
        <v>16000000</v>
      </c>
      <c r="F32" s="98">
        <f t="shared" ref="F32:H32" si="18">+F33</f>
        <v>16000000</v>
      </c>
      <c r="G32" s="99">
        <f t="shared" si="1"/>
        <v>1</v>
      </c>
      <c r="H32" s="98">
        <f t="shared" si="18"/>
        <v>16000000</v>
      </c>
      <c r="I32" s="99">
        <f t="shared" si="2"/>
        <v>1</v>
      </c>
      <c r="J32" s="16"/>
      <c r="K32" s="98">
        <f>+K33</f>
        <v>0</v>
      </c>
      <c r="L32" s="99">
        <f t="shared" si="3"/>
        <v>0</v>
      </c>
      <c r="M32" s="98">
        <f t="shared" ref="M32:Q32" si="19">+M33</f>
        <v>0</v>
      </c>
      <c r="N32" s="99">
        <f t="shared" si="5"/>
        <v>0</v>
      </c>
      <c r="O32" s="98">
        <f t="shared" si="19"/>
        <v>16000000</v>
      </c>
      <c r="P32" s="99">
        <f t="shared" si="6"/>
        <v>1</v>
      </c>
      <c r="Q32" s="98">
        <f t="shared" si="19"/>
        <v>0</v>
      </c>
      <c r="R32" s="99">
        <f t="shared" si="7"/>
        <v>0</v>
      </c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</row>
    <row r="33" spans="2:46" s="2" customFormat="1" ht="28.8" x14ac:dyDescent="0.3">
      <c r="B33" s="20">
        <v>9</v>
      </c>
      <c r="C33" s="21" t="s">
        <v>113</v>
      </c>
      <c r="D33" s="6" t="s">
        <v>7</v>
      </c>
      <c r="E33" s="31">
        <v>16000000</v>
      </c>
      <c r="F33" s="31">
        <v>16000000</v>
      </c>
      <c r="G33" s="77">
        <f t="shared" si="1"/>
        <v>1</v>
      </c>
      <c r="H33" s="31">
        <v>16000000</v>
      </c>
      <c r="I33" s="77">
        <f t="shared" si="2"/>
        <v>1</v>
      </c>
      <c r="J33" s="16"/>
      <c r="K33" s="30"/>
      <c r="L33" s="77">
        <f t="shared" si="3"/>
        <v>0</v>
      </c>
      <c r="M33" s="30"/>
      <c r="N33" s="77">
        <f t="shared" si="5"/>
        <v>0</v>
      </c>
      <c r="O33" s="30">
        <f>($F$33/1263)*1263</f>
        <v>16000000</v>
      </c>
      <c r="P33" s="77">
        <f t="shared" si="6"/>
        <v>1</v>
      </c>
      <c r="Q33" s="30"/>
      <c r="R33" s="77">
        <f t="shared" si="7"/>
        <v>0</v>
      </c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</row>
    <row r="34" spans="2:46" s="2" customFormat="1" ht="31.5" customHeight="1" x14ac:dyDescent="0.3">
      <c r="B34" s="94">
        <v>3</v>
      </c>
      <c r="C34" s="95" t="s">
        <v>106</v>
      </c>
      <c r="D34" s="95" t="s">
        <v>18</v>
      </c>
      <c r="E34" s="98">
        <f>+E35</f>
        <v>43425000</v>
      </c>
      <c r="F34" s="98">
        <f t="shared" ref="F34:H34" si="20">+F35</f>
        <v>43425000</v>
      </c>
      <c r="G34" s="99">
        <f t="shared" si="1"/>
        <v>1</v>
      </c>
      <c r="H34" s="98">
        <f t="shared" si="20"/>
        <v>43425000</v>
      </c>
      <c r="I34" s="99">
        <f t="shared" si="2"/>
        <v>1</v>
      </c>
      <c r="J34" s="16"/>
      <c r="K34" s="98">
        <f>+K35</f>
        <v>3638790.0654472229</v>
      </c>
      <c r="L34" s="99">
        <f t="shared" si="3"/>
        <v>8.3794820159982103E-2</v>
      </c>
      <c r="M34" s="98">
        <f t="shared" ref="M34:Q34" si="21">+M35</f>
        <v>20035207.249538515</v>
      </c>
      <c r="N34" s="99">
        <f t="shared" si="5"/>
        <v>0.4613749510544275</v>
      </c>
      <c r="O34" s="98">
        <f t="shared" si="21"/>
        <v>19751002.685014267</v>
      </c>
      <c r="P34" s="99">
        <f t="shared" si="6"/>
        <v>0.45483022878559048</v>
      </c>
      <c r="Q34" s="98">
        <f t="shared" si="21"/>
        <v>0</v>
      </c>
      <c r="R34" s="99">
        <f t="shared" si="7"/>
        <v>0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</row>
    <row r="35" spans="2:46" s="2" customFormat="1" ht="28.8" x14ac:dyDescent="0.3">
      <c r="B35" s="20">
        <v>3</v>
      </c>
      <c r="C35" s="21" t="s">
        <v>106</v>
      </c>
      <c r="D35" s="6" t="s">
        <v>7</v>
      </c>
      <c r="E35" s="31">
        <v>43425000</v>
      </c>
      <c r="F35" s="31">
        <v>43425000</v>
      </c>
      <c r="G35" s="77">
        <f t="shared" si="1"/>
        <v>1</v>
      </c>
      <c r="H35" s="31">
        <v>43425000</v>
      </c>
      <c r="I35" s="77">
        <f t="shared" si="2"/>
        <v>1</v>
      </c>
      <c r="J35" s="16"/>
      <c r="K35" s="30">
        <f>($F$35/35754)*2996</f>
        <v>3638790.0654472229</v>
      </c>
      <c r="L35" s="77">
        <f t="shared" si="3"/>
        <v>8.3794820159982103E-2</v>
      </c>
      <c r="M35" s="30">
        <f>($F$35/35754)*16496</f>
        <v>20035207.249538515</v>
      </c>
      <c r="N35" s="77">
        <f t="shared" si="5"/>
        <v>0.4613749510544275</v>
      </c>
      <c r="O35" s="30">
        <f>($F$35/35754)*16262</f>
        <v>19751002.685014267</v>
      </c>
      <c r="P35" s="77">
        <f t="shared" si="6"/>
        <v>0.45483022878559048</v>
      </c>
      <c r="Q35" s="30"/>
      <c r="R35" s="77">
        <f t="shared" si="7"/>
        <v>0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</row>
    <row r="36" spans="2:46" s="2" customFormat="1" ht="28.8" x14ac:dyDescent="0.3">
      <c r="B36" s="94">
        <v>6</v>
      </c>
      <c r="C36" s="95" t="s">
        <v>108</v>
      </c>
      <c r="D36" s="95" t="s">
        <v>19</v>
      </c>
      <c r="E36" s="98">
        <f>+E37</f>
        <v>46745680</v>
      </c>
      <c r="F36" s="98">
        <f t="shared" ref="F36:H36" si="22">+F37</f>
        <v>46745680</v>
      </c>
      <c r="G36" s="99">
        <f t="shared" si="1"/>
        <v>1</v>
      </c>
      <c r="H36" s="98">
        <f t="shared" si="22"/>
        <v>46745680</v>
      </c>
      <c r="I36" s="99">
        <f t="shared" si="2"/>
        <v>1</v>
      </c>
      <c r="J36" s="16"/>
      <c r="K36" s="98">
        <f>+K37</f>
        <v>1246551.4666666666</v>
      </c>
      <c r="L36" s="99">
        <f t="shared" si="3"/>
        <v>2.6666666666666665E-2</v>
      </c>
      <c r="M36" s="98">
        <f>M37</f>
        <v>21191374.93333333</v>
      </c>
      <c r="N36" s="99">
        <f t="shared" si="5"/>
        <v>0.45333333333333325</v>
      </c>
      <c r="O36" s="98">
        <f t="shared" ref="O36:Q36" si="23">+O37</f>
        <v>24307753.599999998</v>
      </c>
      <c r="P36" s="99">
        <f t="shared" si="6"/>
        <v>0.51999999999999991</v>
      </c>
      <c r="Q36" s="98">
        <f t="shared" si="23"/>
        <v>0</v>
      </c>
      <c r="R36" s="99">
        <f t="shared" si="7"/>
        <v>0</v>
      </c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</row>
    <row r="37" spans="2:46" s="2" customFormat="1" ht="28.8" x14ac:dyDescent="0.3">
      <c r="B37" s="20">
        <v>6</v>
      </c>
      <c r="C37" s="21" t="s">
        <v>108</v>
      </c>
      <c r="D37" s="6" t="s">
        <v>11</v>
      </c>
      <c r="E37" s="31">
        <v>46745680</v>
      </c>
      <c r="F37" s="31">
        <v>46745680</v>
      </c>
      <c r="G37" s="77">
        <f t="shared" si="1"/>
        <v>1</v>
      </c>
      <c r="H37" s="31">
        <v>46745680</v>
      </c>
      <c r="I37" s="77">
        <f t="shared" si="2"/>
        <v>1</v>
      </c>
      <c r="J37" s="16"/>
      <c r="K37" s="30">
        <f>($F$37/75)*2</f>
        <v>1246551.4666666666</v>
      </c>
      <c r="L37" s="77">
        <f t="shared" si="3"/>
        <v>2.6666666666666665E-2</v>
      </c>
      <c r="M37" s="30">
        <f>($F$37/75)*34</f>
        <v>21191374.93333333</v>
      </c>
      <c r="N37" s="77">
        <f t="shared" si="5"/>
        <v>0.45333333333333325</v>
      </c>
      <c r="O37" s="30">
        <f>($F$37/75)*39</f>
        <v>24307753.599999998</v>
      </c>
      <c r="P37" s="77">
        <f t="shared" si="6"/>
        <v>0.51999999999999991</v>
      </c>
      <c r="Q37" s="30"/>
      <c r="R37" s="77">
        <f t="shared" si="7"/>
        <v>0</v>
      </c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</row>
    <row r="38" spans="2:46" s="2" customFormat="1" ht="28.8" x14ac:dyDescent="0.3">
      <c r="B38" s="94">
        <v>9</v>
      </c>
      <c r="C38" s="95" t="s">
        <v>113</v>
      </c>
      <c r="D38" s="95" t="s">
        <v>20</v>
      </c>
      <c r="E38" s="98">
        <f>+E39+E40</f>
        <v>20000000</v>
      </c>
      <c r="F38" s="98">
        <f t="shared" ref="F38:H38" si="24">+F39+F40</f>
        <v>20000000</v>
      </c>
      <c r="G38" s="99">
        <f t="shared" si="1"/>
        <v>1</v>
      </c>
      <c r="H38" s="98">
        <f t="shared" si="24"/>
        <v>20000000</v>
      </c>
      <c r="I38" s="99">
        <f t="shared" si="2"/>
        <v>1</v>
      </c>
      <c r="J38" s="16"/>
      <c r="K38" s="98">
        <f>+K39+K40</f>
        <v>0</v>
      </c>
      <c r="L38" s="99">
        <f t="shared" si="3"/>
        <v>0</v>
      </c>
      <c r="M38" s="98">
        <f t="shared" ref="M38:Q38" si="25">+M39+M40</f>
        <v>0</v>
      </c>
      <c r="N38" s="99">
        <f t="shared" si="5"/>
        <v>0</v>
      </c>
      <c r="O38" s="98">
        <f t="shared" si="25"/>
        <v>20000000</v>
      </c>
      <c r="P38" s="99">
        <f t="shared" si="6"/>
        <v>1</v>
      </c>
      <c r="Q38" s="98">
        <f t="shared" si="25"/>
        <v>0</v>
      </c>
      <c r="R38" s="99">
        <f t="shared" si="7"/>
        <v>0</v>
      </c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</row>
    <row r="39" spans="2:46" s="2" customFormat="1" ht="28.8" x14ac:dyDescent="0.3">
      <c r="B39" s="20">
        <v>9</v>
      </c>
      <c r="C39" s="21" t="s">
        <v>113</v>
      </c>
      <c r="D39" s="6" t="s">
        <v>7</v>
      </c>
      <c r="E39" s="31">
        <v>10000000</v>
      </c>
      <c r="F39" s="31">
        <v>10000000</v>
      </c>
      <c r="G39" s="77">
        <f t="shared" si="1"/>
        <v>1</v>
      </c>
      <c r="H39" s="31">
        <v>10000000</v>
      </c>
      <c r="I39" s="77">
        <f t="shared" si="2"/>
        <v>1</v>
      </c>
      <c r="J39" s="16"/>
      <c r="K39" s="26"/>
      <c r="L39" s="77">
        <f t="shared" si="3"/>
        <v>0</v>
      </c>
      <c r="M39" s="26"/>
      <c r="N39" s="77">
        <f t="shared" si="5"/>
        <v>0</v>
      </c>
      <c r="O39" s="30">
        <f>($F$39/2500)*2500</f>
        <v>10000000</v>
      </c>
      <c r="P39" s="77">
        <f t="shared" si="6"/>
        <v>1</v>
      </c>
      <c r="Q39" s="26"/>
      <c r="R39" s="77">
        <f t="shared" si="7"/>
        <v>0</v>
      </c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</row>
    <row r="40" spans="2:46" s="36" customFormat="1" ht="28.8" x14ac:dyDescent="0.3">
      <c r="B40" s="33">
        <v>9</v>
      </c>
      <c r="C40" s="34" t="s">
        <v>113</v>
      </c>
      <c r="D40" s="40" t="s">
        <v>85</v>
      </c>
      <c r="E40" s="43">
        <v>10000000</v>
      </c>
      <c r="F40" s="43">
        <v>10000000</v>
      </c>
      <c r="G40" s="74">
        <f t="shared" si="1"/>
        <v>1</v>
      </c>
      <c r="H40" s="43">
        <v>10000000</v>
      </c>
      <c r="I40" s="74">
        <f t="shared" si="2"/>
        <v>1</v>
      </c>
      <c r="J40" s="37"/>
      <c r="K40" s="52"/>
      <c r="L40" s="79">
        <f t="shared" si="3"/>
        <v>0</v>
      </c>
      <c r="M40" s="52"/>
      <c r="N40" s="79">
        <f t="shared" si="5"/>
        <v>0</v>
      </c>
      <c r="O40" s="39">
        <f>($F$39/2500)*2500</f>
        <v>10000000</v>
      </c>
      <c r="P40" s="79">
        <f t="shared" si="6"/>
        <v>1</v>
      </c>
      <c r="Q40" s="52"/>
      <c r="R40" s="79">
        <f t="shared" si="7"/>
        <v>0</v>
      </c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</row>
    <row r="41" spans="2:46" s="2" customFormat="1" ht="28.8" x14ac:dyDescent="0.3">
      <c r="B41" s="94">
        <v>3</v>
      </c>
      <c r="C41" s="95" t="s">
        <v>106</v>
      </c>
      <c r="D41" s="95" t="s">
        <v>21</v>
      </c>
      <c r="E41" s="98">
        <f>+E42</f>
        <v>10000000</v>
      </c>
      <c r="F41" s="98">
        <f t="shared" ref="F41:H41" si="26">+F42</f>
        <v>10000000</v>
      </c>
      <c r="G41" s="99">
        <f t="shared" si="1"/>
        <v>1</v>
      </c>
      <c r="H41" s="98">
        <f t="shared" si="26"/>
        <v>10000000</v>
      </c>
      <c r="I41" s="99">
        <f t="shared" si="2"/>
        <v>1</v>
      </c>
      <c r="J41" s="16"/>
      <c r="K41" s="98">
        <f>+K42</f>
        <v>10000000</v>
      </c>
      <c r="L41" s="99">
        <f t="shared" si="3"/>
        <v>1</v>
      </c>
      <c r="M41" s="98">
        <f t="shared" ref="M41:Q41" si="27">+M42</f>
        <v>0</v>
      </c>
      <c r="N41" s="99">
        <f t="shared" si="5"/>
        <v>0</v>
      </c>
      <c r="O41" s="98">
        <f t="shared" si="27"/>
        <v>0</v>
      </c>
      <c r="P41" s="99">
        <f t="shared" si="6"/>
        <v>0</v>
      </c>
      <c r="Q41" s="98">
        <f t="shared" si="27"/>
        <v>0</v>
      </c>
      <c r="R41" s="99">
        <f t="shared" si="7"/>
        <v>0</v>
      </c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</row>
    <row r="42" spans="2:46" s="2" customFormat="1" ht="28.8" x14ac:dyDescent="0.3">
      <c r="B42" s="20">
        <v>3</v>
      </c>
      <c r="C42" s="21" t="s">
        <v>106</v>
      </c>
      <c r="D42" s="6" t="s">
        <v>7</v>
      </c>
      <c r="E42" s="7">
        <v>10000000</v>
      </c>
      <c r="F42" s="7">
        <v>10000000</v>
      </c>
      <c r="G42" s="78">
        <f t="shared" si="1"/>
        <v>1</v>
      </c>
      <c r="H42" s="7">
        <v>10000000</v>
      </c>
      <c r="I42" s="78">
        <f t="shared" si="2"/>
        <v>1</v>
      </c>
      <c r="J42" s="16"/>
      <c r="K42" s="30">
        <f>($F42/2996)*2996</f>
        <v>10000000</v>
      </c>
      <c r="L42" s="77">
        <f t="shared" si="3"/>
        <v>1</v>
      </c>
      <c r="M42" s="30"/>
      <c r="N42" s="77">
        <f t="shared" si="5"/>
        <v>0</v>
      </c>
      <c r="O42" s="26"/>
      <c r="P42" s="77">
        <f t="shared" si="6"/>
        <v>0</v>
      </c>
      <c r="Q42" s="30"/>
      <c r="R42" s="77">
        <f t="shared" si="7"/>
        <v>0</v>
      </c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</row>
    <row r="43" spans="2:46" s="2" customFormat="1" ht="33.75" customHeight="1" x14ac:dyDescent="0.3">
      <c r="B43" s="94">
        <v>3</v>
      </c>
      <c r="C43" s="95" t="s">
        <v>106</v>
      </c>
      <c r="D43" s="95" t="s">
        <v>22</v>
      </c>
      <c r="E43" s="98">
        <f>+E44</f>
        <v>4713632</v>
      </c>
      <c r="F43" s="98">
        <f t="shared" ref="F43:H43" si="28">+F44</f>
        <v>4713632</v>
      </c>
      <c r="G43" s="99">
        <f t="shared" si="1"/>
        <v>1</v>
      </c>
      <c r="H43" s="98">
        <f t="shared" si="28"/>
        <v>4713632</v>
      </c>
      <c r="I43" s="99">
        <f t="shared" si="2"/>
        <v>1</v>
      </c>
      <c r="J43" s="16"/>
      <c r="K43" s="98">
        <f>+K44</f>
        <v>394790.10336104082</v>
      </c>
      <c r="L43" s="99">
        <f t="shared" si="3"/>
        <v>8.3754969280809541E-2</v>
      </c>
      <c r="M43" s="98">
        <f t="shared" ref="M43:Q43" si="29">+M44</f>
        <v>2174965.5424647634</v>
      </c>
      <c r="N43" s="99">
        <f t="shared" si="5"/>
        <v>0.46142031080592705</v>
      </c>
      <c r="O43" s="98">
        <f t="shared" si="29"/>
        <v>2143876.3541741958</v>
      </c>
      <c r="P43" s="99">
        <f t="shared" si="6"/>
        <v>0.45482471991326345</v>
      </c>
      <c r="Q43" s="98">
        <f t="shared" si="29"/>
        <v>0</v>
      </c>
      <c r="R43" s="99">
        <f t="shared" si="7"/>
        <v>0</v>
      </c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</row>
    <row r="44" spans="2:46" s="2" customFormat="1" ht="28.8" x14ac:dyDescent="0.3">
      <c r="B44" s="20">
        <v>3</v>
      </c>
      <c r="C44" s="21" t="s">
        <v>106</v>
      </c>
      <c r="D44" s="6" t="s">
        <v>7</v>
      </c>
      <c r="E44" s="7">
        <v>4713632</v>
      </c>
      <c r="F44" s="7">
        <v>4713632</v>
      </c>
      <c r="G44" s="78">
        <f t="shared" si="1"/>
        <v>1</v>
      </c>
      <c r="H44" s="7">
        <v>4713632</v>
      </c>
      <c r="I44" s="78">
        <f t="shared" si="2"/>
        <v>1</v>
      </c>
      <c r="J44" s="16"/>
      <c r="K44" s="30">
        <f>($F$44/11068)*927</f>
        <v>394790.10336104082</v>
      </c>
      <c r="L44" s="77">
        <f t="shared" si="3"/>
        <v>8.3754969280809541E-2</v>
      </c>
      <c r="M44" s="30">
        <f>($F$44/11068)*5107</f>
        <v>2174965.5424647634</v>
      </c>
      <c r="N44" s="77">
        <f t="shared" si="5"/>
        <v>0.46142031080592705</v>
      </c>
      <c r="O44" s="30">
        <f>($F$44/11068)*5034</f>
        <v>2143876.3541741958</v>
      </c>
      <c r="P44" s="77">
        <f t="shared" si="6"/>
        <v>0.45482471991326345</v>
      </c>
      <c r="Q44" s="30"/>
      <c r="R44" s="77">
        <f t="shared" si="7"/>
        <v>0</v>
      </c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</row>
    <row r="45" spans="2:46" s="2" customFormat="1" ht="33.75" customHeight="1" x14ac:dyDescent="0.3">
      <c r="B45" s="94">
        <v>3</v>
      </c>
      <c r="C45" s="95" t="s">
        <v>106</v>
      </c>
      <c r="D45" s="95" t="s">
        <v>23</v>
      </c>
      <c r="E45" s="98">
        <f>+E46</f>
        <v>8000000</v>
      </c>
      <c r="F45" s="98">
        <f t="shared" ref="F45:H45" si="30">+F46</f>
        <v>8000000</v>
      </c>
      <c r="G45" s="99">
        <f t="shared" si="1"/>
        <v>1</v>
      </c>
      <c r="H45" s="98">
        <f t="shared" si="30"/>
        <v>8000000</v>
      </c>
      <c r="I45" s="99">
        <f t="shared" si="2"/>
        <v>1</v>
      </c>
      <c r="J45" s="16"/>
      <c r="K45" s="98">
        <f>+K46</f>
        <v>670358.56127985683</v>
      </c>
      <c r="L45" s="99">
        <f t="shared" si="3"/>
        <v>8.3794820159982103E-2</v>
      </c>
      <c r="M45" s="98">
        <f t="shared" ref="M45:Q45" si="31">+M46</f>
        <v>3690999.6084354199</v>
      </c>
      <c r="N45" s="99">
        <f t="shared" si="5"/>
        <v>0.4613749510544275</v>
      </c>
      <c r="O45" s="98">
        <f t="shared" si="31"/>
        <v>3638641.8302847235</v>
      </c>
      <c r="P45" s="99">
        <f t="shared" si="6"/>
        <v>0.45483022878559043</v>
      </c>
      <c r="Q45" s="98">
        <f t="shared" si="31"/>
        <v>0</v>
      </c>
      <c r="R45" s="99">
        <f t="shared" si="7"/>
        <v>0</v>
      </c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</row>
    <row r="46" spans="2:46" s="2" customFormat="1" ht="28.8" x14ac:dyDescent="0.3">
      <c r="B46" s="20">
        <v>3</v>
      </c>
      <c r="C46" s="21" t="s">
        <v>106</v>
      </c>
      <c r="D46" s="6" t="s">
        <v>7</v>
      </c>
      <c r="E46" s="31">
        <v>8000000</v>
      </c>
      <c r="F46" s="31">
        <v>8000000</v>
      </c>
      <c r="G46" s="77">
        <f t="shared" si="1"/>
        <v>1</v>
      </c>
      <c r="H46" s="31">
        <v>8000000</v>
      </c>
      <c r="I46" s="77">
        <f t="shared" si="2"/>
        <v>1</v>
      </c>
      <c r="J46" s="16"/>
      <c r="K46" s="30">
        <f>($F$46/35754)*2996</f>
        <v>670358.56127985683</v>
      </c>
      <c r="L46" s="77">
        <f t="shared" si="3"/>
        <v>8.3794820159982103E-2</v>
      </c>
      <c r="M46" s="30">
        <f>($F$46/35754)*16496</f>
        <v>3690999.6084354199</v>
      </c>
      <c r="N46" s="77">
        <f t="shared" si="5"/>
        <v>0.4613749510544275</v>
      </c>
      <c r="O46" s="30">
        <f>($F$46/35754)*16262</f>
        <v>3638641.8302847235</v>
      </c>
      <c r="P46" s="77">
        <f t="shared" si="6"/>
        <v>0.45483022878559043</v>
      </c>
      <c r="Q46" s="30"/>
      <c r="R46" s="77">
        <f t="shared" si="7"/>
        <v>0</v>
      </c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</row>
    <row r="47" spans="2:46" s="2" customFormat="1" ht="32.25" customHeight="1" x14ac:dyDescent="0.3">
      <c r="B47" s="94">
        <v>3</v>
      </c>
      <c r="C47" s="95" t="s">
        <v>106</v>
      </c>
      <c r="D47" s="95" t="s">
        <v>24</v>
      </c>
      <c r="E47" s="98">
        <f>+E48+E49</f>
        <v>60943002</v>
      </c>
      <c r="F47" s="98">
        <f t="shared" ref="F47:H47" si="32">+F48+F49</f>
        <v>60943002</v>
      </c>
      <c r="G47" s="99">
        <f t="shared" si="1"/>
        <v>1</v>
      </c>
      <c r="H47" s="98">
        <f t="shared" si="32"/>
        <v>60943002</v>
      </c>
      <c r="I47" s="99">
        <f t="shared" si="2"/>
        <v>1</v>
      </c>
      <c r="J47" s="16"/>
      <c r="K47" s="98">
        <f>+K48+K49</f>
        <v>3828576.9931939114</v>
      </c>
      <c r="L47" s="99">
        <f t="shared" si="3"/>
        <v>6.2822257971373169E-2</v>
      </c>
      <c r="M47" s="98">
        <f t="shared" ref="M47:Q47" si="33">+M48+M49</f>
        <v>23413897.64583591</v>
      </c>
      <c r="N47" s="99">
        <f t="shared" si="5"/>
        <v>0.38419337540733406</v>
      </c>
      <c r="O47" s="98">
        <f t="shared" si="33"/>
        <v>33700527.360970177</v>
      </c>
      <c r="P47" s="99">
        <f t="shared" si="6"/>
        <v>0.55298436662129269</v>
      </c>
      <c r="Q47" s="98">
        <f t="shared" si="33"/>
        <v>0</v>
      </c>
      <c r="R47" s="99">
        <f t="shared" si="7"/>
        <v>0</v>
      </c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</row>
    <row r="48" spans="2:46" s="2" customFormat="1" ht="28.8" x14ac:dyDescent="0.3">
      <c r="B48" s="20">
        <v>3</v>
      </c>
      <c r="C48" s="21" t="s">
        <v>106</v>
      </c>
      <c r="D48" s="6" t="s">
        <v>7</v>
      </c>
      <c r="E48" s="31">
        <v>39000000</v>
      </c>
      <c r="F48" s="31">
        <v>39000000</v>
      </c>
      <c r="G48" s="77">
        <f t="shared" si="1"/>
        <v>1</v>
      </c>
      <c r="H48" s="31">
        <v>39000000</v>
      </c>
      <c r="I48" s="77">
        <f t="shared" si="2"/>
        <v>1</v>
      </c>
      <c r="J48" s="16"/>
      <c r="K48" s="30">
        <f>($F$48/24243)*1523</f>
        <v>2450068.0608835537</v>
      </c>
      <c r="L48" s="77">
        <f t="shared" si="3"/>
        <v>6.2822257971373169E-2</v>
      </c>
      <c r="M48" s="30">
        <f>($F$48/24243)*9314</f>
        <v>14983541.640886027</v>
      </c>
      <c r="N48" s="77">
        <f t="shared" si="5"/>
        <v>0.38419337540733406</v>
      </c>
      <c r="O48" s="30">
        <f>($F$48/24243)*13406</f>
        <v>21566390.298230417</v>
      </c>
      <c r="P48" s="77">
        <f t="shared" si="6"/>
        <v>0.5529843666212928</v>
      </c>
      <c r="Q48" s="30"/>
      <c r="R48" s="77">
        <f t="shared" si="7"/>
        <v>0</v>
      </c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</row>
    <row r="49" spans="2:46" s="2" customFormat="1" ht="28.8" x14ac:dyDescent="0.3">
      <c r="B49" s="20">
        <v>3</v>
      </c>
      <c r="C49" s="21" t="s">
        <v>106</v>
      </c>
      <c r="D49" s="6" t="s">
        <v>15</v>
      </c>
      <c r="E49" s="31">
        <v>21943002</v>
      </c>
      <c r="F49" s="31">
        <v>21943002</v>
      </c>
      <c r="G49" s="77">
        <f t="shared" si="1"/>
        <v>1</v>
      </c>
      <c r="H49" s="31">
        <v>21943002</v>
      </c>
      <c r="I49" s="77">
        <f t="shared" si="2"/>
        <v>1</v>
      </c>
      <c r="J49" s="16"/>
      <c r="K49" s="30">
        <f>($F$49/24243)*1523</f>
        <v>1378508.9323103577</v>
      </c>
      <c r="L49" s="77">
        <f t="shared" si="3"/>
        <v>6.2822257971373183E-2</v>
      </c>
      <c r="M49" s="30">
        <f>($F$49/24243)*9314</f>
        <v>8430356.0049498826</v>
      </c>
      <c r="N49" s="77">
        <f t="shared" si="5"/>
        <v>0.38419337540733406</v>
      </c>
      <c r="O49" s="30">
        <f>($F$49/24243)*13406</f>
        <v>12134137.06273976</v>
      </c>
      <c r="P49" s="77">
        <f t="shared" si="6"/>
        <v>0.55298436662129269</v>
      </c>
      <c r="Q49" s="30"/>
      <c r="R49" s="77">
        <f t="shared" si="7"/>
        <v>0</v>
      </c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</row>
    <row r="50" spans="2:46" s="2" customFormat="1" ht="28.8" x14ac:dyDescent="0.3">
      <c r="B50" s="94">
        <v>3</v>
      </c>
      <c r="C50" s="95" t="s">
        <v>106</v>
      </c>
      <c r="D50" s="95" t="s">
        <v>25</v>
      </c>
      <c r="E50" s="98">
        <f>+E51</f>
        <v>1190179877</v>
      </c>
      <c r="F50" s="98">
        <f t="shared" ref="F50:H50" si="34">+F51</f>
        <v>1190179877</v>
      </c>
      <c r="G50" s="99">
        <f t="shared" si="1"/>
        <v>1</v>
      </c>
      <c r="H50" s="98">
        <f t="shared" si="34"/>
        <v>1190179877</v>
      </c>
      <c r="I50" s="99">
        <f t="shared" si="2"/>
        <v>1</v>
      </c>
      <c r="J50" s="16"/>
      <c r="K50" s="98">
        <f>+K51</f>
        <v>11134129.819300838</v>
      </c>
      <c r="L50" s="99">
        <f t="shared" si="3"/>
        <v>9.3549975381585441E-3</v>
      </c>
      <c r="M50" s="98">
        <f t="shared" ref="M50:Q50" si="35">+M51</f>
        <v>354534133.71984249</v>
      </c>
      <c r="N50" s="99">
        <f t="shared" si="5"/>
        <v>0.29788281634662733</v>
      </c>
      <c r="O50" s="98">
        <f t="shared" si="35"/>
        <v>668047789.1580503</v>
      </c>
      <c r="P50" s="99">
        <f t="shared" si="6"/>
        <v>0.56129985228951262</v>
      </c>
      <c r="Q50" s="98">
        <f t="shared" si="35"/>
        <v>156463824.30280653</v>
      </c>
      <c r="R50" s="99">
        <f t="shared" si="7"/>
        <v>0.13146233382570166</v>
      </c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</row>
    <row r="51" spans="2:46" s="2" customFormat="1" ht="28.8" x14ac:dyDescent="0.3">
      <c r="B51" s="20">
        <v>3</v>
      </c>
      <c r="C51" s="21" t="s">
        <v>106</v>
      </c>
      <c r="D51" s="6" t="s">
        <v>11</v>
      </c>
      <c r="E51" s="31">
        <v>1190179877</v>
      </c>
      <c r="F51" s="31">
        <v>1190179877</v>
      </c>
      <c r="G51" s="77">
        <f t="shared" si="1"/>
        <v>1</v>
      </c>
      <c r="H51" s="31">
        <v>1190179877</v>
      </c>
      <c r="I51" s="77">
        <f t="shared" si="2"/>
        <v>1</v>
      </c>
      <c r="J51" s="16"/>
      <c r="K51" s="30">
        <f>($F$51/2031)*19</f>
        <v>11134129.819300838</v>
      </c>
      <c r="L51" s="77">
        <f t="shared" si="3"/>
        <v>9.3549975381585441E-3</v>
      </c>
      <c r="M51" s="30">
        <f>($F$51/2031)*605</f>
        <v>354534133.71984249</v>
      </c>
      <c r="N51" s="77">
        <f t="shared" si="5"/>
        <v>0.29788281634662733</v>
      </c>
      <c r="O51" s="30">
        <f>($F$51/2031)*1140</f>
        <v>668047789.1580503</v>
      </c>
      <c r="P51" s="77">
        <f t="shared" si="6"/>
        <v>0.56129985228951262</v>
      </c>
      <c r="Q51" s="30">
        <f>($F$51/2031)*267</f>
        <v>156463824.30280653</v>
      </c>
      <c r="R51" s="77">
        <f t="shared" si="7"/>
        <v>0.13146233382570166</v>
      </c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</row>
    <row r="52" spans="2:46" s="2" customFormat="1" ht="28.8" x14ac:dyDescent="0.3">
      <c r="B52" s="94">
        <v>3</v>
      </c>
      <c r="C52" s="95" t="s">
        <v>106</v>
      </c>
      <c r="D52" s="95" t="s">
        <v>26</v>
      </c>
      <c r="E52" s="98">
        <f>+E53+E54+E55+E56+E57+E58+E59+E60</f>
        <v>112567887924</v>
      </c>
      <c r="F52" s="98">
        <f>+F53+F54+F55+F56+F57+F58+F59+F60</f>
        <v>112184635235</v>
      </c>
      <c r="G52" s="99">
        <f t="shared" si="1"/>
        <v>0.99659536395265091</v>
      </c>
      <c r="H52" s="98">
        <f>+H53+H54+H55+H56+H57+H58+H59+H60</f>
        <v>112184635235</v>
      </c>
      <c r="I52" s="99">
        <f t="shared" si="2"/>
        <v>0.99659536395265091</v>
      </c>
      <c r="J52" s="16"/>
      <c r="K52" s="98">
        <f>+K53+K54+K55+K56+K57+K58+K59+K60</f>
        <v>8849297468.8412609</v>
      </c>
      <c r="L52" s="99">
        <f t="shared" si="3"/>
        <v>7.8881546036175962E-2</v>
      </c>
      <c r="M52" s="98">
        <f>+M53+M54+M55+M56+M57+M58+M59+M60</f>
        <v>48724302752.338272</v>
      </c>
      <c r="N52" s="99">
        <f t="shared" si="5"/>
        <v>0.43432242437007973</v>
      </c>
      <c r="O52" s="98">
        <f>+O53+O54+O55+O56+O57+O58+O59+O60</f>
        <v>48033135994.090988</v>
      </c>
      <c r="P52" s="99">
        <f t="shared" si="6"/>
        <v>0.42816144914562543</v>
      </c>
      <c r="Q52" s="98">
        <f>+Q53+Q54+Q55+Q56+Q57+Q58+Q59+Q60</f>
        <v>6577899019.7294693</v>
      </c>
      <c r="R52" s="99">
        <f t="shared" si="7"/>
        <v>5.8634580448118791E-2</v>
      </c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</row>
    <row r="53" spans="2:46" s="2" customFormat="1" ht="28.8" x14ac:dyDescent="0.3">
      <c r="B53" s="20">
        <v>3</v>
      </c>
      <c r="C53" s="21" t="s">
        <v>106</v>
      </c>
      <c r="D53" s="6" t="s">
        <v>7</v>
      </c>
      <c r="E53" s="31">
        <v>3847896692</v>
      </c>
      <c r="F53" s="31">
        <v>3824874136</v>
      </c>
      <c r="G53" s="77">
        <f t="shared" si="1"/>
        <v>0.99401684664563239</v>
      </c>
      <c r="H53" s="31">
        <v>3824874136</v>
      </c>
      <c r="I53" s="77">
        <f t="shared" si="2"/>
        <v>0.99401684664563239</v>
      </c>
      <c r="J53" s="16"/>
      <c r="K53" s="30">
        <f>($F$53/37981)*2996</f>
        <v>301711985.24146283</v>
      </c>
      <c r="L53" s="77">
        <f t="shared" si="3"/>
        <v>7.8881546036175976E-2</v>
      </c>
      <c r="M53" s="30">
        <f>($F$53/37981)*16496</f>
        <v>1661228607.6579342</v>
      </c>
      <c r="N53" s="77">
        <f t="shared" si="5"/>
        <v>0.43432242437007978</v>
      </c>
      <c r="O53" s="30">
        <f>($F$53/37981)*16262</f>
        <v>1637663652.8693821</v>
      </c>
      <c r="P53" s="77">
        <f t="shared" si="6"/>
        <v>0.42816144914562548</v>
      </c>
      <c r="Q53" s="30">
        <f>($F$53/37981)*2227</f>
        <v>224269890.23122087</v>
      </c>
      <c r="R53" s="77">
        <f t="shared" si="7"/>
        <v>5.8634580448118798E-2</v>
      </c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</row>
    <row r="54" spans="2:46" s="2" customFormat="1" ht="28.8" x14ac:dyDescent="0.3">
      <c r="B54" s="20">
        <v>3</v>
      </c>
      <c r="C54" s="21" t="s">
        <v>106</v>
      </c>
      <c r="D54" s="6" t="s">
        <v>15</v>
      </c>
      <c r="E54" s="31">
        <v>4045101004</v>
      </c>
      <c r="F54" s="31">
        <v>3775679094</v>
      </c>
      <c r="G54" s="77">
        <f t="shared" si="1"/>
        <v>0.93339550489998102</v>
      </c>
      <c r="H54" s="31">
        <v>3775679094</v>
      </c>
      <c r="I54" s="77">
        <f t="shared" si="2"/>
        <v>0.93339550489998102</v>
      </c>
      <c r="J54" s="16"/>
      <c r="K54" s="30">
        <f>($F$54/37981)*2996</f>
        <v>297831404.2711882</v>
      </c>
      <c r="L54" s="77">
        <f t="shared" si="3"/>
        <v>7.8881546036175976E-2</v>
      </c>
      <c r="M54" s="30">
        <f>($F$54/37981)*16496</f>
        <v>1639862097.7495062</v>
      </c>
      <c r="N54" s="77">
        <f t="shared" si="5"/>
        <v>0.43432242437007973</v>
      </c>
      <c r="O54" s="30">
        <f>($F$54/37981)*16262</f>
        <v>1616600232.3958821</v>
      </c>
      <c r="P54" s="77">
        <f t="shared" si="6"/>
        <v>0.42816144914562543</v>
      </c>
      <c r="Q54" s="30">
        <f>($F$54/37981)*2227</f>
        <v>221385359.58342329</v>
      </c>
      <c r="R54" s="77">
        <f t="shared" si="7"/>
        <v>5.8634580448118798E-2</v>
      </c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</row>
    <row r="55" spans="2:46" s="2" customFormat="1" ht="28.8" x14ac:dyDescent="0.3">
      <c r="B55" s="20">
        <v>3</v>
      </c>
      <c r="C55" s="21" t="s">
        <v>106</v>
      </c>
      <c r="D55" s="6" t="s">
        <v>11</v>
      </c>
      <c r="E55" s="31">
        <v>100327476731</v>
      </c>
      <c r="F55" s="31">
        <v>100236668508</v>
      </c>
      <c r="G55" s="77">
        <f t="shared" si="1"/>
        <v>0.99909488182142292</v>
      </c>
      <c r="H55" s="31">
        <v>100236668508</v>
      </c>
      <c r="I55" s="77">
        <f t="shared" si="2"/>
        <v>0.99909488182142292</v>
      </c>
      <c r="J55" s="16"/>
      <c r="K55" s="30">
        <f>($F$55/37981)*2996</f>
        <v>7906823381.426713</v>
      </c>
      <c r="L55" s="77">
        <f t="shared" si="3"/>
        <v>7.8881546036175976E-2</v>
      </c>
      <c r="M55" s="30">
        <f>($F$55/37981)*16496</f>
        <v>43535032877.174583</v>
      </c>
      <c r="N55" s="77">
        <f t="shared" si="5"/>
        <v>0.43432242437007973</v>
      </c>
      <c r="O55" s="30">
        <f>($F$55/37981)*16262</f>
        <v>42917477245.914955</v>
      </c>
      <c r="P55" s="77">
        <f t="shared" si="6"/>
        <v>0.42816144914562543</v>
      </c>
      <c r="Q55" s="30">
        <f>($F$55/37981)*2227</f>
        <v>5877335003.4837418</v>
      </c>
      <c r="R55" s="77">
        <f t="shared" si="7"/>
        <v>5.8634580448118798E-2</v>
      </c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</row>
    <row r="56" spans="2:46" s="2" customFormat="1" ht="28.8" x14ac:dyDescent="0.3">
      <c r="B56" s="20">
        <v>3</v>
      </c>
      <c r="C56" s="21" t="s">
        <v>106</v>
      </c>
      <c r="D56" s="6" t="s">
        <v>27</v>
      </c>
      <c r="E56" s="7">
        <v>2408409585</v>
      </c>
      <c r="F56" s="7">
        <v>2408409585</v>
      </c>
      <c r="G56" s="78">
        <f t="shared" si="1"/>
        <v>1</v>
      </c>
      <c r="H56" s="7">
        <v>2408409585</v>
      </c>
      <c r="I56" s="78">
        <f t="shared" si="2"/>
        <v>1</v>
      </c>
      <c r="J56" s="16"/>
      <c r="K56" s="30">
        <f>($F$56/37981)*2996</f>
        <v>189979071.55314499</v>
      </c>
      <c r="L56" s="77">
        <f t="shared" si="3"/>
        <v>7.8881546036175976E-2</v>
      </c>
      <c r="M56" s="30">
        <f>($F$56/37981)*16496</f>
        <v>1046026289.8333378</v>
      </c>
      <c r="N56" s="77">
        <f t="shared" si="5"/>
        <v>0.43432242437007978</v>
      </c>
      <c r="O56" s="30">
        <f>($F$56/37981)*16262</f>
        <v>1031188138.0498145</v>
      </c>
      <c r="P56" s="77">
        <f t="shared" si="6"/>
        <v>0.42816144914562548</v>
      </c>
      <c r="Q56" s="30">
        <f>($F$56/37981)*2227</f>
        <v>141216085.56370291</v>
      </c>
      <c r="R56" s="77">
        <f t="shared" si="7"/>
        <v>5.8634580448118798E-2</v>
      </c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</row>
    <row r="57" spans="2:46" s="36" customFormat="1" ht="30.75" customHeight="1" x14ac:dyDescent="0.3">
      <c r="B57" s="33">
        <v>3</v>
      </c>
      <c r="C57" s="34" t="s">
        <v>106</v>
      </c>
      <c r="D57" s="40" t="s">
        <v>90</v>
      </c>
      <c r="E57" s="43">
        <v>310934499</v>
      </c>
      <c r="F57" s="43">
        <v>310934499</v>
      </c>
      <c r="G57" s="74">
        <f t="shared" ref="G57:G118" si="36">+F57/E57</f>
        <v>1</v>
      </c>
      <c r="H57" s="43">
        <v>310934499</v>
      </c>
      <c r="I57" s="74">
        <f t="shared" ref="I57:I118" si="37">+H57/E57</f>
        <v>1</v>
      </c>
      <c r="J57" s="37"/>
      <c r="K57" s="39">
        <f>($F$57/37981)*2996</f>
        <v>24526993.997103814</v>
      </c>
      <c r="L57" s="79">
        <f t="shared" ref="L57:L118" si="38">+K57/F57</f>
        <v>7.8881546036175976E-2</v>
      </c>
      <c r="M57" s="39">
        <f>($F$57/37981)*16496</f>
        <v>135045825.42597616</v>
      </c>
      <c r="N57" s="79">
        <f t="shared" ref="N57:N118" si="39">+M57/F57</f>
        <v>0.43432242437007984</v>
      </c>
      <c r="O57" s="39">
        <f>($F$57/37981)*16262</f>
        <v>133130165.68120903</v>
      </c>
      <c r="P57" s="79">
        <f t="shared" ref="P57:P118" si="40">+O57/F57</f>
        <v>0.42816144914562543</v>
      </c>
      <c r="Q57" s="39">
        <f>($F$57/37981)*2227</f>
        <v>18231513.895711012</v>
      </c>
      <c r="R57" s="79">
        <f t="shared" ref="R57:R118" si="41">+Q57/F57</f>
        <v>5.8634580448118791E-2</v>
      </c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</row>
    <row r="58" spans="2:46" s="36" customFormat="1" ht="32.25" customHeight="1" x14ac:dyDescent="0.3">
      <c r="B58" s="33">
        <v>3</v>
      </c>
      <c r="C58" s="34" t="s">
        <v>106</v>
      </c>
      <c r="D58" s="40" t="s">
        <v>91</v>
      </c>
      <c r="E58" s="43">
        <v>88344598</v>
      </c>
      <c r="F58" s="43">
        <v>88344598</v>
      </c>
      <c r="G58" s="74">
        <f t="shared" si="36"/>
        <v>1</v>
      </c>
      <c r="H58" s="43">
        <v>88344598</v>
      </c>
      <c r="I58" s="74">
        <f t="shared" si="37"/>
        <v>1</v>
      </c>
      <c r="J58" s="37"/>
      <c r="K58" s="39">
        <f>($F$58/37981)*2996</f>
        <v>6968758.47418446</v>
      </c>
      <c r="L58" s="79">
        <f t="shared" si="38"/>
        <v>7.8881546036175976E-2</v>
      </c>
      <c r="M58" s="39">
        <f>($F$58/37981)*16496</f>
        <v>38370039.983360097</v>
      </c>
      <c r="N58" s="79">
        <f t="shared" si="39"/>
        <v>0.43432242437007973</v>
      </c>
      <c r="O58" s="39">
        <f>($F$58/37981)*16262</f>
        <v>37825751.103867725</v>
      </c>
      <c r="P58" s="79">
        <f t="shared" si="40"/>
        <v>0.42816144914562548</v>
      </c>
      <c r="Q58" s="39">
        <f>($F$58/37981)*2227</f>
        <v>5180048.4385877149</v>
      </c>
      <c r="R58" s="79">
        <f t="shared" si="41"/>
        <v>5.8634580448118798E-2</v>
      </c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</row>
    <row r="59" spans="2:46" s="36" customFormat="1" ht="36" customHeight="1" x14ac:dyDescent="0.3">
      <c r="B59" s="33">
        <v>3</v>
      </c>
      <c r="C59" s="34" t="s">
        <v>106</v>
      </c>
      <c r="D59" s="40" t="s">
        <v>92</v>
      </c>
      <c r="E59" s="43">
        <v>1516641978</v>
      </c>
      <c r="F59" s="43">
        <v>1516641978</v>
      </c>
      <c r="G59" s="74">
        <f t="shared" si="36"/>
        <v>1</v>
      </c>
      <c r="H59" s="43">
        <v>1516641978</v>
      </c>
      <c r="I59" s="74">
        <f t="shared" si="37"/>
        <v>1</v>
      </c>
      <c r="J59" s="37"/>
      <c r="K59" s="39">
        <f>($F$59/37981)*2996</f>
        <v>119635064.00800401</v>
      </c>
      <c r="L59" s="79">
        <f t="shared" si="38"/>
        <v>7.888154603617599E-2</v>
      </c>
      <c r="M59" s="39">
        <f>($F$59/37981)*16496</f>
        <v>658711620.78639328</v>
      </c>
      <c r="N59" s="79">
        <f t="shared" si="39"/>
        <v>0.43432242437007984</v>
      </c>
      <c r="O59" s="39">
        <f>($F$59/37981)*16262</f>
        <v>649367627.13556778</v>
      </c>
      <c r="P59" s="79">
        <f t="shared" si="40"/>
        <v>0.42816144914562543</v>
      </c>
      <c r="Q59" s="39">
        <f>($F$59/37981)*2227</f>
        <v>88927666.070035025</v>
      </c>
      <c r="R59" s="79">
        <f t="shared" si="41"/>
        <v>5.8634580448118805E-2</v>
      </c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</row>
    <row r="60" spans="2:46" s="36" customFormat="1" ht="28.8" x14ac:dyDescent="0.3">
      <c r="B60" s="33">
        <v>3</v>
      </c>
      <c r="C60" s="34" t="s">
        <v>106</v>
      </c>
      <c r="D60" s="40" t="s">
        <v>93</v>
      </c>
      <c r="E60" s="43">
        <v>23082837</v>
      </c>
      <c r="F60" s="43">
        <v>23082837</v>
      </c>
      <c r="G60" s="74">
        <f t="shared" si="36"/>
        <v>1</v>
      </c>
      <c r="H60" s="43">
        <v>23082837</v>
      </c>
      <c r="I60" s="74">
        <f t="shared" si="37"/>
        <v>1</v>
      </c>
      <c r="J60" s="37"/>
      <c r="K60" s="39">
        <f>($F$60/37981)*2996</f>
        <v>1820809.8694610463</v>
      </c>
      <c r="L60" s="79">
        <f t="shared" si="38"/>
        <v>7.8881546036175976E-2</v>
      </c>
      <c r="M60" s="39">
        <f>($F$60/37981)*16496</f>
        <v>10025393.727179378</v>
      </c>
      <c r="N60" s="79">
        <f t="shared" si="39"/>
        <v>0.43432242437007973</v>
      </c>
      <c r="O60" s="39">
        <f>($F$60/37981)*16262</f>
        <v>9883180.9403122608</v>
      </c>
      <c r="P60" s="79">
        <f t="shared" si="40"/>
        <v>0.42816144914562543</v>
      </c>
      <c r="Q60" s="39">
        <f>($F$60/37981)*2227</f>
        <v>1353452.463047313</v>
      </c>
      <c r="R60" s="79">
        <f t="shared" si="41"/>
        <v>5.8634580448118791E-2</v>
      </c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</row>
    <row r="61" spans="2:46" s="2" customFormat="1" ht="28.8" x14ac:dyDescent="0.3">
      <c r="B61" s="94">
        <v>3</v>
      </c>
      <c r="C61" s="95" t="s">
        <v>106</v>
      </c>
      <c r="D61" s="95" t="s">
        <v>28</v>
      </c>
      <c r="E61" s="98">
        <f>+E62</f>
        <v>20000000</v>
      </c>
      <c r="F61" s="98">
        <f t="shared" ref="F61:H61" si="42">+F62</f>
        <v>20000000</v>
      </c>
      <c r="G61" s="99">
        <f t="shared" si="36"/>
        <v>1</v>
      </c>
      <c r="H61" s="98">
        <f t="shared" si="42"/>
        <v>20000000</v>
      </c>
      <c r="I61" s="99">
        <f t="shared" si="37"/>
        <v>1</v>
      </c>
      <c r="J61" s="16"/>
      <c r="K61" s="98">
        <f>+K62</f>
        <v>1676829.2682926829</v>
      </c>
      <c r="L61" s="99">
        <f t="shared" si="38"/>
        <v>8.3841463414634151E-2</v>
      </c>
      <c r="M61" s="98">
        <f t="shared" ref="M61:Q61" si="43">+M62</f>
        <v>9227642.2764227632</v>
      </c>
      <c r="N61" s="99">
        <f t="shared" si="39"/>
        <v>0.46138211382113814</v>
      </c>
      <c r="O61" s="98">
        <f t="shared" si="43"/>
        <v>9095528.4552845526</v>
      </c>
      <c r="P61" s="99">
        <f t="shared" si="40"/>
        <v>0.45477642276422764</v>
      </c>
      <c r="Q61" s="98">
        <f t="shared" si="43"/>
        <v>0</v>
      </c>
      <c r="R61" s="99">
        <f t="shared" si="41"/>
        <v>0</v>
      </c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</row>
    <row r="62" spans="2:46" s="2" customFormat="1" ht="28.8" x14ac:dyDescent="0.3">
      <c r="B62" s="20">
        <v>3</v>
      </c>
      <c r="C62" s="21" t="s">
        <v>106</v>
      </c>
      <c r="D62" s="6" t="s">
        <v>7</v>
      </c>
      <c r="E62" s="31">
        <v>20000000</v>
      </c>
      <c r="F62" s="31">
        <v>20000000</v>
      </c>
      <c r="G62" s="77">
        <f t="shared" si="36"/>
        <v>1</v>
      </c>
      <c r="H62" s="31">
        <v>20000000</v>
      </c>
      <c r="I62" s="77">
        <f t="shared" si="37"/>
        <v>1</v>
      </c>
      <c r="J62" s="16"/>
      <c r="K62" s="30">
        <f>($F$62/11808)*990</f>
        <v>1676829.2682926829</v>
      </c>
      <c r="L62" s="77">
        <f t="shared" si="38"/>
        <v>8.3841463414634151E-2</v>
      </c>
      <c r="M62" s="30">
        <f>($F$62/11808)*5448</f>
        <v>9227642.2764227632</v>
      </c>
      <c r="N62" s="77">
        <f t="shared" si="39"/>
        <v>0.46138211382113814</v>
      </c>
      <c r="O62" s="30">
        <f>($F$62/11808)*5370</f>
        <v>9095528.4552845526</v>
      </c>
      <c r="P62" s="77">
        <f t="shared" si="40"/>
        <v>0.45477642276422764</v>
      </c>
      <c r="Q62" s="30"/>
      <c r="R62" s="77">
        <f t="shared" si="41"/>
        <v>0</v>
      </c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</row>
    <row r="63" spans="2:46" s="2" customFormat="1" ht="28.8" x14ac:dyDescent="0.3">
      <c r="B63" s="27">
        <v>6</v>
      </c>
      <c r="C63" s="4" t="s">
        <v>108</v>
      </c>
      <c r="D63" s="4" t="s">
        <v>29</v>
      </c>
      <c r="E63" s="29">
        <f>+E64+E66+E69+E71+E74+E77</f>
        <v>787516225</v>
      </c>
      <c r="F63" s="29">
        <f>+F64+F66+F69+F71+F74+F77</f>
        <v>787516225</v>
      </c>
      <c r="G63" s="72">
        <f t="shared" si="36"/>
        <v>1</v>
      </c>
      <c r="H63" s="29">
        <f>+H64+H66+H69+H71+H74+H77</f>
        <v>787516225</v>
      </c>
      <c r="I63" s="72">
        <f t="shared" si="37"/>
        <v>1</v>
      </c>
      <c r="J63" s="16"/>
      <c r="K63" s="29">
        <f>+K64+K66+K69+K71+K74+K77</f>
        <v>49854845.03205546</v>
      </c>
      <c r="L63" s="72">
        <f t="shared" si="38"/>
        <v>6.330643540970278E-2</v>
      </c>
      <c r="M63" s="29">
        <f>+M64+M66+M69+M71+M74+M77</f>
        <v>229363596.04690996</v>
      </c>
      <c r="N63" s="72">
        <f t="shared" si="39"/>
        <v>0.29124935939816343</v>
      </c>
      <c r="O63" s="29">
        <f>+O64+O66+O69+O71+O74+O77</f>
        <v>283225730.74736267</v>
      </c>
      <c r="P63" s="72">
        <f t="shared" si="40"/>
        <v>0.3596443117694022</v>
      </c>
      <c r="Q63" s="29">
        <f>+Q64+Q66+Q69+Q71+Q74+Q77</f>
        <v>225072052.77367193</v>
      </c>
      <c r="R63" s="72">
        <f t="shared" si="41"/>
        <v>0.28579989291480556</v>
      </c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</row>
    <row r="64" spans="2:46" s="2" customFormat="1" x14ac:dyDescent="0.3">
      <c r="B64" s="94">
        <v>11</v>
      </c>
      <c r="C64" s="95" t="s">
        <v>114</v>
      </c>
      <c r="D64" s="95" t="s">
        <v>30</v>
      </c>
      <c r="E64" s="100">
        <f>+E65</f>
        <v>26224333</v>
      </c>
      <c r="F64" s="100">
        <f t="shared" ref="F64:H64" si="44">+F65</f>
        <v>26224333</v>
      </c>
      <c r="G64" s="97">
        <f t="shared" si="36"/>
        <v>1</v>
      </c>
      <c r="H64" s="100">
        <f t="shared" si="44"/>
        <v>26224333</v>
      </c>
      <c r="I64" s="97">
        <f t="shared" si="37"/>
        <v>1</v>
      </c>
      <c r="J64" s="16"/>
      <c r="K64" s="100">
        <f>+K65</f>
        <v>11896200.51854714</v>
      </c>
      <c r="L64" s="97">
        <f t="shared" si="38"/>
        <v>0.45363214837712518</v>
      </c>
      <c r="M64" s="100">
        <f>+M65</f>
        <v>60798.299072642971</v>
      </c>
      <c r="N64" s="97">
        <f t="shared" si="39"/>
        <v>2.3183925811437406E-3</v>
      </c>
      <c r="O64" s="100">
        <f>+O65</f>
        <v>1195699.8817619784</v>
      </c>
      <c r="P64" s="97">
        <f t="shared" si="40"/>
        <v>4.5595054095826891E-2</v>
      </c>
      <c r="Q64" s="100">
        <f>+Q65</f>
        <v>13071634.300618239</v>
      </c>
      <c r="R64" s="97">
        <f t="shared" si="41"/>
        <v>0.49845440494590421</v>
      </c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</row>
    <row r="65" spans="2:46" s="36" customFormat="1" ht="18.899999999999999" customHeight="1" x14ac:dyDescent="0.3">
      <c r="B65" s="33">
        <v>11</v>
      </c>
      <c r="C65" s="34" t="s">
        <v>114</v>
      </c>
      <c r="D65" s="40" t="s">
        <v>7</v>
      </c>
      <c r="E65" s="43">
        <v>26224333</v>
      </c>
      <c r="F65" s="43">
        <v>26224333</v>
      </c>
      <c r="G65" s="74">
        <f t="shared" si="36"/>
        <v>1</v>
      </c>
      <c r="H65" s="43">
        <v>26224333</v>
      </c>
      <c r="I65" s="74">
        <f t="shared" si="37"/>
        <v>1</v>
      </c>
      <c r="J65" s="37"/>
      <c r="K65" s="39">
        <f>587*F65/1294</f>
        <v>11896200.51854714</v>
      </c>
      <c r="L65" s="79">
        <f t="shared" si="38"/>
        <v>0.45363214837712518</v>
      </c>
      <c r="M65" s="39">
        <f>SUM(3*H65)/1294</f>
        <v>60798.299072642971</v>
      </c>
      <c r="N65" s="79">
        <f t="shared" si="39"/>
        <v>2.3183925811437406E-3</v>
      </c>
      <c r="O65" s="39">
        <f>SUM(59*F65)/1294</f>
        <v>1195699.8817619784</v>
      </c>
      <c r="P65" s="79">
        <f t="shared" si="40"/>
        <v>4.5595054095826891E-2</v>
      </c>
      <c r="Q65" s="39">
        <f>SUM(645*H65)/1294</f>
        <v>13071634.300618239</v>
      </c>
      <c r="R65" s="79">
        <f t="shared" si="41"/>
        <v>0.49845440494590421</v>
      </c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</row>
    <row r="66" spans="2:46" s="2" customFormat="1" ht="50.25" customHeight="1" x14ac:dyDescent="0.3">
      <c r="B66" s="94">
        <v>6</v>
      </c>
      <c r="C66" s="95" t="s">
        <v>108</v>
      </c>
      <c r="D66" s="95" t="s">
        <v>31</v>
      </c>
      <c r="E66" s="98">
        <f>+E67+E68</f>
        <v>22954000</v>
      </c>
      <c r="F66" s="98">
        <f t="shared" ref="F66:H66" si="45">+F67+F68</f>
        <v>22954000</v>
      </c>
      <c r="G66" s="99">
        <f t="shared" si="36"/>
        <v>1</v>
      </c>
      <c r="H66" s="98">
        <f t="shared" si="45"/>
        <v>22954000</v>
      </c>
      <c r="I66" s="99">
        <f t="shared" si="37"/>
        <v>1</v>
      </c>
      <c r="J66" s="16"/>
      <c r="K66" s="98">
        <f>+K67+K68</f>
        <v>0</v>
      </c>
      <c r="L66" s="99">
        <f t="shared" si="38"/>
        <v>0</v>
      </c>
      <c r="M66" s="98">
        <f t="shared" ref="M66:Q66" si="46">+M67+M68</f>
        <v>4731950.4132231409</v>
      </c>
      <c r="N66" s="99">
        <f t="shared" si="39"/>
        <v>0.20614927303403072</v>
      </c>
      <c r="O66" s="98">
        <f t="shared" si="46"/>
        <v>9397140.4958677683</v>
      </c>
      <c r="P66" s="99">
        <f t="shared" si="40"/>
        <v>0.40939010611953336</v>
      </c>
      <c r="Q66" s="98">
        <f t="shared" si="46"/>
        <v>8824909.0909090918</v>
      </c>
      <c r="R66" s="99">
        <f t="shared" si="41"/>
        <v>0.38446062084643601</v>
      </c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</row>
    <row r="67" spans="2:46" s="2" customFormat="1" ht="28.8" x14ac:dyDescent="0.3">
      <c r="B67" s="20">
        <v>6</v>
      </c>
      <c r="C67" s="21" t="s">
        <v>108</v>
      </c>
      <c r="D67" s="6" t="s">
        <v>7</v>
      </c>
      <c r="E67" s="7">
        <v>21800000</v>
      </c>
      <c r="F67" s="7">
        <v>21800000</v>
      </c>
      <c r="G67" s="78">
        <f t="shared" si="36"/>
        <v>1</v>
      </c>
      <c r="H67" s="7">
        <v>21800000</v>
      </c>
      <c r="I67" s="78">
        <f t="shared" si="37"/>
        <v>1</v>
      </c>
      <c r="J67" s="16"/>
      <c r="K67" s="30">
        <v>0</v>
      </c>
      <c r="L67" s="77">
        <f t="shared" si="38"/>
        <v>0</v>
      </c>
      <c r="M67" s="30">
        <f>SUM(100*F67)/500</f>
        <v>4360000</v>
      </c>
      <c r="N67" s="77">
        <f t="shared" si="39"/>
        <v>0.2</v>
      </c>
      <c r="O67" s="30">
        <f>SUM(200*H67)/500</f>
        <v>8720000</v>
      </c>
      <c r="P67" s="77">
        <f t="shared" si="40"/>
        <v>0.4</v>
      </c>
      <c r="Q67" s="30">
        <f>SUM(200*F67)/500</f>
        <v>8720000</v>
      </c>
      <c r="R67" s="77">
        <f t="shared" si="41"/>
        <v>0.4</v>
      </c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</row>
    <row r="68" spans="2:46" s="36" customFormat="1" ht="28.8" x14ac:dyDescent="0.3">
      <c r="B68" s="33">
        <v>6</v>
      </c>
      <c r="C68" s="34" t="s">
        <v>108</v>
      </c>
      <c r="D68" s="40" t="s">
        <v>85</v>
      </c>
      <c r="E68" s="43">
        <v>1154000</v>
      </c>
      <c r="F68" s="43">
        <v>1154000</v>
      </c>
      <c r="G68" s="74">
        <f t="shared" si="36"/>
        <v>1</v>
      </c>
      <c r="H68" s="43">
        <v>1154000</v>
      </c>
      <c r="I68" s="74">
        <f t="shared" si="37"/>
        <v>1</v>
      </c>
      <c r="J68" s="37"/>
      <c r="K68" s="39">
        <v>0</v>
      </c>
      <c r="L68" s="79">
        <f t="shared" si="38"/>
        <v>0</v>
      </c>
      <c r="M68" s="39">
        <f>SUM(39*F68)/121</f>
        <v>371950.41322314052</v>
      </c>
      <c r="N68" s="79">
        <f t="shared" si="39"/>
        <v>0.3223140495867769</v>
      </c>
      <c r="O68" s="39">
        <f>SUM(71*H68)/121</f>
        <v>677140.49586776865</v>
      </c>
      <c r="P68" s="79">
        <f t="shared" si="40"/>
        <v>0.58677685950413228</v>
      </c>
      <c r="Q68" s="39">
        <f>SUM(11*F68)/121</f>
        <v>104909.09090909091</v>
      </c>
      <c r="R68" s="79">
        <f t="shared" si="41"/>
        <v>9.0909090909090912E-2</v>
      </c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</row>
    <row r="69" spans="2:46" s="2" customFormat="1" ht="28.8" x14ac:dyDescent="0.3">
      <c r="B69" s="94">
        <v>6</v>
      </c>
      <c r="C69" s="95" t="s">
        <v>108</v>
      </c>
      <c r="D69" s="95" t="s">
        <v>32</v>
      </c>
      <c r="E69" s="98">
        <f>+E70</f>
        <v>63089833</v>
      </c>
      <c r="F69" s="98">
        <f t="shared" ref="F69:H69" si="47">+F70</f>
        <v>63089833</v>
      </c>
      <c r="G69" s="99">
        <f t="shared" si="36"/>
        <v>1</v>
      </c>
      <c r="H69" s="98">
        <f t="shared" si="47"/>
        <v>63089833</v>
      </c>
      <c r="I69" s="99">
        <f t="shared" si="37"/>
        <v>1</v>
      </c>
      <c r="J69" s="16"/>
      <c r="K69" s="98">
        <f>+K70</f>
        <v>5830228.980679702</v>
      </c>
      <c r="L69" s="99">
        <f t="shared" si="38"/>
        <v>9.2411545623836119E-2</v>
      </c>
      <c r="M69" s="98">
        <f>+M70</f>
        <v>25837068.480291743</v>
      </c>
      <c r="N69" s="99">
        <f t="shared" si="39"/>
        <v>0.40952824332712601</v>
      </c>
      <c r="O69" s="98">
        <f>+O70</f>
        <v>14857048.661933582</v>
      </c>
      <c r="P69" s="99">
        <f t="shared" si="40"/>
        <v>0.23549037864680325</v>
      </c>
      <c r="Q69" s="98">
        <f>+Q70</f>
        <v>16565486.877094973</v>
      </c>
      <c r="R69" s="99">
        <f t="shared" si="41"/>
        <v>0.26256983240223464</v>
      </c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</row>
    <row r="70" spans="2:46" s="2" customFormat="1" ht="28.8" x14ac:dyDescent="0.3">
      <c r="B70" s="20">
        <v>6</v>
      </c>
      <c r="C70" s="21" t="s">
        <v>108</v>
      </c>
      <c r="D70" s="6" t="s">
        <v>7</v>
      </c>
      <c r="E70" s="31">
        <v>63089833</v>
      </c>
      <c r="F70" s="31">
        <v>63089833</v>
      </c>
      <c r="G70" s="77">
        <f t="shared" si="36"/>
        <v>1</v>
      </c>
      <c r="H70" s="31">
        <v>63089833</v>
      </c>
      <c r="I70" s="77">
        <f t="shared" si="37"/>
        <v>1</v>
      </c>
      <c r="J70" s="16"/>
      <c r="K70" s="30">
        <f>SUM(1191*F70)/12888</f>
        <v>5830228.980679702</v>
      </c>
      <c r="L70" s="77">
        <f t="shared" si="38"/>
        <v>9.2411545623836119E-2</v>
      </c>
      <c r="M70" s="30">
        <f>SUM(5278*H70)/12888</f>
        <v>25837068.480291743</v>
      </c>
      <c r="N70" s="77">
        <f t="shared" si="39"/>
        <v>0.40952824332712601</v>
      </c>
      <c r="O70" s="30">
        <f>SUM(3035*F70)/12888</f>
        <v>14857048.661933582</v>
      </c>
      <c r="P70" s="77">
        <f t="shared" si="40"/>
        <v>0.23549037864680325</v>
      </c>
      <c r="Q70" s="30">
        <f>SUM(3384*F70)/12888</f>
        <v>16565486.877094973</v>
      </c>
      <c r="R70" s="77">
        <f t="shared" si="41"/>
        <v>0.26256983240223464</v>
      </c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</row>
    <row r="71" spans="2:46" s="2" customFormat="1" ht="36" customHeight="1" x14ac:dyDescent="0.3">
      <c r="B71" s="94">
        <v>6</v>
      </c>
      <c r="C71" s="95" t="s">
        <v>108</v>
      </c>
      <c r="D71" s="95" t="s">
        <v>33</v>
      </c>
      <c r="E71" s="98">
        <f>+E72+E73</f>
        <v>412098006</v>
      </c>
      <c r="F71" s="98">
        <f t="shared" ref="F71:H71" si="48">+F72+F73</f>
        <v>412098006</v>
      </c>
      <c r="G71" s="99">
        <f t="shared" si="36"/>
        <v>1</v>
      </c>
      <c r="H71" s="98">
        <f t="shared" si="48"/>
        <v>412098006</v>
      </c>
      <c r="I71" s="99">
        <f t="shared" si="37"/>
        <v>1</v>
      </c>
      <c r="J71" s="16"/>
      <c r="K71" s="98">
        <f>+K72+K73</f>
        <v>30757566.398451045</v>
      </c>
      <c r="L71" s="99">
        <f t="shared" si="38"/>
        <v>7.4636532937873631E-2</v>
      </c>
      <c r="M71" s="98">
        <f t="shared" ref="M71:Q71" si="49">+M72+M73</f>
        <v>172657163.73297885</v>
      </c>
      <c r="N71" s="99">
        <f t="shared" si="39"/>
        <v>0.41897112147875537</v>
      </c>
      <c r="O71" s="98">
        <f t="shared" si="49"/>
        <v>73412610.989365384</v>
      </c>
      <c r="P71" s="99">
        <f t="shared" si="40"/>
        <v>0.17814357245243595</v>
      </c>
      <c r="Q71" s="98">
        <f t="shared" si="49"/>
        <v>135270664.87920472</v>
      </c>
      <c r="R71" s="99">
        <f t="shared" si="41"/>
        <v>0.32824877313093509</v>
      </c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</row>
    <row r="72" spans="2:46" s="2" customFormat="1" ht="30.6" customHeight="1" x14ac:dyDescent="0.3">
      <c r="B72" s="20">
        <v>6</v>
      </c>
      <c r="C72" s="21" t="s">
        <v>108</v>
      </c>
      <c r="D72" s="6" t="s">
        <v>7</v>
      </c>
      <c r="E72" s="31">
        <v>376244895</v>
      </c>
      <c r="F72" s="31">
        <v>376244895</v>
      </c>
      <c r="G72" s="77">
        <f t="shared" si="36"/>
        <v>1</v>
      </c>
      <c r="H72" s="31">
        <v>376244895</v>
      </c>
      <c r="I72" s="77">
        <f t="shared" si="37"/>
        <v>1</v>
      </c>
      <c r="J72" s="16"/>
      <c r="K72" s="30">
        <f>SUM(100*F72)/2050</f>
        <v>18353409.512195121</v>
      </c>
      <c r="L72" s="77">
        <f t="shared" si="38"/>
        <v>4.878048780487805E-2</v>
      </c>
      <c r="M72" s="30">
        <f>SUM(900*H72)/2050</f>
        <v>165180685.60975611</v>
      </c>
      <c r="N72" s="77">
        <f t="shared" si="39"/>
        <v>0.4390243902439025</v>
      </c>
      <c r="O72" s="30">
        <f>SUM(350*F72)/2050</f>
        <v>64236933.292682923</v>
      </c>
      <c r="P72" s="77">
        <f t="shared" si="40"/>
        <v>0.17073170731707316</v>
      </c>
      <c r="Q72" s="30">
        <f>SUM(700*F72)/2050</f>
        <v>128473866.58536585</v>
      </c>
      <c r="R72" s="77">
        <f t="shared" si="41"/>
        <v>0.34146341463414631</v>
      </c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</row>
    <row r="73" spans="2:46" s="2" customFormat="1" ht="30.6" customHeight="1" x14ac:dyDescent="0.3">
      <c r="B73" s="20">
        <v>6</v>
      </c>
      <c r="C73" s="21" t="s">
        <v>108</v>
      </c>
      <c r="D73" s="6" t="s">
        <v>15</v>
      </c>
      <c r="E73" s="31">
        <v>35853111</v>
      </c>
      <c r="F73" s="31">
        <v>35853111</v>
      </c>
      <c r="G73" s="77">
        <f t="shared" si="36"/>
        <v>1</v>
      </c>
      <c r="H73" s="31">
        <v>35853111</v>
      </c>
      <c r="I73" s="77">
        <f t="shared" si="37"/>
        <v>1</v>
      </c>
      <c r="J73" s="16"/>
      <c r="K73" s="30">
        <f>SUM(73*F73)/211</f>
        <v>12404156.886255924</v>
      </c>
      <c r="L73" s="77">
        <f t="shared" si="38"/>
        <v>0.34597156398104262</v>
      </c>
      <c r="M73" s="30">
        <f>SUM(44*F73)/211</f>
        <v>7476478.1232227487</v>
      </c>
      <c r="N73" s="77">
        <f t="shared" si="39"/>
        <v>0.20853080568720378</v>
      </c>
      <c r="O73" s="30">
        <f>SUM(54*F73)/211</f>
        <v>9175677.6966824643</v>
      </c>
      <c r="P73" s="77">
        <f t="shared" si="40"/>
        <v>0.25592417061611372</v>
      </c>
      <c r="Q73" s="30">
        <f>SUM(40*F73)/211</f>
        <v>6796798.2938388623</v>
      </c>
      <c r="R73" s="77">
        <f t="shared" si="41"/>
        <v>0.1895734597156398</v>
      </c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</row>
    <row r="74" spans="2:46" s="36" customFormat="1" ht="43.5" customHeight="1" x14ac:dyDescent="0.3">
      <c r="B74" s="94">
        <v>6</v>
      </c>
      <c r="C74" s="95" t="s">
        <v>108</v>
      </c>
      <c r="D74" s="95" t="s">
        <v>94</v>
      </c>
      <c r="E74" s="96">
        <f>+E75+E76</f>
        <v>245270053</v>
      </c>
      <c r="F74" s="96">
        <f t="shared" ref="F74:H74" si="50">+F75+F76</f>
        <v>245270053</v>
      </c>
      <c r="G74" s="97">
        <f t="shared" si="36"/>
        <v>1</v>
      </c>
      <c r="H74" s="96">
        <f t="shared" si="50"/>
        <v>245270053</v>
      </c>
      <c r="I74" s="97">
        <f t="shared" si="37"/>
        <v>1</v>
      </c>
      <c r="J74" s="37"/>
      <c r="K74" s="96">
        <f>+K75+K76</f>
        <v>0</v>
      </c>
      <c r="L74" s="97">
        <f t="shared" si="38"/>
        <v>0</v>
      </c>
      <c r="M74" s="96">
        <f t="shared" ref="M74:Q74" si="51">+M75+M76</f>
        <v>20342633.25819435</v>
      </c>
      <c r="N74" s="97">
        <f t="shared" si="39"/>
        <v>8.2939735240300003E-2</v>
      </c>
      <c r="O74" s="96">
        <f t="shared" si="51"/>
        <v>176904632.2023581</v>
      </c>
      <c r="P74" s="97">
        <f t="shared" si="40"/>
        <v>0.72126470410294274</v>
      </c>
      <c r="Q74" s="96">
        <f t="shared" si="51"/>
        <v>48022787.139447547</v>
      </c>
      <c r="R74" s="97">
        <f t="shared" si="41"/>
        <v>0.19579555902590173</v>
      </c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</row>
    <row r="75" spans="2:46" s="36" customFormat="1" ht="30.6" customHeight="1" x14ac:dyDescent="0.3">
      <c r="B75" s="33">
        <v>6</v>
      </c>
      <c r="C75" s="34" t="s">
        <v>108</v>
      </c>
      <c r="D75" s="40" t="s">
        <v>95</v>
      </c>
      <c r="E75" s="63">
        <v>244116053</v>
      </c>
      <c r="F75" s="63">
        <v>244116053</v>
      </c>
      <c r="G75" s="76">
        <f t="shared" si="36"/>
        <v>1</v>
      </c>
      <c r="H75" s="63">
        <v>244116053</v>
      </c>
      <c r="I75" s="76">
        <f t="shared" si="37"/>
        <v>1</v>
      </c>
      <c r="J75" s="37"/>
      <c r="K75" s="39"/>
      <c r="L75" s="79">
        <f t="shared" si="38"/>
        <v>0</v>
      </c>
      <c r="M75" s="39">
        <v>20259010.069788553</v>
      </c>
      <c r="N75" s="79">
        <f t="shared" si="39"/>
        <v>8.2989257858386525E-2</v>
      </c>
      <c r="O75" s="39">
        <v>176018226.40525666</v>
      </c>
      <c r="P75" s="79">
        <f t="shared" si="40"/>
        <v>0.72104322613005978</v>
      </c>
      <c r="Q75" s="39">
        <v>47838816.124954797</v>
      </c>
      <c r="R75" s="79">
        <f t="shared" si="41"/>
        <v>0.19596751437298882</v>
      </c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</row>
    <row r="76" spans="2:46" s="36" customFormat="1" ht="30.6" customHeight="1" x14ac:dyDescent="0.3">
      <c r="B76" s="33">
        <v>6</v>
      </c>
      <c r="C76" s="34" t="s">
        <v>108</v>
      </c>
      <c r="D76" s="40" t="s">
        <v>85</v>
      </c>
      <c r="E76" s="64">
        <v>1154000</v>
      </c>
      <c r="F76" s="64">
        <v>1154000</v>
      </c>
      <c r="G76" s="74">
        <f t="shared" si="36"/>
        <v>1</v>
      </c>
      <c r="H76" s="64">
        <v>1154000</v>
      </c>
      <c r="I76" s="74">
        <f t="shared" si="37"/>
        <v>1</v>
      </c>
      <c r="J76" s="37"/>
      <c r="K76" s="39">
        <v>0</v>
      </c>
      <c r="L76" s="79">
        <f t="shared" si="38"/>
        <v>0</v>
      </c>
      <c r="M76" s="39">
        <v>83623.188405797104</v>
      </c>
      <c r="N76" s="79">
        <f t="shared" si="39"/>
        <v>7.2463768115942032E-2</v>
      </c>
      <c r="O76" s="39">
        <v>886405.79710144922</v>
      </c>
      <c r="P76" s="79">
        <f t="shared" si="40"/>
        <v>0.76811594202898548</v>
      </c>
      <c r="Q76" s="39">
        <v>183971.01449275363</v>
      </c>
      <c r="R76" s="79">
        <f t="shared" si="41"/>
        <v>0.15942028985507248</v>
      </c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</row>
    <row r="77" spans="2:46" s="36" customFormat="1" ht="37.5" customHeight="1" x14ac:dyDescent="0.3">
      <c r="B77" s="94">
        <v>6</v>
      </c>
      <c r="C77" s="95" t="s">
        <v>108</v>
      </c>
      <c r="D77" s="95" t="s">
        <v>34</v>
      </c>
      <c r="E77" s="101">
        <f>E78</f>
        <v>17880000</v>
      </c>
      <c r="F77" s="101">
        <f t="shared" ref="F77:H77" si="52">F78</f>
        <v>17880000</v>
      </c>
      <c r="G77" s="97">
        <f t="shared" si="36"/>
        <v>1</v>
      </c>
      <c r="H77" s="101">
        <f t="shared" si="52"/>
        <v>17880000</v>
      </c>
      <c r="I77" s="97">
        <f t="shared" si="37"/>
        <v>1</v>
      </c>
      <c r="J77" s="37"/>
      <c r="K77" s="101">
        <f>+K78</f>
        <v>1370849.1343775762</v>
      </c>
      <c r="L77" s="97">
        <f t="shared" si="38"/>
        <v>7.6669414674361086E-2</v>
      </c>
      <c r="M77" s="101">
        <f t="shared" ref="M77:Q77" si="53">+M78</f>
        <v>5733981.8631492164</v>
      </c>
      <c r="N77" s="97">
        <f t="shared" si="39"/>
        <v>0.32069249793899418</v>
      </c>
      <c r="O77" s="101">
        <f t="shared" si="53"/>
        <v>7458598.5160758449</v>
      </c>
      <c r="P77" s="97">
        <f t="shared" si="40"/>
        <v>0.41714756801319042</v>
      </c>
      <c r="Q77" s="101">
        <f t="shared" si="53"/>
        <v>3316570.4863973618</v>
      </c>
      <c r="R77" s="97">
        <f t="shared" si="41"/>
        <v>0.18549051937345423</v>
      </c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</row>
    <row r="78" spans="2:46" s="36" customFormat="1" ht="18.899999999999999" customHeight="1" x14ac:dyDescent="0.3">
      <c r="B78" s="33">
        <v>6</v>
      </c>
      <c r="C78" s="34" t="s">
        <v>108</v>
      </c>
      <c r="D78" s="40" t="s">
        <v>95</v>
      </c>
      <c r="E78" s="41">
        <v>17880000</v>
      </c>
      <c r="F78" s="41">
        <v>17880000</v>
      </c>
      <c r="G78" s="79">
        <f t="shared" si="36"/>
        <v>1</v>
      </c>
      <c r="H78" s="41">
        <v>17880000</v>
      </c>
      <c r="I78" s="79">
        <f t="shared" si="37"/>
        <v>1</v>
      </c>
      <c r="J78" s="37"/>
      <c r="K78" s="39">
        <f>(93*F78)/1213</f>
        <v>1370849.1343775762</v>
      </c>
      <c r="L78" s="79">
        <f t="shared" si="38"/>
        <v>7.6669414674361086E-2</v>
      </c>
      <c r="M78" s="39">
        <f>(389*H78)/1213</f>
        <v>5733981.8631492164</v>
      </c>
      <c r="N78" s="79">
        <f t="shared" si="39"/>
        <v>0.32069249793899418</v>
      </c>
      <c r="O78" s="39">
        <f>(506*F78)/1213</f>
        <v>7458598.5160758449</v>
      </c>
      <c r="P78" s="79">
        <f t="shared" si="40"/>
        <v>0.41714756801319042</v>
      </c>
      <c r="Q78" s="39">
        <f>(225*H78)/1213</f>
        <v>3316570.4863973618</v>
      </c>
      <c r="R78" s="79">
        <f t="shared" si="41"/>
        <v>0.18549051937345423</v>
      </c>
      <c r="S78" s="38">
        <f>F78-K78-M78-O78-Q78</f>
        <v>0</v>
      </c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</row>
    <row r="79" spans="2:46" s="2" customFormat="1" ht="18.899999999999999" customHeight="1" x14ac:dyDescent="0.3">
      <c r="B79" s="27">
        <v>1</v>
      </c>
      <c r="C79" s="4" t="s">
        <v>109</v>
      </c>
      <c r="D79" s="4" t="s">
        <v>35</v>
      </c>
      <c r="E79" s="29">
        <f>+E80+E84+E87+E89+E92+E95+E100+E107+E109+E111+E113+E115+E117+E121+E125+E129+E132+E135+E137+E142+E144+E146+E148+E150+E153+E156+E161</f>
        <v>24407288876</v>
      </c>
      <c r="F79" s="29">
        <f>+F80+F84+F87+F89+F92+F95+F100+F107+F109+F111+F113+F115+F117+F121+F125+F129+F132+F135+F137+F142+F144+F146+F148+F150+F153+F156+F161</f>
        <v>23973989502</v>
      </c>
      <c r="G79" s="72">
        <f t="shared" si="36"/>
        <v>0.98224713214968873</v>
      </c>
      <c r="H79" s="29">
        <f>+H80+H84+H87+H89+H92+H95+H100+H107+H109+H111+H113+H115+H117+H121+H125+H129+H132+H135+H137+H142+H144+H146+H148+H150+H153+H156+H161</f>
        <v>23973989502</v>
      </c>
      <c r="I79" s="72">
        <f t="shared" si="37"/>
        <v>0.98224713214968873</v>
      </c>
      <c r="J79" s="16"/>
      <c r="K79" s="29">
        <f>+K80+K84+K87+K92+K89+K95+K100+K107+K109+K111+K113+K115+K117+K121+K125+K129+K132+K135+K137+K142+K144+K146+K148+K150+K153+K156+K161</f>
        <v>1928325893.9491274</v>
      </c>
      <c r="L79" s="72">
        <f t="shared" si="38"/>
        <v>8.0434084355808164E-2</v>
      </c>
      <c r="M79" s="29">
        <f>+M80+M84+M87+M92+M89+M95+M100+M107+M109+M111+M113+M115+M117+M121+M125+M129+M132+M135+M137+M142+M144+M146+M148+M150+M153+M156+M161</f>
        <v>1763506233.4670522</v>
      </c>
      <c r="N79" s="72">
        <f t="shared" si="39"/>
        <v>7.3559147647075343E-2</v>
      </c>
      <c r="O79" s="29">
        <f>+O80+O84+O87+O92+O89+O95+O100+O107+O109+O111+O113+O115+O117+O121+O125+O129+O132+O135+O137+O142+O144+O146+O148+O150+O153+O156+O161</f>
        <v>1923032090.1991599</v>
      </c>
      <c r="P79" s="72">
        <f t="shared" si="40"/>
        <v>8.0213269887297364E-2</v>
      </c>
      <c r="Q79" s="29">
        <f>+Q80+Q84+Q87+Q92+Q89+Q95+Q100+Q107+Q109+Q111+Q113+Q115+Q117+Q121+Q125+Q129+Q132+Q135+Q137+Q142+Q144+Q146+Q148+Q150+Q153+Q156+Q161</f>
        <v>18359125284.384663</v>
      </c>
      <c r="R79" s="72">
        <f t="shared" si="41"/>
        <v>0.76579349810981923</v>
      </c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</row>
    <row r="80" spans="2:46" s="2" customFormat="1" ht="18.899999999999999" customHeight="1" x14ac:dyDescent="0.3">
      <c r="B80" s="28">
        <v>1</v>
      </c>
      <c r="C80" s="5" t="s">
        <v>109</v>
      </c>
      <c r="D80" s="5" t="s">
        <v>36</v>
      </c>
      <c r="E80" s="9">
        <f>+E81+E82+E83</f>
        <v>206294851</v>
      </c>
      <c r="F80" s="9">
        <f t="shared" ref="F80:H80" si="54">+F81+F82+F83</f>
        <v>191044851</v>
      </c>
      <c r="G80" s="80">
        <f t="shared" si="36"/>
        <v>0.92607668138067101</v>
      </c>
      <c r="H80" s="9">
        <f t="shared" si="54"/>
        <v>191044851</v>
      </c>
      <c r="I80" s="80">
        <f t="shared" si="37"/>
        <v>0.92607668138067101</v>
      </c>
      <c r="J80" s="16"/>
      <c r="K80" s="9">
        <f>+K81+K82+K83</f>
        <v>15474632.931</v>
      </c>
      <c r="L80" s="80">
        <f t="shared" si="38"/>
        <v>8.1000000000000003E-2</v>
      </c>
      <c r="M80" s="9">
        <f t="shared" ref="M80:Q80" si="55">+M81+M82+M83</f>
        <v>13755229.271999998</v>
      </c>
      <c r="N80" s="80">
        <f t="shared" si="39"/>
        <v>7.1999999999999995E-2</v>
      </c>
      <c r="O80" s="9">
        <f t="shared" si="55"/>
        <v>14519408.675999999</v>
      </c>
      <c r="P80" s="80">
        <f t="shared" si="40"/>
        <v>7.5999999999999998E-2</v>
      </c>
      <c r="Q80" s="9">
        <f t="shared" si="55"/>
        <v>147295580.12099999</v>
      </c>
      <c r="R80" s="80">
        <f t="shared" si="41"/>
        <v>0.77099999999999991</v>
      </c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</row>
    <row r="81" spans="2:46" s="2" customFormat="1" ht="18.899999999999999" customHeight="1" x14ac:dyDescent="0.3">
      <c r="B81" s="25">
        <v>1</v>
      </c>
      <c r="C81" s="22" t="s">
        <v>109</v>
      </c>
      <c r="D81" s="6" t="s">
        <v>37</v>
      </c>
      <c r="E81" s="7">
        <v>20000000</v>
      </c>
      <c r="F81" s="7">
        <v>20000000</v>
      </c>
      <c r="G81" s="78">
        <f t="shared" si="36"/>
        <v>1</v>
      </c>
      <c r="H81" s="7">
        <v>20000000</v>
      </c>
      <c r="I81" s="78">
        <f t="shared" si="37"/>
        <v>1</v>
      </c>
      <c r="J81" s="16"/>
      <c r="K81" s="30">
        <v>1620000</v>
      </c>
      <c r="L81" s="77">
        <f t="shared" si="38"/>
        <v>8.1000000000000003E-2</v>
      </c>
      <c r="M81" s="30">
        <v>1440000</v>
      </c>
      <c r="N81" s="77">
        <f t="shared" si="39"/>
        <v>7.1999999999999995E-2</v>
      </c>
      <c r="O81" s="30">
        <v>1520000</v>
      </c>
      <c r="P81" s="77">
        <f t="shared" si="40"/>
        <v>7.5999999999999998E-2</v>
      </c>
      <c r="Q81" s="30">
        <v>15420000</v>
      </c>
      <c r="R81" s="77">
        <f t="shared" si="41"/>
        <v>0.77100000000000002</v>
      </c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</row>
    <row r="82" spans="2:46" s="36" customFormat="1" ht="32.25" customHeight="1" x14ac:dyDescent="0.3">
      <c r="B82" s="42">
        <v>1</v>
      </c>
      <c r="C82" s="45" t="s">
        <v>109</v>
      </c>
      <c r="D82" s="40" t="s">
        <v>96</v>
      </c>
      <c r="E82" s="43">
        <v>40918642</v>
      </c>
      <c r="F82" s="43">
        <v>40918642</v>
      </c>
      <c r="G82" s="74">
        <f t="shared" si="36"/>
        <v>1</v>
      </c>
      <c r="H82" s="43">
        <v>40918642</v>
      </c>
      <c r="I82" s="74">
        <f t="shared" si="37"/>
        <v>1</v>
      </c>
      <c r="J82" s="37"/>
      <c r="K82" s="39">
        <v>3314410.0020000003</v>
      </c>
      <c r="L82" s="79">
        <f t="shared" si="38"/>
        <v>8.1000000000000003E-2</v>
      </c>
      <c r="M82" s="39">
        <v>2946142.2239999999</v>
      </c>
      <c r="N82" s="79">
        <f t="shared" si="39"/>
        <v>7.1999999999999995E-2</v>
      </c>
      <c r="O82" s="39">
        <v>3109816.7919999999</v>
      </c>
      <c r="P82" s="79">
        <f t="shared" si="40"/>
        <v>7.5999999999999998E-2</v>
      </c>
      <c r="Q82" s="39">
        <v>31548272.982000001</v>
      </c>
      <c r="R82" s="79">
        <f t="shared" si="41"/>
        <v>0.77100000000000002</v>
      </c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</row>
    <row r="83" spans="2:46" s="36" customFormat="1" ht="34.5" customHeight="1" x14ac:dyDescent="0.3">
      <c r="B83" s="42">
        <v>1</v>
      </c>
      <c r="C83" s="45" t="s">
        <v>109</v>
      </c>
      <c r="D83" s="40" t="s">
        <v>97</v>
      </c>
      <c r="E83" s="43">
        <v>145376209</v>
      </c>
      <c r="F83" s="43">
        <v>130126209</v>
      </c>
      <c r="G83" s="74">
        <f t="shared" si="36"/>
        <v>0.89509975459602198</v>
      </c>
      <c r="H83" s="43">
        <v>130126209</v>
      </c>
      <c r="I83" s="74">
        <f t="shared" si="37"/>
        <v>0.89509975459602198</v>
      </c>
      <c r="J83" s="37"/>
      <c r="K83" s="39">
        <v>10540222.929</v>
      </c>
      <c r="L83" s="79">
        <f t="shared" si="38"/>
        <v>8.1000000000000003E-2</v>
      </c>
      <c r="M83" s="39">
        <v>9369087.0479999986</v>
      </c>
      <c r="N83" s="79">
        <f t="shared" si="39"/>
        <v>7.1999999999999995E-2</v>
      </c>
      <c r="O83" s="39">
        <v>9889591.8839999996</v>
      </c>
      <c r="P83" s="79">
        <f t="shared" si="40"/>
        <v>7.5999999999999998E-2</v>
      </c>
      <c r="Q83" s="39">
        <v>100327307.139</v>
      </c>
      <c r="R83" s="79">
        <f t="shared" si="41"/>
        <v>0.77100000000000002</v>
      </c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</row>
    <row r="84" spans="2:46" s="2" customFormat="1" ht="18.899999999999999" customHeight="1" x14ac:dyDescent="0.3">
      <c r="B84" s="28">
        <v>11</v>
      </c>
      <c r="C84" s="5" t="s">
        <v>114</v>
      </c>
      <c r="D84" s="5" t="s">
        <v>38</v>
      </c>
      <c r="E84" s="9">
        <f>+E85+E86</f>
        <v>171218499</v>
      </c>
      <c r="F84" s="9">
        <f t="shared" ref="F84:H84" si="56">+F85+F86</f>
        <v>171218499</v>
      </c>
      <c r="G84" s="80">
        <f t="shared" si="36"/>
        <v>1</v>
      </c>
      <c r="H84" s="9">
        <f t="shared" si="56"/>
        <v>171218499</v>
      </c>
      <c r="I84" s="80">
        <f t="shared" si="37"/>
        <v>1</v>
      </c>
      <c r="J84" s="16"/>
      <c r="K84" s="9">
        <f>+K85+K86</f>
        <v>13868698.419</v>
      </c>
      <c r="L84" s="80">
        <f t="shared" si="38"/>
        <v>8.1000000000000003E-2</v>
      </c>
      <c r="M84" s="9">
        <f t="shared" ref="M84:Q84" si="57">+M85+M86</f>
        <v>12327731.927999999</v>
      </c>
      <c r="N84" s="80">
        <f t="shared" si="39"/>
        <v>7.1999999999999995E-2</v>
      </c>
      <c r="O84" s="9">
        <f t="shared" si="57"/>
        <v>13012605.924000001</v>
      </c>
      <c r="P84" s="80">
        <f t="shared" si="40"/>
        <v>7.5999999999999998E-2</v>
      </c>
      <c r="Q84" s="9">
        <f t="shared" si="57"/>
        <v>132009462.729</v>
      </c>
      <c r="R84" s="80">
        <f t="shared" si="41"/>
        <v>0.77100000000000002</v>
      </c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</row>
    <row r="85" spans="2:46" s="36" customFormat="1" ht="18.899999999999999" customHeight="1" x14ac:dyDescent="0.3">
      <c r="B85" s="33">
        <v>11</v>
      </c>
      <c r="C85" s="34" t="s">
        <v>114</v>
      </c>
      <c r="D85" s="40" t="s">
        <v>37</v>
      </c>
      <c r="E85" s="43">
        <v>137660999</v>
      </c>
      <c r="F85" s="43">
        <v>137660999</v>
      </c>
      <c r="G85" s="74">
        <f t="shared" si="36"/>
        <v>1</v>
      </c>
      <c r="H85" s="43">
        <v>137660999</v>
      </c>
      <c r="I85" s="74">
        <f t="shared" si="37"/>
        <v>1</v>
      </c>
      <c r="J85" s="37"/>
      <c r="K85" s="39">
        <v>11150540.919</v>
      </c>
      <c r="L85" s="79">
        <f t="shared" si="38"/>
        <v>8.1000000000000003E-2</v>
      </c>
      <c r="M85" s="39">
        <v>9911591.9279999994</v>
      </c>
      <c r="N85" s="79">
        <f t="shared" si="39"/>
        <v>7.1999999999999995E-2</v>
      </c>
      <c r="O85" s="39">
        <v>10462235.924000001</v>
      </c>
      <c r="P85" s="79">
        <f t="shared" si="40"/>
        <v>7.5999999999999998E-2</v>
      </c>
      <c r="Q85" s="39">
        <v>106136630.229</v>
      </c>
      <c r="R85" s="79">
        <f t="shared" si="41"/>
        <v>0.77100000000000002</v>
      </c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</row>
    <row r="86" spans="2:46" s="36" customFormat="1" ht="18.899999999999999" customHeight="1" x14ac:dyDescent="0.3">
      <c r="B86" s="33">
        <v>11</v>
      </c>
      <c r="C86" s="34" t="s">
        <v>114</v>
      </c>
      <c r="D86" s="40" t="s">
        <v>95</v>
      </c>
      <c r="E86" s="43">
        <v>33557500</v>
      </c>
      <c r="F86" s="43">
        <v>33557500</v>
      </c>
      <c r="G86" s="74">
        <f t="shared" si="36"/>
        <v>1</v>
      </c>
      <c r="H86" s="43">
        <v>33557500</v>
      </c>
      <c r="I86" s="74">
        <f t="shared" si="37"/>
        <v>1</v>
      </c>
      <c r="J86" s="37"/>
      <c r="K86" s="39">
        <v>2718157.5</v>
      </c>
      <c r="L86" s="79">
        <f t="shared" si="38"/>
        <v>8.1000000000000003E-2</v>
      </c>
      <c r="M86" s="39">
        <v>2416140</v>
      </c>
      <c r="N86" s="79">
        <f t="shared" si="39"/>
        <v>7.1999999999999995E-2</v>
      </c>
      <c r="O86" s="39">
        <v>2550370</v>
      </c>
      <c r="P86" s="79">
        <f t="shared" si="40"/>
        <v>7.5999999999999998E-2</v>
      </c>
      <c r="Q86" s="39">
        <v>25872832.5</v>
      </c>
      <c r="R86" s="79">
        <f t="shared" si="41"/>
        <v>0.77100000000000002</v>
      </c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</row>
    <row r="87" spans="2:46" s="2" customFormat="1" ht="18.899999999999999" customHeight="1" x14ac:dyDescent="0.3">
      <c r="B87" s="28">
        <v>11</v>
      </c>
      <c r="C87" s="5" t="s">
        <v>114</v>
      </c>
      <c r="D87" s="5" t="s">
        <v>39</v>
      </c>
      <c r="E87" s="9">
        <f>+E88</f>
        <v>54630000</v>
      </c>
      <c r="F87" s="9">
        <f t="shared" ref="F87:H87" si="58">+F88</f>
        <v>54630000</v>
      </c>
      <c r="G87" s="80">
        <f t="shared" si="36"/>
        <v>1</v>
      </c>
      <c r="H87" s="9">
        <f t="shared" si="58"/>
        <v>54630000</v>
      </c>
      <c r="I87" s="80">
        <f t="shared" si="37"/>
        <v>1</v>
      </c>
      <c r="J87" s="16"/>
      <c r="K87" s="9">
        <f>+K88</f>
        <v>4425030</v>
      </c>
      <c r="L87" s="80">
        <f t="shared" si="38"/>
        <v>8.1000000000000003E-2</v>
      </c>
      <c r="M87" s="9">
        <f t="shared" ref="M87:Q87" si="59">+M88</f>
        <v>3933359.9999999995</v>
      </c>
      <c r="N87" s="80">
        <f t="shared" si="39"/>
        <v>7.1999999999999995E-2</v>
      </c>
      <c r="O87" s="9">
        <f t="shared" si="59"/>
        <v>4151880</v>
      </c>
      <c r="P87" s="80">
        <f t="shared" si="40"/>
        <v>7.5999999999999998E-2</v>
      </c>
      <c r="Q87" s="9">
        <f t="shared" si="59"/>
        <v>42119730</v>
      </c>
      <c r="R87" s="80">
        <f t="shared" si="41"/>
        <v>0.77100000000000002</v>
      </c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</row>
    <row r="88" spans="2:46" s="36" customFormat="1" ht="18.899999999999999" customHeight="1" x14ac:dyDescent="0.3">
      <c r="B88" s="33">
        <v>11</v>
      </c>
      <c r="C88" s="34" t="s">
        <v>114</v>
      </c>
      <c r="D88" s="40" t="s">
        <v>37</v>
      </c>
      <c r="E88" s="43">
        <v>54630000</v>
      </c>
      <c r="F88" s="43">
        <v>54630000</v>
      </c>
      <c r="G88" s="74">
        <f t="shared" si="36"/>
        <v>1</v>
      </c>
      <c r="H88" s="43">
        <v>54630000</v>
      </c>
      <c r="I88" s="74">
        <f t="shared" si="37"/>
        <v>1</v>
      </c>
      <c r="J88" s="37"/>
      <c r="K88" s="39">
        <v>4425030</v>
      </c>
      <c r="L88" s="79">
        <f t="shared" si="38"/>
        <v>8.1000000000000003E-2</v>
      </c>
      <c r="M88" s="39">
        <v>3933359.9999999995</v>
      </c>
      <c r="N88" s="79">
        <f t="shared" si="39"/>
        <v>7.1999999999999995E-2</v>
      </c>
      <c r="O88" s="39">
        <v>4151880</v>
      </c>
      <c r="P88" s="79">
        <f t="shared" si="40"/>
        <v>7.5999999999999998E-2</v>
      </c>
      <c r="Q88" s="39">
        <v>42119730</v>
      </c>
      <c r="R88" s="79">
        <f t="shared" si="41"/>
        <v>0.77100000000000002</v>
      </c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</row>
    <row r="89" spans="2:46" s="2" customFormat="1" ht="18.899999999999999" customHeight="1" x14ac:dyDescent="0.3">
      <c r="B89" s="28">
        <v>11</v>
      </c>
      <c r="C89" s="5" t="s">
        <v>114</v>
      </c>
      <c r="D89" s="5" t="s">
        <v>40</v>
      </c>
      <c r="E89" s="9">
        <f>+E90+E91</f>
        <v>763173502</v>
      </c>
      <c r="F89" s="9">
        <f t="shared" ref="F89:H89" si="60">+F90+F91</f>
        <v>696711002</v>
      </c>
      <c r="G89" s="80">
        <f t="shared" si="36"/>
        <v>0.91291298790402708</v>
      </c>
      <c r="H89" s="9">
        <f t="shared" si="60"/>
        <v>696711002</v>
      </c>
      <c r="I89" s="80">
        <f t="shared" si="37"/>
        <v>0.91291298790402708</v>
      </c>
      <c r="J89" s="16"/>
      <c r="K89" s="9">
        <f>+K90+K91</f>
        <v>56433591.162</v>
      </c>
      <c r="L89" s="80">
        <f t="shared" si="38"/>
        <v>8.1000000000000003E-2</v>
      </c>
      <c r="M89" s="9">
        <f t="shared" ref="M89:Q89" si="61">+M90+M91</f>
        <v>50163192.143999994</v>
      </c>
      <c r="N89" s="80">
        <f t="shared" si="39"/>
        <v>7.1999999999999995E-2</v>
      </c>
      <c r="O89" s="9">
        <f t="shared" si="61"/>
        <v>52950036.151999995</v>
      </c>
      <c r="P89" s="80">
        <f t="shared" si="40"/>
        <v>7.5999999999999998E-2</v>
      </c>
      <c r="Q89" s="9">
        <f t="shared" si="61"/>
        <v>537164182.54200006</v>
      </c>
      <c r="R89" s="80">
        <f t="shared" si="41"/>
        <v>0.77100000000000013</v>
      </c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</row>
    <row r="90" spans="2:46" s="36" customFormat="1" ht="18.899999999999999" customHeight="1" x14ac:dyDescent="0.3">
      <c r="B90" s="33">
        <v>11</v>
      </c>
      <c r="C90" s="34" t="s">
        <v>114</v>
      </c>
      <c r="D90" s="40" t="s">
        <v>37</v>
      </c>
      <c r="E90" s="41">
        <v>661184836</v>
      </c>
      <c r="F90" s="41">
        <v>594722336</v>
      </c>
      <c r="G90" s="79">
        <f t="shared" si="36"/>
        <v>0.89947969708125608</v>
      </c>
      <c r="H90" s="41">
        <v>594722336</v>
      </c>
      <c r="I90" s="79">
        <f t="shared" si="37"/>
        <v>0.89947969708125608</v>
      </c>
      <c r="J90" s="37"/>
      <c r="K90" s="39">
        <v>48172509.215999998</v>
      </c>
      <c r="L90" s="79">
        <f t="shared" si="38"/>
        <v>8.1000000000000003E-2</v>
      </c>
      <c r="M90" s="39">
        <v>42820008.191999994</v>
      </c>
      <c r="N90" s="79">
        <f t="shared" si="39"/>
        <v>7.1999999999999995E-2</v>
      </c>
      <c r="O90" s="39">
        <v>45198897.535999998</v>
      </c>
      <c r="P90" s="79">
        <f t="shared" si="40"/>
        <v>7.5999999999999998E-2</v>
      </c>
      <c r="Q90" s="39">
        <v>458530921.05599999</v>
      </c>
      <c r="R90" s="79">
        <f t="shared" si="41"/>
        <v>0.77100000000000002</v>
      </c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</row>
    <row r="91" spans="2:46" s="36" customFormat="1" ht="18.899999999999999" customHeight="1" x14ac:dyDescent="0.3">
      <c r="B91" s="33">
        <v>11</v>
      </c>
      <c r="C91" s="34" t="s">
        <v>114</v>
      </c>
      <c r="D91" s="40" t="s">
        <v>95</v>
      </c>
      <c r="E91" s="41">
        <v>101988666</v>
      </c>
      <c r="F91" s="41">
        <v>101988666</v>
      </c>
      <c r="G91" s="79">
        <f t="shared" si="36"/>
        <v>1</v>
      </c>
      <c r="H91" s="41">
        <v>101988666</v>
      </c>
      <c r="I91" s="79">
        <f t="shared" si="37"/>
        <v>1</v>
      </c>
      <c r="J91" s="37"/>
      <c r="K91" s="39">
        <v>8261081.9460000005</v>
      </c>
      <c r="L91" s="79">
        <f t="shared" si="38"/>
        <v>8.1000000000000003E-2</v>
      </c>
      <c r="M91" s="39">
        <v>7343183.9519999996</v>
      </c>
      <c r="N91" s="79">
        <f t="shared" si="39"/>
        <v>7.1999999999999995E-2</v>
      </c>
      <c r="O91" s="39">
        <v>7751138.6159999995</v>
      </c>
      <c r="P91" s="79">
        <f t="shared" si="40"/>
        <v>7.5999999999999998E-2</v>
      </c>
      <c r="Q91" s="39">
        <v>78633261.486000001</v>
      </c>
      <c r="R91" s="79">
        <f t="shared" si="41"/>
        <v>0.77100000000000002</v>
      </c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</row>
    <row r="92" spans="2:46" s="2" customFormat="1" ht="33" customHeight="1" x14ac:dyDescent="0.3">
      <c r="B92" s="28">
        <v>1</v>
      </c>
      <c r="C92" s="5" t="s">
        <v>109</v>
      </c>
      <c r="D92" s="5" t="s">
        <v>41</v>
      </c>
      <c r="E92" s="9">
        <f>+E93+E94</f>
        <v>251518274</v>
      </c>
      <c r="F92" s="9">
        <f t="shared" ref="F92:H92" si="62">+F93+F94</f>
        <v>251518274</v>
      </c>
      <c r="G92" s="80">
        <f t="shared" si="36"/>
        <v>1</v>
      </c>
      <c r="H92" s="9">
        <f t="shared" si="62"/>
        <v>251518274</v>
      </c>
      <c r="I92" s="80">
        <f t="shared" si="37"/>
        <v>1</v>
      </c>
      <c r="J92" s="16"/>
      <c r="K92" s="9">
        <f>+K93+K94</f>
        <v>20372980.194000002</v>
      </c>
      <c r="L92" s="80">
        <f t="shared" si="38"/>
        <v>8.1000000000000003E-2</v>
      </c>
      <c r="M92" s="9">
        <f t="shared" ref="M92:Q92" si="63">+M93+M94</f>
        <v>18109315.727999996</v>
      </c>
      <c r="N92" s="80">
        <f t="shared" si="39"/>
        <v>7.1999999999999981E-2</v>
      </c>
      <c r="O92" s="9">
        <f t="shared" si="63"/>
        <v>19115388.824000001</v>
      </c>
      <c r="P92" s="80">
        <f t="shared" si="40"/>
        <v>7.5999999999999998E-2</v>
      </c>
      <c r="Q92" s="9">
        <f t="shared" si="63"/>
        <v>193920589.25400001</v>
      </c>
      <c r="R92" s="80">
        <f t="shared" si="41"/>
        <v>0.77100000000000002</v>
      </c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</row>
    <row r="93" spans="2:46" s="36" customFormat="1" ht="18.899999999999999" customHeight="1" x14ac:dyDescent="0.3">
      <c r="B93" s="33">
        <v>1</v>
      </c>
      <c r="C93" s="34" t="s">
        <v>109</v>
      </c>
      <c r="D93" s="40" t="s">
        <v>37</v>
      </c>
      <c r="E93" s="43">
        <v>227180940</v>
      </c>
      <c r="F93" s="43">
        <v>227180940</v>
      </c>
      <c r="G93" s="74">
        <f t="shared" si="36"/>
        <v>1</v>
      </c>
      <c r="H93" s="43">
        <v>227180940</v>
      </c>
      <c r="I93" s="74">
        <f t="shared" si="37"/>
        <v>1</v>
      </c>
      <c r="J93" s="37"/>
      <c r="K93" s="39">
        <v>18401656.140000001</v>
      </c>
      <c r="L93" s="79">
        <f t="shared" si="38"/>
        <v>8.1000000000000003E-2</v>
      </c>
      <c r="M93" s="39">
        <v>16357027.679999998</v>
      </c>
      <c r="N93" s="79">
        <f t="shared" si="39"/>
        <v>7.1999999999999995E-2</v>
      </c>
      <c r="O93" s="39">
        <v>17265751.440000001</v>
      </c>
      <c r="P93" s="79">
        <f t="shared" si="40"/>
        <v>7.6000000000000012E-2</v>
      </c>
      <c r="Q93" s="39">
        <v>175156504.74000001</v>
      </c>
      <c r="R93" s="79">
        <f t="shared" si="41"/>
        <v>0.77100000000000002</v>
      </c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</row>
    <row r="94" spans="2:46" s="36" customFormat="1" ht="18.899999999999999" customHeight="1" x14ac:dyDescent="0.3">
      <c r="B94" s="33">
        <v>1</v>
      </c>
      <c r="C94" s="34" t="s">
        <v>109</v>
      </c>
      <c r="D94" s="40" t="s">
        <v>95</v>
      </c>
      <c r="E94" s="43">
        <v>24337334</v>
      </c>
      <c r="F94" s="43">
        <v>24337334</v>
      </c>
      <c r="G94" s="74">
        <f t="shared" si="36"/>
        <v>1</v>
      </c>
      <c r="H94" s="43">
        <v>24337334</v>
      </c>
      <c r="I94" s="74">
        <f t="shared" si="37"/>
        <v>1</v>
      </c>
      <c r="J94" s="37"/>
      <c r="K94" s="39">
        <v>1971324.054</v>
      </c>
      <c r="L94" s="79">
        <f t="shared" si="38"/>
        <v>8.1000000000000003E-2</v>
      </c>
      <c r="M94" s="39">
        <v>1752288.048</v>
      </c>
      <c r="N94" s="79">
        <f t="shared" si="39"/>
        <v>7.1999999999999995E-2</v>
      </c>
      <c r="O94" s="39">
        <v>1849637.3839999998</v>
      </c>
      <c r="P94" s="79">
        <f t="shared" si="40"/>
        <v>7.5999999999999998E-2</v>
      </c>
      <c r="Q94" s="39">
        <v>18764084.514000002</v>
      </c>
      <c r="R94" s="79">
        <f t="shared" si="41"/>
        <v>0.77100000000000013</v>
      </c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</row>
    <row r="95" spans="2:46" s="2" customFormat="1" ht="18.899999999999999" customHeight="1" x14ac:dyDescent="0.3">
      <c r="B95" s="28">
        <v>1</v>
      </c>
      <c r="C95" s="5" t="s">
        <v>109</v>
      </c>
      <c r="D95" s="5" t="s">
        <v>42</v>
      </c>
      <c r="E95" s="9">
        <f>+E96+E97+E98+E99</f>
        <v>1080809479</v>
      </c>
      <c r="F95" s="9">
        <f t="shared" ref="F95:H95" si="64">+F96+F97+F98+F99</f>
        <v>1025952333</v>
      </c>
      <c r="G95" s="80">
        <f t="shared" si="36"/>
        <v>0.94924438852002335</v>
      </c>
      <c r="H95" s="9">
        <f t="shared" si="64"/>
        <v>1025952333</v>
      </c>
      <c r="I95" s="80">
        <f t="shared" si="37"/>
        <v>0.94924438852002335</v>
      </c>
      <c r="J95" s="16"/>
      <c r="K95" s="9">
        <f t="shared" ref="K95:Q95" si="65">+K96+K97+K98+K99</f>
        <v>83102138.97299999</v>
      </c>
      <c r="L95" s="80">
        <f t="shared" si="38"/>
        <v>8.0999999999999989E-2</v>
      </c>
      <c r="M95" s="9">
        <f t="shared" si="65"/>
        <v>73868567.975999996</v>
      </c>
      <c r="N95" s="80">
        <f t="shared" si="39"/>
        <v>7.1999999999999995E-2</v>
      </c>
      <c r="O95" s="9">
        <f t="shared" si="65"/>
        <v>77972377.307999998</v>
      </c>
      <c r="P95" s="80">
        <f t="shared" si="40"/>
        <v>7.5999999999999998E-2</v>
      </c>
      <c r="Q95" s="9">
        <f t="shared" si="65"/>
        <v>791009248.74299991</v>
      </c>
      <c r="R95" s="80">
        <f t="shared" si="41"/>
        <v>0.77099999999999991</v>
      </c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</row>
    <row r="96" spans="2:46" s="2" customFormat="1" ht="18.899999999999999" customHeight="1" x14ac:dyDescent="0.3">
      <c r="B96" s="20">
        <v>1</v>
      </c>
      <c r="C96" s="21" t="s">
        <v>109</v>
      </c>
      <c r="D96" s="6" t="s">
        <v>37</v>
      </c>
      <c r="E96" s="31">
        <v>769025813</v>
      </c>
      <c r="F96" s="31">
        <v>722899009</v>
      </c>
      <c r="G96" s="77">
        <f t="shared" si="36"/>
        <v>0.94001917332259954</v>
      </c>
      <c r="H96" s="31">
        <v>722899009</v>
      </c>
      <c r="I96" s="77">
        <f t="shared" si="37"/>
        <v>0.94001917332259954</v>
      </c>
      <c r="J96" s="16"/>
      <c r="K96" s="30">
        <v>58554819.729000002</v>
      </c>
      <c r="L96" s="77">
        <f t="shared" si="38"/>
        <v>8.1000000000000003E-2</v>
      </c>
      <c r="M96" s="30">
        <v>52048728.647999994</v>
      </c>
      <c r="N96" s="77">
        <f t="shared" si="39"/>
        <v>7.1999999999999995E-2</v>
      </c>
      <c r="O96" s="30">
        <v>54940324.684</v>
      </c>
      <c r="P96" s="77">
        <f t="shared" si="40"/>
        <v>7.5999999999999998E-2</v>
      </c>
      <c r="Q96" s="30">
        <v>557355135.93900001</v>
      </c>
      <c r="R96" s="77">
        <f t="shared" si="41"/>
        <v>0.77100000000000002</v>
      </c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</row>
    <row r="97" spans="2:46" s="36" customFormat="1" ht="18.899999999999999" customHeight="1" x14ac:dyDescent="0.3">
      <c r="B97" s="33">
        <v>1</v>
      </c>
      <c r="C97" s="34" t="s">
        <v>109</v>
      </c>
      <c r="D97" s="40" t="s">
        <v>95</v>
      </c>
      <c r="E97" s="43">
        <v>99258000</v>
      </c>
      <c r="F97" s="43">
        <v>92015658</v>
      </c>
      <c r="G97" s="74">
        <f t="shared" si="36"/>
        <v>0.92703518104334159</v>
      </c>
      <c r="H97" s="43">
        <v>92015658</v>
      </c>
      <c r="I97" s="74">
        <f t="shared" si="37"/>
        <v>0.92703518104334159</v>
      </c>
      <c r="J97" s="37"/>
      <c r="K97" s="39">
        <v>7453268.2980000004</v>
      </c>
      <c r="L97" s="79">
        <f t="shared" si="38"/>
        <v>8.1000000000000003E-2</v>
      </c>
      <c r="M97" s="39">
        <v>6625127.3759999992</v>
      </c>
      <c r="N97" s="79">
        <f t="shared" si="39"/>
        <v>7.1999999999999995E-2</v>
      </c>
      <c r="O97" s="39">
        <v>6993190.0079999994</v>
      </c>
      <c r="P97" s="79">
        <f t="shared" si="40"/>
        <v>7.5999999999999998E-2</v>
      </c>
      <c r="Q97" s="39">
        <v>70944072.318000004</v>
      </c>
      <c r="R97" s="79">
        <f t="shared" si="41"/>
        <v>0.77100000000000002</v>
      </c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</row>
    <row r="98" spans="2:46" s="36" customFormat="1" ht="33" customHeight="1" x14ac:dyDescent="0.3">
      <c r="B98" s="33">
        <v>1</v>
      </c>
      <c r="C98" s="34" t="s">
        <v>109</v>
      </c>
      <c r="D98" s="40" t="s">
        <v>97</v>
      </c>
      <c r="E98" s="43">
        <v>16660192</v>
      </c>
      <c r="F98" s="43">
        <v>16660192</v>
      </c>
      <c r="G98" s="74">
        <f t="shared" si="36"/>
        <v>1</v>
      </c>
      <c r="H98" s="43">
        <v>16660192</v>
      </c>
      <c r="I98" s="74">
        <f t="shared" si="37"/>
        <v>1</v>
      </c>
      <c r="J98" s="37"/>
      <c r="K98" s="39">
        <v>1349475.5520000001</v>
      </c>
      <c r="L98" s="79">
        <f t="shared" si="38"/>
        <v>8.1000000000000003E-2</v>
      </c>
      <c r="M98" s="39">
        <v>1199533.824</v>
      </c>
      <c r="N98" s="79">
        <f t="shared" si="39"/>
        <v>7.1999999999999995E-2</v>
      </c>
      <c r="O98" s="39">
        <v>1266174.5919999999</v>
      </c>
      <c r="P98" s="79">
        <f t="shared" si="40"/>
        <v>7.5999999999999998E-2</v>
      </c>
      <c r="Q98" s="39">
        <v>12845008.032</v>
      </c>
      <c r="R98" s="79">
        <f t="shared" si="41"/>
        <v>0.77100000000000002</v>
      </c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</row>
    <row r="99" spans="2:46" s="36" customFormat="1" ht="30" customHeight="1" x14ac:dyDescent="0.3">
      <c r="B99" s="33">
        <v>1</v>
      </c>
      <c r="C99" s="34" t="s">
        <v>109</v>
      </c>
      <c r="D99" s="40" t="s">
        <v>85</v>
      </c>
      <c r="E99" s="43">
        <v>195865474</v>
      </c>
      <c r="F99" s="43">
        <v>194377474</v>
      </c>
      <c r="G99" s="74">
        <f t="shared" si="36"/>
        <v>0.99240294897507053</v>
      </c>
      <c r="H99" s="43">
        <v>194377474</v>
      </c>
      <c r="I99" s="74">
        <f t="shared" si="37"/>
        <v>0.99240294897507053</v>
      </c>
      <c r="J99" s="37"/>
      <c r="K99" s="39">
        <v>15744575.394000001</v>
      </c>
      <c r="L99" s="79">
        <f t="shared" si="38"/>
        <v>8.1000000000000003E-2</v>
      </c>
      <c r="M99" s="39">
        <v>13995178.127999999</v>
      </c>
      <c r="N99" s="79">
        <f t="shared" si="39"/>
        <v>7.1999999999999995E-2</v>
      </c>
      <c r="O99" s="39">
        <v>14772688.024</v>
      </c>
      <c r="P99" s="79">
        <f t="shared" si="40"/>
        <v>7.5999999999999998E-2</v>
      </c>
      <c r="Q99" s="39">
        <v>149865032.454</v>
      </c>
      <c r="R99" s="79">
        <f t="shared" si="41"/>
        <v>0.77100000000000002</v>
      </c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</row>
    <row r="100" spans="2:46" s="2" customFormat="1" ht="45.75" customHeight="1" x14ac:dyDescent="0.3">
      <c r="B100" s="28">
        <v>1</v>
      </c>
      <c r="C100" s="8" t="s">
        <v>109</v>
      </c>
      <c r="D100" s="8" t="s">
        <v>43</v>
      </c>
      <c r="E100" s="9">
        <f>+E101+E102+E103+E104+E105+E106</f>
        <v>15980098546</v>
      </c>
      <c r="F100" s="9">
        <f t="shared" ref="F100:H100" si="66">+F101+F102+F103+F104+F105+F106</f>
        <v>15935958213</v>
      </c>
      <c r="G100" s="80">
        <f t="shared" si="36"/>
        <v>0.99723779344207808</v>
      </c>
      <c r="H100" s="9">
        <f t="shared" si="66"/>
        <v>15935958213</v>
      </c>
      <c r="I100" s="80">
        <f t="shared" si="37"/>
        <v>0.99723779344207808</v>
      </c>
      <c r="J100" s="16"/>
      <c r="K100" s="9">
        <f>+K101+K102+K103+K104+K105+K106</f>
        <v>1290812615.2529998</v>
      </c>
      <c r="L100" s="80">
        <f t="shared" si="38"/>
        <v>8.0999999999999989E-2</v>
      </c>
      <c r="M100" s="9">
        <f t="shared" ref="M100:Q100" si="67">+M101+M102+M103+M104+M105+M106</f>
        <v>1147388991.336</v>
      </c>
      <c r="N100" s="80">
        <f t="shared" si="39"/>
        <v>7.1999999999999995E-2</v>
      </c>
      <c r="O100" s="9">
        <f t="shared" si="67"/>
        <v>1211132824.188</v>
      </c>
      <c r="P100" s="80">
        <f t="shared" si="40"/>
        <v>7.5999999999999998E-2</v>
      </c>
      <c r="Q100" s="9">
        <f t="shared" si="67"/>
        <v>12286623782.223001</v>
      </c>
      <c r="R100" s="80">
        <f t="shared" si="41"/>
        <v>0.77100000000000013</v>
      </c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</row>
    <row r="101" spans="2:46" s="2" customFormat="1" ht="18.899999999999999" customHeight="1" x14ac:dyDescent="0.3">
      <c r="B101" s="20">
        <v>1</v>
      </c>
      <c r="C101" s="21" t="s">
        <v>109</v>
      </c>
      <c r="D101" s="6" t="s">
        <v>44</v>
      </c>
      <c r="E101" s="7">
        <v>1627922685</v>
      </c>
      <c r="F101" s="7">
        <v>1627922685</v>
      </c>
      <c r="G101" s="78">
        <f t="shared" si="36"/>
        <v>1</v>
      </c>
      <c r="H101" s="7">
        <v>1627922685</v>
      </c>
      <c r="I101" s="78">
        <f t="shared" si="37"/>
        <v>1</v>
      </c>
      <c r="J101" s="16"/>
      <c r="K101" s="30">
        <v>131861737.485</v>
      </c>
      <c r="L101" s="77">
        <f t="shared" si="38"/>
        <v>8.1000000000000003E-2</v>
      </c>
      <c r="M101" s="30">
        <v>117210433.31999999</v>
      </c>
      <c r="N101" s="77">
        <f t="shared" si="39"/>
        <v>7.1999999999999995E-2</v>
      </c>
      <c r="O101" s="30">
        <v>123722124.06</v>
      </c>
      <c r="P101" s="77">
        <f t="shared" si="40"/>
        <v>7.5999999999999998E-2</v>
      </c>
      <c r="Q101" s="30">
        <v>1255128390.135</v>
      </c>
      <c r="R101" s="77">
        <f t="shared" si="41"/>
        <v>0.77100000000000002</v>
      </c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</row>
    <row r="102" spans="2:46" s="36" customFormat="1" ht="33" customHeight="1" x14ac:dyDescent="0.3">
      <c r="B102" s="33">
        <v>1</v>
      </c>
      <c r="C102" s="34" t="s">
        <v>109</v>
      </c>
      <c r="D102" s="40" t="s">
        <v>98</v>
      </c>
      <c r="E102" s="43">
        <v>6432635476</v>
      </c>
      <c r="F102" s="43">
        <v>6388495143</v>
      </c>
      <c r="G102" s="74">
        <f t="shared" si="36"/>
        <v>0.99313806399186044</v>
      </c>
      <c r="H102" s="43">
        <v>6388495143</v>
      </c>
      <c r="I102" s="74">
        <f t="shared" si="37"/>
        <v>0.99313806399186044</v>
      </c>
      <c r="J102" s="37"/>
      <c r="K102" s="39">
        <v>517468106.583</v>
      </c>
      <c r="L102" s="79">
        <f t="shared" si="38"/>
        <v>8.1000000000000003E-2</v>
      </c>
      <c r="M102" s="39">
        <v>459971650.29599994</v>
      </c>
      <c r="N102" s="79">
        <f t="shared" si="39"/>
        <v>7.1999999999999995E-2</v>
      </c>
      <c r="O102" s="39">
        <v>485525630.86799997</v>
      </c>
      <c r="P102" s="79">
        <f t="shared" si="40"/>
        <v>7.5999999999999998E-2</v>
      </c>
      <c r="Q102" s="39">
        <v>4925529755.2530003</v>
      </c>
      <c r="R102" s="79">
        <f t="shared" si="41"/>
        <v>0.77100000000000002</v>
      </c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</row>
    <row r="103" spans="2:46" s="36" customFormat="1" ht="46.5" customHeight="1" x14ac:dyDescent="0.3">
      <c r="B103" s="33">
        <v>1</v>
      </c>
      <c r="C103" s="34" t="s">
        <v>109</v>
      </c>
      <c r="D103" s="40" t="s">
        <v>99</v>
      </c>
      <c r="E103" s="43">
        <v>6443391987</v>
      </c>
      <c r="F103" s="43">
        <v>6443391987</v>
      </c>
      <c r="G103" s="74">
        <f t="shared" si="36"/>
        <v>1</v>
      </c>
      <c r="H103" s="43">
        <v>6443391987</v>
      </c>
      <c r="I103" s="74">
        <f t="shared" si="37"/>
        <v>1</v>
      </c>
      <c r="J103" s="37"/>
      <c r="K103" s="39">
        <v>521914750.94700003</v>
      </c>
      <c r="L103" s="79">
        <f t="shared" si="38"/>
        <v>8.1000000000000003E-2</v>
      </c>
      <c r="M103" s="39">
        <v>463924223.06399995</v>
      </c>
      <c r="N103" s="79">
        <f t="shared" si="39"/>
        <v>7.1999999999999995E-2</v>
      </c>
      <c r="O103" s="39">
        <v>489697791.01199996</v>
      </c>
      <c r="P103" s="79">
        <f t="shared" si="40"/>
        <v>7.5999999999999998E-2</v>
      </c>
      <c r="Q103" s="39">
        <v>4967855221.9770002</v>
      </c>
      <c r="R103" s="79">
        <f t="shared" si="41"/>
        <v>0.77100000000000002</v>
      </c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</row>
    <row r="104" spans="2:46" s="36" customFormat="1" ht="18.899999999999999" customHeight="1" x14ac:dyDescent="0.3">
      <c r="B104" s="33">
        <v>1</v>
      </c>
      <c r="C104" s="34" t="s">
        <v>109</v>
      </c>
      <c r="D104" s="40" t="s">
        <v>100</v>
      </c>
      <c r="E104" s="43">
        <v>144394752</v>
      </c>
      <c r="F104" s="43">
        <v>144394752</v>
      </c>
      <c r="G104" s="74">
        <f t="shared" si="36"/>
        <v>1</v>
      </c>
      <c r="H104" s="43">
        <v>144394752</v>
      </c>
      <c r="I104" s="74">
        <f t="shared" si="37"/>
        <v>1</v>
      </c>
      <c r="J104" s="37"/>
      <c r="K104" s="39">
        <v>11695974.912</v>
      </c>
      <c r="L104" s="79">
        <f t="shared" si="38"/>
        <v>8.1000000000000003E-2</v>
      </c>
      <c r="M104" s="39">
        <v>10396422.143999999</v>
      </c>
      <c r="N104" s="79">
        <f t="shared" si="39"/>
        <v>7.1999999999999995E-2</v>
      </c>
      <c r="O104" s="39">
        <v>10974001.151999999</v>
      </c>
      <c r="P104" s="79">
        <f t="shared" si="40"/>
        <v>7.5999999999999998E-2</v>
      </c>
      <c r="Q104" s="39">
        <v>111328353.792</v>
      </c>
      <c r="R104" s="79">
        <f t="shared" si="41"/>
        <v>0.77100000000000002</v>
      </c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</row>
    <row r="105" spans="2:46" s="36" customFormat="1" ht="37.5" customHeight="1" x14ac:dyDescent="0.3">
      <c r="B105" s="33">
        <v>1</v>
      </c>
      <c r="C105" s="34" t="s">
        <v>109</v>
      </c>
      <c r="D105" s="40" t="s">
        <v>83</v>
      </c>
      <c r="E105" s="43">
        <v>1264700401</v>
      </c>
      <c r="F105" s="43">
        <v>1264700401</v>
      </c>
      <c r="G105" s="74">
        <f t="shared" si="36"/>
        <v>1</v>
      </c>
      <c r="H105" s="43">
        <v>1264700401</v>
      </c>
      <c r="I105" s="74">
        <f t="shared" si="37"/>
        <v>1</v>
      </c>
      <c r="J105" s="37"/>
      <c r="K105" s="39">
        <v>102440732.48100001</v>
      </c>
      <c r="L105" s="79">
        <f t="shared" si="38"/>
        <v>8.1000000000000003E-2</v>
      </c>
      <c r="M105" s="39">
        <v>91058428.871999994</v>
      </c>
      <c r="N105" s="79">
        <f t="shared" si="39"/>
        <v>7.1999999999999995E-2</v>
      </c>
      <c r="O105" s="39">
        <v>96117230.475999996</v>
      </c>
      <c r="P105" s="79">
        <f t="shared" si="40"/>
        <v>7.5999999999999998E-2</v>
      </c>
      <c r="Q105" s="39">
        <v>975084009.171</v>
      </c>
      <c r="R105" s="79">
        <f t="shared" si="41"/>
        <v>0.77100000000000002</v>
      </c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</row>
    <row r="106" spans="2:46" s="36" customFormat="1" ht="18.899999999999999" customHeight="1" x14ac:dyDescent="0.3">
      <c r="B106" s="33">
        <v>1</v>
      </c>
      <c r="C106" s="34" t="s">
        <v>109</v>
      </c>
      <c r="D106" s="40" t="s">
        <v>85</v>
      </c>
      <c r="E106" s="41">
        <v>67053245</v>
      </c>
      <c r="F106" s="41">
        <v>67053245</v>
      </c>
      <c r="G106" s="79">
        <f t="shared" si="36"/>
        <v>1</v>
      </c>
      <c r="H106" s="41">
        <v>67053245</v>
      </c>
      <c r="I106" s="79">
        <f t="shared" si="37"/>
        <v>1</v>
      </c>
      <c r="J106" s="37"/>
      <c r="K106" s="39">
        <v>5431312.8449999997</v>
      </c>
      <c r="L106" s="79">
        <f t="shared" si="38"/>
        <v>8.1000000000000003E-2</v>
      </c>
      <c r="M106" s="39">
        <v>4827833.6399999997</v>
      </c>
      <c r="N106" s="79">
        <f t="shared" si="39"/>
        <v>7.1999999999999995E-2</v>
      </c>
      <c r="O106" s="39">
        <v>5096046.62</v>
      </c>
      <c r="P106" s="79">
        <f t="shared" si="40"/>
        <v>7.5999999999999998E-2</v>
      </c>
      <c r="Q106" s="39">
        <v>51698051.895000003</v>
      </c>
      <c r="R106" s="79">
        <f t="shared" si="41"/>
        <v>0.77100000000000002</v>
      </c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</row>
    <row r="107" spans="2:46" s="2" customFormat="1" ht="18.899999999999999" customHeight="1" x14ac:dyDescent="0.3">
      <c r="B107" s="28">
        <v>1</v>
      </c>
      <c r="C107" s="5" t="s">
        <v>109</v>
      </c>
      <c r="D107" s="5" t="s">
        <v>45</v>
      </c>
      <c r="E107" s="9">
        <f>+E108</f>
        <v>215057551</v>
      </c>
      <c r="F107" s="9">
        <f t="shared" ref="F107:H107" si="68">+F108</f>
        <v>215057551</v>
      </c>
      <c r="G107" s="80">
        <f t="shared" si="36"/>
        <v>1</v>
      </c>
      <c r="H107" s="9">
        <f t="shared" si="68"/>
        <v>215057551</v>
      </c>
      <c r="I107" s="80">
        <f t="shared" si="37"/>
        <v>1</v>
      </c>
      <c r="J107" s="16"/>
      <c r="K107" s="9">
        <f>+K108</f>
        <v>17419661.631000001</v>
      </c>
      <c r="L107" s="80">
        <f t="shared" si="38"/>
        <v>8.1000000000000003E-2</v>
      </c>
      <c r="M107" s="9">
        <f t="shared" ref="M107:Q107" si="69">+M108</f>
        <v>15484143.671999998</v>
      </c>
      <c r="N107" s="80">
        <f t="shared" si="39"/>
        <v>7.1999999999999995E-2</v>
      </c>
      <c r="O107" s="9">
        <f t="shared" si="69"/>
        <v>16344373.876</v>
      </c>
      <c r="P107" s="80">
        <f t="shared" si="40"/>
        <v>7.5999999999999998E-2</v>
      </c>
      <c r="Q107" s="9">
        <f t="shared" si="69"/>
        <v>165809371.82100001</v>
      </c>
      <c r="R107" s="80">
        <f t="shared" si="41"/>
        <v>0.77100000000000002</v>
      </c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</row>
    <row r="108" spans="2:46" s="2" customFormat="1" ht="18.899999999999999" customHeight="1" x14ac:dyDescent="0.3">
      <c r="B108" s="20">
        <v>1</v>
      </c>
      <c r="C108" s="21" t="s">
        <v>109</v>
      </c>
      <c r="D108" s="6" t="s">
        <v>37</v>
      </c>
      <c r="E108" s="7">
        <v>215057551</v>
      </c>
      <c r="F108" s="7">
        <v>215057551</v>
      </c>
      <c r="G108" s="78">
        <f t="shared" si="36"/>
        <v>1</v>
      </c>
      <c r="H108" s="7">
        <v>215057551</v>
      </c>
      <c r="I108" s="78">
        <f t="shared" si="37"/>
        <v>1</v>
      </c>
      <c r="J108" s="16"/>
      <c r="K108" s="30">
        <v>17419661.631000001</v>
      </c>
      <c r="L108" s="77">
        <f t="shared" si="38"/>
        <v>8.1000000000000003E-2</v>
      </c>
      <c r="M108" s="30">
        <v>15484143.671999998</v>
      </c>
      <c r="N108" s="77">
        <f t="shared" si="39"/>
        <v>7.1999999999999995E-2</v>
      </c>
      <c r="O108" s="30">
        <v>16344373.876</v>
      </c>
      <c r="P108" s="77">
        <f t="shared" si="40"/>
        <v>7.5999999999999998E-2</v>
      </c>
      <c r="Q108" s="30">
        <v>165809371.82100001</v>
      </c>
      <c r="R108" s="77">
        <f t="shared" si="41"/>
        <v>0.77100000000000002</v>
      </c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</row>
    <row r="109" spans="2:46" s="2" customFormat="1" ht="30" customHeight="1" x14ac:dyDescent="0.3">
      <c r="B109" s="28">
        <v>1</v>
      </c>
      <c r="C109" s="5" t="s">
        <v>109</v>
      </c>
      <c r="D109" s="5" t="s">
        <v>46</v>
      </c>
      <c r="E109" s="9">
        <f>+E110</f>
        <v>14834167</v>
      </c>
      <c r="F109" s="9">
        <f t="shared" ref="F109:H109" si="70">+F110</f>
        <v>14834167</v>
      </c>
      <c r="G109" s="80">
        <f t="shared" si="36"/>
        <v>1</v>
      </c>
      <c r="H109" s="9">
        <f t="shared" si="70"/>
        <v>14834167</v>
      </c>
      <c r="I109" s="80">
        <f t="shared" si="37"/>
        <v>1</v>
      </c>
      <c r="J109" s="16"/>
      <c r="K109" s="9">
        <f>+K110</f>
        <v>1201567.527</v>
      </c>
      <c r="L109" s="80">
        <f t="shared" si="38"/>
        <v>8.1000000000000003E-2</v>
      </c>
      <c r="M109" s="9">
        <f t="shared" ref="M109:Q109" si="71">+M110</f>
        <v>1068060.024</v>
      </c>
      <c r="N109" s="80">
        <f t="shared" si="39"/>
        <v>7.1999999999999995E-2</v>
      </c>
      <c r="O109" s="9">
        <f t="shared" si="71"/>
        <v>1127396.692</v>
      </c>
      <c r="P109" s="80">
        <f t="shared" si="40"/>
        <v>7.5999999999999998E-2</v>
      </c>
      <c r="Q109" s="9">
        <f t="shared" si="71"/>
        <v>11437142.757000001</v>
      </c>
      <c r="R109" s="80">
        <f t="shared" si="41"/>
        <v>0.77100000000000013</v>
      </c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</row>
    <row r="110" spans="2:46" s="2" customFormat="1" ht="18.899999999999999" customHeight="1" x14ac:dyDescent="0.3">
      <c r="B110" s="20">
        <v>1</v>
      </c>
      <c r="C110" s="21" t="s">
        <v>109</v>
      </c>
      <c r="D110" s="6" t="s">
        <v>37</v>
      </c>
      <c r="E110" s="7">
        <v>14834167</v>
      </c>
      <c r="F110" s="7">
        <v>14834167</v>
      </c>
      <c r="G110" s="78">
        <f t="shared" si="36"/>
        <v>1</v>
      </c>
      <c r="H110" s="7">
        <v>14834167</v>
      </c>
      <c r="I110" s="78">
        <f t="shared" si="37"/>
        <v>1</v>
      </c>
      <c r="J110" s="16"/>
      <c r="K110" s="30">
        <v>1201567.527</v>
      </c>
      <c r="L110" s="77">
        <f t="shared" si="38"/>
        <v>8.1000000000000003E-2</v>
      </c>
      <c r="M110" s="30">
        <v>1068060.024</v>
      </c>
      <c r="N110" s="77">
        <f t="shared" si="39"/>
        <v>7.1999999999999995E-2</v>
      </c>
      <c r="O110" s="30">
        <v>1127396.692</v>
      </c>
      <c r="P110" s="77">
        <f t="shared" si="40"/>
        <v>7.5999999999999998E-2</v>
      </c>
      <c r="Q110" s="30">
        <v>11437142.757000001</v>
      </c>
      <c r="R110" s="77">
        <f t="shared" si="41"/>
        <v>0.77100000000000013</v>
      </c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</row>
    <row r="111" spans="2:46" s="2" customFormat="1" ht="18.899999999999999" customHeight="1" x14ac:dyDescent="0.3">
      <c r="B111" s="28">
        <v>1</v>
      </c>
      <c r="C111" s="5" t="s">
        <v>109</v>
      </c>
      <c r="D111" s="5" t="s">
        <v>47</v>
      </c>
      <c r="E111" s="9">
        <f>+E112</f>
        <v>87449933</v>
      </c>
      <c r="F111" s="9">
        <f t="shared" ref="F111:H111" si="72">+F112</f>
        <v>82510933</v>
      </c>
      <c r="G111" s="80">
        <f t="shared" si="36"/>
        <v>0.94352196930785526</v>
      </c>
      <c r="H111" s="9">
        <f t="shared" si="72"/>
        <v>82510933</v>
      </c>
      <c r="I111" s="80">
        <f t="shared" si="37"/>
        <v>0.94352196930785526</v>
      </c>
      <c r="J111" s="16"/>
      <c r="K111" s="9">
        <f>+K112</f>
        <v>6683385.5729999999</v>
      </c>
      <c r="L111" s="80">
        <f t="shared" si="38"/>
        <v>8.1000000000000003E-2</v>
      </c>
      <c r="M111" s="9">
        <f t="shared" ref="M111:Q111" si="73">+M112</f>
        <v>5940787.176</v>
      </c>
      <c r="N111" s="80">
        <f t="shared" si="39"/>
        <v>7.1999999999999995E-2</v>
      </c>
      <c r="O111" s="9">
        <f t="shared" si="73"/>
        <v>6270830.9079999998</v>
      </c>
      <c r="P111" s="80">
        <f t="shared" si="40"/>
        <v>7.5999999999999998E-2</v>
      </c>
      <c r="Q111" s="9">
        <f t="shared" si="73"/>
        <v>63615929.343000002</v>
      </c>
      <c r="R111" s="80">
        <f t="shared" si="41"/>
        <v>0.77100000000000002</v>
      </c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</row>
    <row r="112" spans="2:46" s="2" customFormat="1" ht="18.899999999999999" customHeight="1" x14ac:dyDescent="0.3">
      <c r="B112" s="20">
        <v>1</v>
      </c>
      <c r="C112" s="21" t="s">
        <v>109</v>
      </c>
      <c r="D112" s="6" t="s">
        <v>37</v>
      </c>
      <c r="E112" s="7">
        <v>87449933</v>
      </c>
      <c r="F112" s="7">
        <v>82510933</v>
      </c>
      <c r="G112" s="78">
        <f t="shared" si="36"/>
        <v>0.94352196930785526</v>
      </c>
      <c r="H112" s="7">
        <v>82510933</v>
      </c>
      <c r="I112" s="78">
        <f t="shared" si="37"/>
        <v>0.94352196930785526</v>
      </c>
      <c r="J112" s="16"/>
      <c r="K112" s="30">
        <v>6683385.5729999999</v>
      </c>
      <c r="L112" s="77">
        <f t="shared" si="38"/>
        <v>8.1000000000000003E-2</v>
      </c>
      <c r="M112" s="30">
        <v>5940787.176</v>
      </c>
      <c r="N112" s="77">
        <f t="shared" si="39"/>
        <v>7.1999999999999995E-2</v>
      </c>
      <c r="O112" s="30">
        <v>6270830.9079999998</v>
      </c>
      <c r="P112" s="77">
        <f t="shared" si="40"/>
        <v>7.5999999999999998E-2</v>
      </c>
      <c r="Q112" s="30">
        <v>63615929.343000002</v>
      </c>
      <c r="R112" s="77">
        <f t="shared" si="41"/>
        <v>0.77100000000000002</v>
      </c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</row>
    <row r="113" spans="2:46" s="2" customFormat="1" ht="18.899999999999999" customHeight="1" x14ac:dyDescent="0.3">
      <c r="B113" s="28">
        <v>1</v>
      </c>
      <c r="C113" s="5" t="s">
        <v>109</v>
      </c>
      <c r="D113" s="5" t="s">
        <v>48</v>
      </c>
      <c r="E113" s="9">
        <f>+E114</f>
        <v>28274333</v>
      </c>
      <c r="F113" s="9">
        <f t="shared" ref="F113:H113" si="74">+F114</f>
        <v>28274333</v>
      </c>
      <c r="G113" s="80">
        <f t="shared" si="36"/>
        <v>1</v>
      </c>
      <c r="H113" s="9">
        <f t="shared" si="74"/>
        <v>28274333</v>
      </c>
      <c r="I113" s="80">
        <f t="shared" si="37"/>
        <v>1</v>
      </c>
      <c r="J113" s="16"/>
      <c r="K113" s="9">
        <f>+K114</f>
        <v>2290220.9730000002</v>
      </c>
      <c r="L113" s="80">
        <f t="shared" si="38"/>
        <v>8.1000000000000003E-2</v>
      </c>
      <c r="M113" s="9">
        <f t="shared" ref="M113:Q113" si="75">+M114</f>
        <v>2035751.9759999998</v>
      </c>
      <c r="N113" s="80">
        <f t="shared" si="39"/>
        <v>7.1999999999999995E-2</v>
      </c>
      <c r="O113" s="9">
        <f t="shared" si="75"/>
        <v>2148849.3079999997</v>
      </c>
      <c r="P113" s="80">
        <f t="shared" si="40"/>
        <v>7.5999999999999984E-2</v>
      </c>
      <c r="Q113" s="9">
        <f t="shared" si="75"/>
        <v>21799510.743000001</v>
      </c>
      <c r="R113" s="80">
        <f t="shared" si="41"/>
        <v>0.77100000000000002</v>
      </c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</row>
    <row r="114" spans="2:46" s="2" customFormat="1" ht="18.899999999999999" customHeight="1" x14ac:dyDescent="0.3">
      <c r="B114" s="20">
        <v>1</v>
      </c>
      <c r="C114" s="21" t="s">
        <v>109</v>
      </c>
      <c r="D114" s="6" t="s">
        <v>37</v>
      </c>
      <c r="E114" s="7">
        <v>28274333</v>
      </c>
      <c r="F114" s="7">
        <v>28274333</v>
      </c>
      <c r="G114" s="78">
        <f t="shared" si="36"/>
        <v>1</v>
      </c>
      <c r="H114" s="7">
        <v>28274333</v>
      </c>
      <c r="I114" s="78">
        <f t="shared" si="37"/>
        <v>1</v>
      </c>
      <c r="J114" s="16"/>
      <c r="K114" s="30">
        <v>2290220.9730000002</v>
      </c>
      <c r="L114" s="77">
        <f t="shared" si="38"/>
        <v>8.1000000000000003E-2</v>
      </c>
      <c r="M114" s="30">
        <v>2035751.9759999998</v>
      </c>
      <c r="N114" s="77">
        <f t="shared" si="39"/>
        <v>7.1999999999999995E-2</v>
      </c>
      <c r="O114" s="30">
        <v>2148849.3079999997</v>
      </c>
      <c r="P114" s="77">
        <f t="shared" si="40"/>
        <v>7.5999999999999984E-2</v>
      </c>
      <c r="Q114" s="30">
        <v>21799510.743000001</v>
      </c>
      <c r="R114" s="77">
        <f t="shared" si="41"/>
        <v>0.77100000000000002</v>
      </c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</row>
    <row r="115" spans="2:46" s="2" customFormat="1" ht="34.5" customHeight="1" x14ac:dyDescent="0.3">
      <c r="B115" s="28">
        <v>1</v>
      </c>
      <c r="C115" s="5" t="s">
        <v>109</v>
      </c>
      <c r="D115" s="5" t="s">
        <v>49</v>
      </c>
      <c r="E115" s="9">
        <f>+E116</f>
        <v>28657667</v>
      </c>
      <c r="F115" s="9">
        <f t="shared" ref="F115:H115" si="76">+F116</f>
        <v>28657667</v>
      </c>
      <c r="G115" s="80">
        <f t="shared" si="36"/>
        <v>1</v>
      </c>
      <c r="H115" s="9">
        <f t="shared" si="76"/>
        <v>28657667</v>
      </c>
      <c r="I115" s="80">
        <f t="shared" si="37"/>
        <v>1</v>
      </c>
      <c r="J115" s="16"/>
      <c r="K115" s="9">
        <f>+K116</f>
        <v>2321271.0270000002</v>
      </c>
      <c r="L115" s="80">
        <f t="shared" si="38"/>
        <v>8.1000000000000003E-2</v>
      </c>
      <c r="M115" s="9">
        <f t="shared" ref="M115:Q115" si="77">+M116</f>
        <v>2063352.0239999997</v>
      </c>
      <c r="N115" s="80">
        <f t="shared" si="39"/>
        <v>7.1999999999999995E-2</v>
      </c>
      <c r="O115" s="9">
        <f t="shared" si="77"/>
        <v>2177982.6919999998</v>
      </c>
      <c r="P115" s="80">
        <f t="shared" si="40"/>
        <v>7.5999999999999998E-2</v>
      </c>
      <c r="Q115" s="9">
        <f t="shared" si="77"/>
        <v>22095061.256999999</v>
      </c>
      <c r="R115" s="80">
        <f t="shared" si="41"/>
        <v>0.77100000000000002</v>
      </c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</row>
    <row r="116" spans="2:46" s="2" customFormat="1" ht="18.899999999999999" customHeight="1" x14ac:dyDescent="0.3">
      <c r="B116" s="20">
        <v>1</v>
      </c>
      <c r="C116" s="21" t="s">
        <v>109</v>
      </c>
      <c r="D116" s="6" t="s">
        <v>37</v>
      </c>
      <c r="E116" s="7">
        <v>28657667</v>
      </c>
      <c r="F116" s="7">
        <v>28657667</v>
      </c>
      <c r="G116" s="78">
        <f t="shared" si="36"/>
        <v>1</v>
      </c>
      <c r="H116" s="7">
        <v>28657667</v>
      </c>
      <c r="I116" s="78">
        <f t="shared" si="37"/>
        <v>1</v>
      </c>
      <c r="J116" s="16"/>
      <c r="K116" s="30">
        <v>2321271.0270000002</v>
      </c>
      <c r="L116" s="77">
        <f t="shared" si="38"/>
        <v>8.1000000000000003E-2</v>
      </c>
      <c r="M116" s="30">
        <v>2063352.0239999997</v>
      </c>
      <c r="N116" s="77">
        <f t="shared" si="39"/>
        <v>7.1999999999999995E-2</v>
      </c>
      <c r="O116" s="30">
        <v>2177982.6919999998</v>
      </c>
      <c r="P116" s="77">
        <f t="shared" si="40"/>
        <v>7.5999999999999998E-2</v>
      </c>
      <c r="Q116" s="30">
        <v>22095061.256999999</v>
      </c>
      <c r="R116" s="77">
        <f t="shared" si="41"/>
        <v>0.77100000000000002</v>
      </c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</row>
    <row r="117" spans="2:46" s="2" customFormat="1" ht="32.25" customHeight="1" x14ac:dyDescent="0.3">
      <c r="B117" s="28">
        <v>1</v>
      </c>
      <c r="C117" s="5" t="s">
        <v>109</v>
      </c>
      <c r="D117" s="5" t="s">
        <v>50</v>
      </c>
      <c r="E117" s="9">
        <f>+E118+E119+E120</f>
        <v>661917346</v>
      </c>
      <c r="F117" s="9">
        <f t="shared" ref="F117:H117" si="78">+F118+F119+F120</f>
        <v>661917346</v>
      </c>
      <c r="G117" s="80">
        <f t="shared" si="36"/>
        <v>1</v>
      </c>
      <c r="H117" s="9">
        <f t="shared" si="78"/>
        <v>661917346</v>
      </c>
      <c r="I117" s="80">
        <f t="shared" si="37"/>
        <v>1</v>
      </c>
      <c r="J117" s="16"/>
      <c r="K117" s="9">
        <f>+K118+K119+K120</f>
        <v>53615305.026000001</v>
      </c>
      <c r="L117" s="80">
        <f t="shared" si="38"/>
        <v>8.1000000000000003E-2</v>
      </c>
      <c r="M117" s="9">
        <f t="shared" ref="M117:Q117" si="79">+M118+M119+M120</f>
        <v>47658048.912</v>
      </c>
      <c r="N117" s="80">
        <f t="shared" si="39"/>
        <v>7.1999999999999995E-2</v>
      </c>
      <c r="O117" s="9">
        <f t="shared" si="79"/>
        <v>50305718.296000004</v>
      </c>
      <c r="P117" s="80">
        <f t="shared" si="40"/>
        <v>7.6000000000000012E-2</v>
      </c>
      <c r="Q117" s="9">
        <f t="shared" si="79"/>
        <v>510338273.76600003</v>
      </c>
      <c r="R117" s="80">
        <f t="shared" si="41"/>
        <v>0.77100000000000002</v>
      </c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</row>
    <row r="118" spans="2:46" s="2" customFormat="1" ht="18.899999999999999" customHeight="1" x14ac:dyDescent="0.3">
      <c r="B118" s="20">
        <v>1</v>
      </c>
      <c r="C118" s="21" t="s">
        <v>109</v>
      </c>
      <c r="D118" s="6" t="s">
        <v>37</v>
      </c>
      <c r="E118" s="7">
        <v>52944166</v>
      </c>
      <c r="F118" s="7">
        <v>52944166</v>
      </c>
      <c r="G118" s="78">
        <f t="shared" si="36"/>
        <v>1</v>
      </c>
      <c r="H118" s="7">
        <v>52944166</v>
      </c>
      <c r="I118" s="78">
        <f t="shared" si="37"/>
        <v>1</v>
      </c>
      <c r="J118" s="16"/>
      <c r="K118" s="30">
        <v>4288477.4460000005</v>
      </c>
      <c r="L118" s="77">
        <f t="shared" si="38"/>
        <v>8.1000000000000003E-2</v>
      </c>
      <c r="M118" s="30">
        <v>3811979.9519999996</v>
      </c>
      <c r="N118" s="77">
        <f t="shared" si="39"/>
        <v>7.1999999999999995E-2</v>
      </c>
      <c r="O118" s="30">
        <v>4023756.6159999999</v>
      </c>
      <c r="P118" s="77">
        <f t="shared" si="40"/>
        <v>7.5999999999999998E-2</v>
      </c>
      <c r="Q118" s="30">
        <v>40819951.986000001</v>
      </c>
      <c r="R118" s="77">
        <f t="shared" si="41"/>
        <v>0.77100000000000002</v>
      </c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</row>
    <row r="119" spans="2:46" s="36" customFormat="1" ht="30" customHeight="1" x14ac:dyDescent="0.3">
      <c r="B119" s="33">
        <v>1</v>
      </c>
      <c r="C119" s="34" t="s">
        <v>109</v>
      </c>
      <c r="D119" s="40" t="s">
        <v>99</v>
      </c>
      <c r="E119" s="43">
        <v>125994500</v>
      </c>
      <c r="F119" s="43">
        <v>125994500</v>
      </c>
      <c r="G119" s="74">
        <f t="shared" ref="G119:G181" si="80">+F119/E119</f>
        <v>1</v>
      </c>
      <c r="H119" s="43">
        <v>125994500</v>
      </c>
      <c r="I119" s="74">
        <f t="shared" ref="I119:I181" si="81">+H119/E119</f>
        <v>1</v>
      </c>
      <c r="J119" s="37"/>
      <c r="K119" s="39">
        <v>10205554.5</v>
      </c>
      <c r="L119" s="79">
        <f t="shared" ref="L119:L181" si="82">+K119/F119</f>
        <v>8.1000000000000003E-2</v>
      </c>
      <c r="M119" s="39">
        <v>9071604</v>
      </c>
      <c r="N119" s="79">
        <f t="shared" ref="N119:N181" si="83">+M119/F119</f>
        <v>7.1999999999999995E-2</v>
      </c>
      <c r="O119" s="39">
        <v>9575582</v>
      </c>
      <c r="P119" s="79">
        <f t="shared" ref="P119:P181" si="84">+O119/F119</f>
        <v>7.5999999999999998E-2</v>
      </c>
      <c r="Q119" s="39">
        <v>97141759.5</v>
      </c>
      <c r="R119" s="79">
        <f t="shared" ref="R119:R181" si="85">+Q119/F119</f>
        <v>0.77100000000000002</v>
      </c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</row>
    <row r="120" spans="2:46" s="36" customFormat="1" ht="28.5" customHeight="1" x14ac:dyDescent="0.3">
      <c r="B120" s="33">
        <v>1</v>
      </c>
      <c r="C120" s="34" t="s">
        <v>109</v>
      </c>
      <c r="D120" s="40" t="s">
        <v>90</v>
      </c>
      <c r="E120" s="43">
        <v>482978680</v>
      </c>
      <c r="F120" s="43">
        <v>482978680</v>
      </c>
      <c r="G120" s="74">
        <f t="shared" si="80"/>
        <v>1</v>
      </c>
      <c r="H120" s="43">
        <v>482978680</v>
      </c>
      <c r="I120" s="74">
        <f t="shared" si="81"/>
        <v>1</v>
      </c>
      <c r="J120" s="37"/>
      <c r="K120" s="39">
        <v>39121273.079999998</v>
      </c>
      <c r="L120" s="79">
        <f t="shared" si="82"/>
        <v>8.1000000000000003E-2</v>
      </c>
      <c r="M120" s="39">
        <v>34774464.960000001</v>
      </c>
      <c r="N120" s="79">
        <f t="shared" si="83"/>
        <v>7.2000000000000008E-2</v>
      </c>
      <c r="O120" s="39">
        <v>36706379.68</v>
      </c>
      <c r="P120" s="79">
        <f t="shared" si="84"/>
        <v>7.5999999999999998E-2</v>
      </c>
      <c r="Q120" s="39">
        <v>372376562.28000003</v>
      </c>
      <c r="R120" s="79">
        <f t="shared" si="85"/>
        <v>0.77100000000000002</v>
      </c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</row>
    <row r="121" spans="2:46" s="2" customFormat="1" ht="33.75" customHeight="1" x14ac:dyDescent="0.3">
      <c r="B121" s="28">
        <v>8</v>
      </c>
      <c r="C121" s="5" t="s">
        <v>110</v>
      </c>
      <c r="D121" s="5" t="s">
        <v>51</v>
      </c>
      <c r="E121" s="9">
        <f>+E122+E123+E124</f>
        <v>287045998</v>
      </c>
      <c r="F121" s="9">
        <f t="shared" ref="F121:H121" si="86">+F122+F123+F124</f>
        <v>287045998</v>
      </c>
      <c r="G121" s="80">
        <f t="shared" si="80"/>
        <v>1</v>
      </c>
      <c r="H121" s="9">
        <f t="shared" si="86"/>
        <v>287045998</v>
      </c>
      <c r="I121" s="80">
        <f t="shared" si="81"/>
        <v>1</v>
      </c>
      <c r="J121" s="16"/>
      <c r="K121" s="9">
        <f>+K122+K123+K124</f>
        <v>16271622.30080324</v>
      </c>
      <c r="L121" s="80">
        <f t="shared" si="82"/>
        <v>5.6686462846290024E-2</v>
      </c>
      <c r="M121" s="9">
        <f t="shared" ref="M121:Q121" si="87">+M122+M123+M124</f>
        <v>28533123.458332002</v>
      </c>
      <c r="N121" s="80">
        <f t="shared" si="83"/>
        <v>9.9402617201205509E-2</v>
      </c>
      <c r="O121" s="9">
        <f t="shared" si="87"/>
        <v>85547038.931196243</v>
      </c>
      <c r="P121" s="80">
        <f t="shared" si="84"/>
        <v>0.29802554129737857</v>
      </c>
      <c r="Q121" s="9">
        <f t="shared" si="87"/>
        <v>156694213.30966851</v>
      </c>
      <c r="R121" s="80">
        <f t="shared" si="85"/>
        <v>0.54588537865512587</v>
      </c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</row>
    <row r="122" spans="2:46" s="2" customFormat="1" ht="28.5" customHeight="1" x14ac:dyDescent="0.3">
      <c r="B122" s="20">
        <v>8</v>
      </c>
      <c r="C122" s="21" t="s">
        <v>110</v>
      </c>
      <c r="D122" s="6" t="s">
        <v>7</v>
      </c>
      <c r="E122" s="7">
        <v>92000000</v>
      </c>
      <c r="F122" s="7">
        <v>92000000</v>
      </c>
      <c r="G122" s="78">
        <f t="shared" si="80"/>
        <v>1</v>
      </c>
      <c r="H122" s="7">
        <v>92000000</v>
      </c>
      <c r="I122" s="78">
        <f t="shared" si="81"/>
        <v>1</v>
      </c>
      <c r="J122" s="16"/>
      <c r="K122" s="30">
        <f>SUM(7*F122)/687</f>
        <v>937409.02474526933</v>
      </c>
      <c r="L122" s="77">
        <f t="shared" si="82"/>
        <v>1.0189228529839884E-2</v>
      </c>
      <c r="M122" s="30">
        <f>SUM(100*F122)/687</f>
        <v>13391557.496360989</v>
      </c>
      <c r="N122" s="77">
        <f t="shared" si="83"/>
        <v>0.14556040756914118</v>
      </c>
      <c r="O122" s="30">
        <f>SUM(500*F122)/687</f>
        <v>66957787.481804952</v>
      </c>
      <c r="P122" s="77">
        <f t="shared" si="84"/>
        <v>0.72780203784570596</v>
      </c>
      <c r="Q122" s="30">
        <f>SUM(80*F122)/687</f>
        <v>10713245.997088792</v>
      </c>
      <c r="R122" s="77">
        <f t="shared" si="85"/>
        <v>0.11644832605531295</v>
      </c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</row>
    <row r="123" spans="2:46" s="2" customFormat="1" ht="27.75" customHeight="1" x14ac:dyDescent="0.3">
      <c r="B123" s="20">
        <v>8</v>
      </c>
      <c r="C123" s="21" t="s">
        <v>110</v>
      </c>
      <c r="D123" s="6" t="s">
        <v>37</v>
      </c>
      <c r="E123" s="7">
        <v>188747832</v>
      </c>
      <c r="F123" s="7">
        <v>188747832</v>
      </c>
      <c r="G123" s="78">
        <f t="shared" si="80"/>
        <v>1</v>
      </c>
      <c r="H123" s="7">
        <v>188747832</v>
      </c>
      <c r="I123" s="78">
        <f t="shared" si="81"/>
        <v>1</v>
      </c>
      <c r="J123" s="16"/>
      <c r="K123" s="30">
        <v>15288574.392000001</v>
      </c>
      <c r="L123" s="77">
        <f t="shared" si="82"/>
        <v>8.1000000000000003E-2</v>
      </c>
      <c r="M123" s="30">
        <v>13589843.903999999</v>
      </c>
      <c r="N123" s="77">
        <f t="shared" si="83"/>
        <v>7.1999999999999995E-2</v>
      </c>
      <c r="O123" s="30">
        <v>14344835.231999999</v>
      </c>
      <c r="P123" s="77">
        <f t="shared" si="84"/>
        <v>7.5999999999999998E-2</v>
      </c>
      <c r="Q123" s="30">
        <v>145524578.472</v>
      </c>
      <c r="R123" s="77">
        <f t="shared" si="85"/>
        <v>0.77100000000000002</v>
      </c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</row>
    <row r="124" spans="2:46" s="36" customFormat="1" ht="33" customHeight="1" x14ac:dyDescent="0.3">
      <c r="B124" s="33">
        <v>8</v>
      </c>
      <c r="C124" s="34" t="s">
        <v>110</v>
      </c>
      <c r="D124" s="40" t="s">
        <v>85</v>
      </c>
      <c r="E124" s="43">
        <v>6298166</v>
      </c>
      <c r="F124" s="43">
        <v>6298166</v>
      </c>
      <c r="G124" s="74">
        <f t="shared" si="80"/>
        <v>1</v>
      </c>
      <c r="H124" s="43">
        <v>6298166</v>
      </c>
      <c r="I124" s="74">
        <f t="shared" si="81"/>
        <v>1</v>
      </c>
      <c r="J124" s="37"/>
      <c r="K124" s="39">
        <f>SUM(1*F124)/138</f>
        <v>45638.884057971016</v>
      </c>
      <c r="L124" s="79">
        <f t="shared" si="82"/>
        <v>7.246376811594203E-3</v>
      </c>
      <c r="M124" s="39">
        <f>SUM(34*F124)/138</f>
        <v>1551722.0579710144</v>
      </c>
      <c r="N124" s="79">
        <f t="shared" si="83"/>
        <v>0.24637681159420288</v>
      </c>
      <c r="O124" s="39">
        <f>SUM(93*F124)/138</f>
        <v>4244416.2173913047</v>
      </c>
      <c r="P124" s="79">
        <f t="shared" si="84"/>
        <v>0.67391304347826098</v>
      </c>
      <c r="Q124" s="39">
        <f>SUM(10*F124)/138</f>
        <v>456388.84057971014</v>
      </c>
      <c r="R124" s="79">
        <f t="shared" si="85"/>
        <v>7.2463768115942032E-2</v>
      </c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</row>
    <row r="125" spans="2:46" s="2" customFormat="1" ht="33.75" customHeight="1" x14ac:dyDescent="0.3">
      <c r="B125" s="28">
        <v>1</v>
      </c>
      <c r="C125" s="5" t="s">
        <v>109</v>
      </c>
      <c r="D125" s="5" t="s">
        <v>52</v>
      </c>
      <c r="E125" s="9">
        <f>+E126+E127+E128</f>
        <v>169389664</v>
      </c>
      <c r="F125" s="9">
        <f t="shared" ref="F125:H125" si="88">+F126+F127+F128</f>
        <v>169389664</v>
      </c>
      <c r="G125" s="80">
        <f t="shared" si="80"/>
        <v>1</v>
      </c>
      <c r="H125" s="9">
        <f t="shared" si="88"/>
        <v>169389664</v>
      </c>
      <c r="I125" s="80">
        <f t="shared" si="81"/>
        <v>1</v>
      </c>
      <c r="J125" s="16"/>
      <c r="K125" s="9">
        <f>+K126+K127+K128</f>
        <v>7132410.6083243247</v>
      </c>
      <c r="L125" s="80">
        <f t="shared" si="82"/>
        <v>4.2106527871289268E-2</v>
      </c>
      <c r="M125" s="9">
        <f t="shared" ref="M125:Q125" si="89">+M126+M127+M128</f>
        <v>41709233.528720722</v>
      </c>
      <c r="N125" s="80">
        <f t="shared" si="83"/>
        <v>0.2462324591937364</v>
      </c>
      <c r="O125" s="9">
        <f t="shared" si="89"/>
        <v>50150959.427963965</v>
      </c>
      <c r="P125" s="80">
        <f t="shared" si="84"/>
        <v>0.29606859263835583</v>
      </c>
      <c r="Q125" s="9">
        <f t="shared" si="89"/>
        <v>70397060.434990987</v>
      </c>
      <c r="R125" s="80">
        <f t="shared" si="85"/>
        <v>0.41559242029661847</v>
      </c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</row>
    <row r="126" spans="2:46" s="2" customFormat="1" ht="18.899999999999999" customHeight="1" x14ac:dyDescent="0.3">
      <c r="B126" s="20">
        <v>1</v>
      </c>
      <c r="C126" s="21" t="s">
        <v>109</v>
      </c>
      <c r="D126" s="6" t="s">
        <v>7</v>
      </c>
      <c r="E126" s="31">
        <v>90001500</v>
      </c>
      <c r="F126" s="31">
        <v>90001500</v>
      </c>
      <c r="G126" s="77">
        <f t="shared" si="80"/>
        <v>1</v>
      </c>
      <c r="H126" s="31">
        <v>90001500</v>
      </c>
      <c r="I126" s="77">
        <f t="shared" si="81"/>
        <v>1</v>
      </c>
      <c r="J126" s="16"/>
      <c r="K126" s="30">
        <f>SUM(30*F126)/3330</f>
        <v>810824.32432432438</v>
      </c>
      <c r="L126" s="77">
        <f t="shared" si="82"/>
        <v>9.0090090090090089E-3</v>
      </c>
      <c r="M126" s="30">
        <f>SUM(1300*F126)/3330</f>
        <v>35135720.720720723</v>
      </c>
      <c r="N126" s="77">
        <f t="shared" si="83"/>
        <v>0.39039039039039042</v>
      </c>
      <c r="O126" s="30">
        <f>SUM(1600*F126)/3330</f>
        <v>43243963.963963963</v>
      </c>
      <c r="P126" s="77">
        <f t="shared" si="84"/>
        <v>0.48048048048048048</v>
      </c>
      <c r="Q126" s="30">
        <f>SUM(400*F126)/3330</f>
        <v>10810990.990990991</v>
      </c>
      <c r="R126" s="77">
        <f t="shared" si="85"/>
        <v>0.12012012012012012</v>
      </c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</row>
    <row r="127" spans="2:46" s="2" customFormat="1" ht="18.899999999999999" customHeight="1" x14ac:dyDescent="0.3">
      <c r="B127" s="20">
        <v>1</v>
      </c>
      <c r="C127" s="21" t="s">
        <v>109</v>
      </c>
      <c r="D127" s="6" t="s">
        <v>37</v>
      </c>
      <c r="E127" s="7">
        <v>76733164</v>
      </c>
      <c r="F127" s="7">
        <v>76733164</v>
      </c>
      <c r="G127" s="78">
        <f t="shared" si="80"/>
        <v>1</v>
      </c>
      <c r="H127" s="7">
        <v>76733164</v>
      </c>
      <c r="I127" s="78">
        <f t="shared" si="81"/>
        <v>1</v>
      </c>
      <c r="J127" s="16"/>
      <c r="K127" s="30">
        <v>6215386.284</v>
      </c>
      <c r="L127" s="77">
        <f t="shared" si="82"/>
        <v>8.1000000000000003E-2</v>
      </c>
      <c r="M127" s="30">
        <v>5524787.8079999993</v>
      </c>
      <c r="N127" s="77">
        <f t="shared" si="83"/>
        <v>7.1999999999999995E-2</v>
      </c>
      <c r="O127" s="30">
        <v>5831720.4639999997</v>
      </c>
      <c r="P127" s="77">
        <f t="shared" si="84"/>
        <v>7.5999999999999998E-2</v>
      </c>
      <c r="Q127" s="30">
        <v>59161269.443999998</v>
      </c>
      <c r="R127" s="77">
        <f t="shared" si="85"/>
        <v>0.77100000000000002</v>
      </c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</row>
    <row r="128" spans="2:46" s="36" customFormat="1" ht="18.899999999999999" customHeight="1" x14ac:dyDescent="0.3">
      <c r="B128" s="33">
        <v>1</v>
      </c>
      <c r="C128" s="34" t="s">
        <v>109</v>
      </c>
      <c r="D128" s="40" t="s">
        <v>85</v>
      </c>
      <c r="E128" s="43">
        <v>2655000</v>
      </c>
      <c r="F128" s="43">
        <v>2655000</v>
      </c>
      <c r="G128" s="74">
        <f t="shared" si="80"/>
        <v>1</v>
      </c>
      <c r="H128" s="43">
        <v>2655000</v>
      </c>
      <c r="I128" s="74">
        <f t="shared" si="81"/>
        <v>1</v>
      </c>
      <c r="J128" s="37"/>
      <c r="K128" s="39">
        <f>SUM(8*F128)/200</f>
        <v>106200</v>
      </c>
      <c r="L128" s="79">
        <f t="shared" si="82"/>
        <v>0.04</v>
      </c>
      <c r="M128" s="39">
        <f>SUM(79*F128)/200</f>
        <v>1048725</v>
      </c>
      <c r="N128" s="79">
        <f t="shared" si="83"/>
        <v>0.39500000000000002</v>
      </c>
      <c r="O128" s="39">
        <f>SUM(81*F128)/200</f>
        <v>1075275</v>
      </c>
      <c r="P128" s="79">
        <f t="shared" si="84"/>
        <v>0.40500000000000003</v>
      </c>
      <c r="Q128" s="39">
        <f>SUM(32*F128)/200</f>
        <v>424800</v>
      </c>
      <c r="R128" s="79">
        <f t="shared" si="85"/>
        <v>0.16</v>
      </c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</row>
    <row r="129" spans="2:46" s="2" customFormat="1" ht="30.75" customHeight="1" x14ac:dyDescent="0.3">
      <c r="B129" s="28">
        <v>1</v>
      </c>
      <c r="C129" s="5" t="s">
        <v>109</v>
      </c>
      <c r="D129" s="5" t="s">
        <v>53</v>
      </c>
      <c r="E129" s="9">
        <f>+E130+E131</f>
        <v>159240000</v>
      </c>
      <c r="F129" s="9">
        <f t="shared" ref="F129:H129" si="90">+F130+F131</f>
        <v>159240000</v>
      </c>
      <c r="G129" s="80">
        <f t="shared" si="80"/>
        <v>1</v>
      </c>
      <c r="H129" s="9">
        <f t="shared" si="90"/>
        <v>159240000</v>
      </c>
      <c r="I129" s="80">
        <f t="shared" si="81"/>
        <v>1</v>
      </c>
      <c r="J129" s="16"/>
      <c r="K129" s="9">
        <f>+K130+K131</f>
        <v>12898440</v>
      </c>
      <c r="L129" s="80">
        <f t="shared" si="82"/>
        <v>8.1000000000000003E-2</v>
      </c>
      <c r="M129" s="9">
        <f t="shared" ref="M129:Q129" si="91">+M130+M131</f>
        <v>11465280</v>
      </c>
      <c r="N129" s="80">
        <f t="shared" si="83"/>
        <v>7.1999999999999995E-2</v>
      </c>
      <c r="O129" s="9">
        <f t="shared" si="91"/>
        <v>12102240</v>
      </c>
      <c r="P129" s="80">
        <f t="shared" si="84"/>
        <v>7.5999999999999998E-2</v>
      </c>
      <c r="Q129" s="9">
        <f t="shared" si="91"/>
        <v>122774040</v>
      </c>
      <c r="R129" s="80">
        <f t="shared" si="85"/>
        <v>0.77100000000000002</v>
      </c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</row>
    <row r="130" spans="2:46" s="2" customFormat="1" ht="18.899999999999999" customHeight="1" x14ac:dyDescent="0.3">
      <c r="B130" s="20">
        <v>1</v>
      </c>
      <c r="C130" s="21" t="s">
        <v>109</v>
      </c>
      <c r="D130" s="6" t="s">
        <v>37</v>
      </c>
      <c r="E130" s="7">
        <v>133746000</v>
      </c>
      <c r="F130" s="7">
        <v>133746000</v>
      </c>
      <c r="G130" s="78">
        <f t="shared" si="80"/>
        <v>1</v>
      </c>
      <c r="H130" s="7">
        <v>133746000</v>
      </c>
      <c r="I130" s="78">
        <f t="shared" si="81"/>
        <v>1</v>
      </c>
      <c r="J130" s="16"/>
      <c r="K130" s="30">
        <v>10833426</v>
      </c>
      <c r="L130" s="77">
        <f t="shared" si="82"/>
        <v>8.1000000000000003E-2</v>
      </c>
      <c r="M130" s="30">
        <v>9629712</v>
      </c>
      <c r="N130" s="77">
        <f t="shared" si="83"/>
        <v>7.1999999999999995E-2</v>
      </c>
      <c r="O130" s="30">
        <v>10164696</v>
      </c>
      <c r="P130" s="77">
        <f t="shared" si="84"/>
        <v>7.5999999999999998E-2</v>
      </c>
      <c r="Q130" s="30">
        <v>103118166</v>
      </c>
      <c r="R130" s="77">
        <f t="shared" si="85"/>
        <v>0.77100000000000002</v>
      </c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</row>
    <row r="131" spans="2:46" s="36" customFormat="1" ht="18.899999999999999" customHeight="1" x14ac:dyDescent="0.3">
      <c r="B131" s="33">
        <v>1</v>
      </c>
      <c r="C131" s="34" t="s">
        <v>109</v>
      </c>
      <c r="D131" s="40" t="s">
        <v>95</v>
      </c>
      <c r="E131" s="43">
        <v>25494000</v>
      </c>
      <c r="F131" s="43">
        <v>25494000</v>
      </c>
      <c r="G131" s="74">
        <f t="shared" si="80"/>
        <v>1</v>
      </c>
      <c r="H131" s="43">
        <v>25494000</v>
      </c>
      <c r="I131" s="74">
        <f t="shared" si="81"/>
        <v>1</v>
      </c>
      <c r="J131" s="37"/>
      <c r="K131" s="39">
        <v>2065014</v>
      </c>
      <c r="L131" s="79">
        <f t="shared" si="82"/>
        <v>8.1000000000000003E-2</v>
      </c>
      <c r="M131" s="39">
        <v>1835567.9999999998</v>
      </c>
      <c r="N131" s="79">
        <f t="shared" si="83"/>
        <v>7.1999999999999995E-2</v>
      </c>
      <c r="O131" s="39">
        <v>1937544</v>
      </c>
      <c r="P131" s="79">
        <f t="shared" si="84"/>
        <v>7.5999999999999998E-2</v>
      </c>
      <c r="Q131" s="39">
        <v>19655874</v>
      </c>
      <c r="R131" s="79">
        <f t="shared" si="85"/>
        <v>0.77100000000000002</v>
      </c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</row>
    <row r="132" spans="2:46" s="2" customFormat="1" ht="57.6" x14ac:dyDescent="0.3">
      <c r="B132" s="28">
        <v>7</v>
      </c>
      <c r="C132" s="5" t="s">
        <v>115</v>
      </c>
      <c r="D132" s="5" t="s">
        <v>54</v>
      </c>
      <c r="E132" s="9">
        <f>+E133+E134</f>
        <v>132878194</v>
      </c>
      <c r="F132" s="9">
        <f t="shared" ref="F132:H132" si="92">+F133+F134</f>
        <v>132878194</v>
      </c>
      <c r="G132" s="80">
        <f t="shared" si="80"/>
        <v>1</v>
      </c>
      <c r="H132" s="9">
        <f t="shared" si="92"/>
        <v>132878194</v>
      </c>
      <c r="I132" s="80">
        <f t="shared" si="81"/>
        <v>1</v>
      </c>
      <c r="J132" s="16"/>
      <c r="K132" s="9">
        <f>+K133+K134</f>
        <v>10763133.714</v>
      </c>
      <c r="L132" s="80">
        <f t="shared" si="82"/>
        <v>8.1000000000000003E-2</v>
      </c>
      <c r="M132" s="9">
        <f t="shared" ref="M132:Q132" si="93">+M133+M134</f>
        <v>9567229.9679999985</v>
      </c>
      <c r="N132" s="80">
        <f t="shared" si="83"/>
        <v>7.1999999999999995E-2</v>
      </c>
      <c r="O132" s="9">
        <f t="shared" si="93"/>
        <v>10098742.743999999</v>
      </c>
      <c r="P132" s="80">
        <f t="shared" si="84"/>
        <v>7.5999999999999998E-2</v>
      </c>
      <c r="Q132" s="9">
        <f t="shared" si="93"/>
        <v>102449087.574</v>
      </c>
      <c r="R132" s="80">
        <f t="shared" si="85"/>
        <v>0.77100000000000002</v>
      </c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</row>
    <row r="133" spans="2:46" s="36" customFormat="1" ht="57.6" x14ac:dyDescent="0.3">
      <c r="B133" s="44">
        <v>7</v>
      </c>
      <c r="C133" s="45" t="s">
        <v>115</v>
      </c>
      <c r="D133" s="40" t="s">
        <v>37</v>
      </c>
      <c r="E133" s="43">
        <v>123162694</v>
      </c>
      <c r="F133" s="43">
        <v>123162694</v>
      </c>
      <c r="G133" s="74">
        <f t="shared" si="80"/>
        <v>1</v>
      </c>
      <c r="H133" s="43">
        <v>123162694</v>
      </c>
      <c r="I133" s="74">
        <f t="shared" si="81"/>
        <v>1</v>
      </c>
      <c r="J133" s="37"/>
      <c r="K133" s="39">
        <v>9976178.2139999997</v>
      </c>
      <c r="L133" s="79">
        <f t="shared" si="82"/>
        <v>8.1000000000000003E-2</v>
      </c>
      <c r="M133" s="39">
        <v>8867713.9679999985</v>
      </c>
      <c r="N133" s="79">
        <f t="shared" si="83"/>
        <v>7.1999999999999995E-2</v>
      </c>
      <c r="O133" s="39">
        <v>9360364.743999999</v>
      </c>
      <c r="P133" s="79">
        <f t="shared" si="84"/>
        <v>7.5999999999999998E-2</v>
      </c>
      <c r="Q133" s="39">
        <v>94958437.074000001</v>
      </c>
      <c r="R133" s="79">
        <f t="shared" si="85"/>
        <v>0.77100000000000002</v>
      </c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</row>
    <row r="134" spans="2:46" s="36" customFormat="1" ht="57.6" x14ac:dyDescent="0.3">
      <c r="B134" s="44">
        <v>7</v>
      </c>
      <c r="C134" s="45" t="s">
        <v>115</v>
      </c>
      <c r="D134" s="40" t="s">
        <v>95</v>
      </c>
      <c r="E134" s="43">
        <v>9715500</v>
      </c>
      <c r="F134" s="43">
        <v>9715500</v>
      </c>
      <c r="G134" s="74">
        <f t="shared" si="80"/>
        <v>1</v>
      </c>
      <c r="H134" s="43">
        <v>9715500</v>
      </c>
      <c r="I134" s="74">
        <f t="shared" si="81"/>
        <v>1</v>
      </c>
      <c r="J134" s="37"/>
      <c r="K134" s="39">
        <v>786955.5</v>
      </c>
      <c r="L134" s="79">
        <f t="shared" si="82"/>
        <v>8.1000000000000003E-2</v>
      </c>
      <c r="M134" s="39">
        <v>699516</v>
      </c>
      <c r="N134" s="79">
        <f t="shared" si="83"/>
        <v>7.1999999999999995E-2</v>
      </c>
      <c r="O134" s="39">
        <v>738378</v>
      </c>
      <c r="P134" s="79">
        <f t="shared" si="84"/>
        <v>7.5999999999999998E-2</v>
      </c>
      <c r="Q134" s="39">
        <v>7490650.5</v>
      </c>
      <c r="R134" s="79">
        <f t="shared" si="85"/>
        <v>0.77100000000000002</v>
      </c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</row>
    <row r="135" spans="2:46" s="2" customFormat="1" ht="34.5" customHeight="1" x14ac:dyDescent="0.3">
      <c r="B135" s="28">
        <v>1</v>
      </c>
      <c r="C135" s="5" t="s">
        <v>109</v>
      </c>
      <c r="D135" s="5" t="s">
        <v>55</v>
      </c>
      <c r="E135" s="9">
        <f>+E136</f>
        <v>85284607</v>
      </c>
      <c r="F135" s="9">
        <f t="shared" ref="F135:H135" si="94">+F136</f>
        <v>85284607</v>
      </c>
      <c r="G135" s="80">
        <f t="shared" si="80"/>
        <v>1</v>
      </c>
      <c r="H135" s="9">
        <f t="shared" si="94"/>
        <v>85284607</v>
      </c>
      <c r="I135" s="80">
        <f t="shared" si="81"/>
        <v>1</v>
      </c>
      <c r="J135" s="16"/>
      <c r="K135" s="9">
        <f>+K136</f>
        <v>6908053.1670000004</v>
      </c>
      <c r="L135" s="80">
        <f t="shared" si="82"/>
        <v>8.1000000000000003E-2</v>
      </c>
      <c r="M135" s="9">
        <f t="shared" ref="M135:Q135" si="95">+M136</f>
        <v>6140491.7039999999</v>
      </c>
      <c r="N135" s="80">
        <f t="shared" si="83"/>
        <v>7.1999999999999995E-2</v>
      </c>
      <c r="O135" s="9">
        <f t="shared" si="95"/>
        <v>6481630.1320000002</v>
      </c>
      <c r="P135" s="80">
        <f t="shared" si="84"/>
        <v>7.5999999999999998E-2</v>
      </c>
      <c r="Q135" s="9">
        <f t="shared" si="95"/>
        <v>65754431.997000001</v>
      </c>
      <c r="R135" s="80">
        <f t="shared" si="85"/>
        <v>0.77100000000000002</v>
      </c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</row>
    <row r="136" spans="2:46" s="2" customFormat="1" ht="18.899999999999999" customHeight="1" x14ac:dyDescent="0.3">
      <c r="B136" s="20">
        <v>1</v>
      </c>
      <c r="C136" s="21" t="s">
        <v>109</v>
      </c>
      <c r="D136" s="6" t="s">
        <v>37</v>
      </c>
      <c r="E136" s="7">
        <v>85284607</v>
      </c>
      <c r="F136" s="7">
        <v>85284607</v>
      </c>
      <c r="G136" s="78">
        <f t="shared" si="80"/>
        <v>1</v>
      </c>
      <c r="H136" s="7">
        <v>85284607</v>
      </c>
      <c r="I136" s="78">
        <f t="shared" si="81"/>
        <v>1</v>
      </c>
      <c r="J136" s="16"/>
      <c r="K136" s="30">
        <v>6908053.1670000004</v>
      </c>
      <c r="L136" s="77">
        <f t="shared" si="82"/>
        <v>8.1000000000000003E-2</v>
      </c>
      <c r="M136" s="30">
        <v>6140491.7039999999</v>
      </c>
      <c r="N136" s="77">
        <f t="shared" si="83"/>
        <v>7.1999999999999995E-2</v>
      </c>
      <c r="O136" s="30">
        <v>6481630.1320000002</v>
      </c>
      <c r="P136" s="77">
        <f t="shared" si="84"/>
        <v>7.5999999999999998E-2</v>
      </c>
      <c r="Q136" s="30">
        <v>65754431.997000001</v>
      </c>
      <c r="R136" s="77">
        <f t="shared" si="85"/>
        <v>0.77100000000000002</v>
      </c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</row>
    <row r="137" spans="2:46" s="2" customFormat="1" ht="36.75" customHeight="1" x14ac:dyDescent="0.3">
      <c r="B137" s="28">
        <v>1</v>
      </c>
      <c r="C137" s="5" t="s">
        <v>109</v>
      </c>
      <c r="D137" s="5" t="s">
        <v>56</v>
      </c>
      <c r="E137" s="9">
        <f>+E138+E139+E140+E141</f>
        <v>1024296411</v>
      </c>
      <c r="F137" s="9">
        <f>+F138+F139+F140+F141</f>
        <v>1019141411</v>
      </c>
      <c r="G137" s="80">
        <f t="shared" si="80"/>
        <v>0.99496727710393196</v>
      </c>
      <c r="H137" s="9">
        <f>+H138+H139+H140+H141</f>
        <v>1019141411</v>
      </c>
      <c r="I137" s="80">
        <f t="shared" si="81"/>
        <v>0.99496727710393196</v>
      </c>
      <c r="J137" s="16"/>
      <c r="K137" s="9">
        <f>+K138+K139+K140+K141</f>
        <v>82550454.291000009</v>
      </c>
      <c r="L137" s="80">
        <f t="shared" si="82"/>
        <v>8.1000000000000003E-2</v>
      </c>
      <c r="M137" s="9">
        <f>+M138+M139+M140+M141</f>
        <v>73378181.591999993</v>
      </c>
      <c r="N137" s="80">
        <f t="shared" si="83"/>
        <v>7.1999999999999995E-2</v>
      </c>
      <c r="O137" s="9">
        <f>+O138+O139+O140+O141</f>
        <v>77454747.236000001</v>
      </c>
      <c r="P137" s="80">
        <f t="shared" si="84"/>
        <v>7.5999999999999998E-2</v>
      </c>
      <c r="Q137" s="9">
        <f>+Q138+Q139+Q140+Q141</f>
        <v>785758027.88100004</v>
      </c>
      <c r="R137" s="80">
        <f t="shared" si="85"/>
        <v>0.77100000000000002</v>
      </c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</row>
    <row r="138" spans="2:46" s="2" customFormat="1" ht="18.899999999999999" customHeight="1" x14ac:dyDescent="0.3">
      <c r="B138" s="20">
        <v>1</v>
      </c>
      <c r="C138" s="21" t="s">
        <v>109</v>
      </c>
      <c r="D138" s="6" t="s">
        <v>7</v>
      </c>
      <c r="E138" s="31">
        <v>546916710</v>
      </c>
      <c r="F138" s="31">
        <v>541761710</v>
      </c>
      <c r="G138" s="77">
        <f t="shared" si="80"/>
        <v>0.99057443317100335</v>
      </c>
      <c r="H138" s="31">
        <v>541761710</v>
      </c>
      <c r="I138" s="77">
        <f t="shared" si="81"/>
        <v>0.99057443317100335</v>
      </c>
      <c r="J138" s="16"/>
      <c r="K138" s="30">
        <v>43882698.509999998</v>
      </c>
      <c r="L138" s="77">
        <f t="shared" si="82"/>
        <v>8.1000000000000003E-2</v>
      </c>
      <c r="M138" s="30">
        <v>39006843.119999997</v>
      </c>
      <c r="N138" s="77">
        <f t="shared" si="83"/>
        <v>7.1999999999999995E-2</v>
      </c>
      <c r="O138" s="30">
        <v>41173889.960000001</v>
      </c>
      <c r="P138" s="77">
        <f t="shared" si="84"/>
        <v>7.5999999999999998E-2</v>
      </c>
      <c r="Q138" s="30">
        <v>417698278.41000003</v>
      </c>
      <c r="R138" s="77">
        <f t="shared" si="85"/>
        <v>0.77100000000000002</v>
      </c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</row>
    <row r="139" spans="2:46" s="2" customFormat="1" ht="18.899999999999999" customHeight="1" x14ac:dyDescent="0.3">
      <c r="B139" s="20">
        <v>1</v>
      </c>
      <c r="C139" s="21" t="s">
        <v>109</v>
      </c>
      <c r="D139" s="6" t="s">
        <v>37</v>
      </c>
      <c r="E139" s="31">
        <v>104195000</v>
      </c>
      <c r="F139" s="31">
        <v>104195000</v>
      </c>
      <c r="G139" s="77">
        <f t="shared" si="80"/>
        <v>1</v>
      </c>
      <c r="H139" s="31">
        <v>104195000</v>
      </c>
      <c r="I139" s="77">
        <f t="shared" si="81"/>
        <v>1</v>
      </c>
      <c r="J139" s="16"/>
      <c r="K139" s="30">
        <v>8439795</v>
      </c>
      <c r="L139" s="77">
        <f t="shared" si="82"/>
        <v>8.1000000000000003E-2</v>
      </c>
      <c r="M139" s="30">
        <v>7502039.9999999991</v>
      </c>
      <c r="N139" s="77">
        <f t="shared" si="83"/>
        <v>7.1999999999999995E-2</v>
      </c>
      <c r="O139" s="30">
        <v>7918820</v>
      </c>
      <c r="P139" s="77">
        <f t="shared" si="84"/>
        <v>7.5999999999999998E-2</v>
      </c>
      <c r="Q139" s="30">
        <v>80334345</v>
      </c>
      <c r="R139" s="77">
        <f t="shared" si="85"/>
        <v>0.77100000000000002</v>
      </c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</row>
    <row r="140" spans="2:46" s="36" customFormat="1" ht="41.25" customHeight="1" x14ac:dyDescent="0.3">
      <c r="B140" s="33">
        <v>1</v>
      </c>
      <c r="C140" s="34" t="s">
        <v>109</v>
      </c>
      <c r="D140" s="40" t="s">
        <v>99</v>
      </c>
      <c r="E140" s="41">
        <v>341932868</v>
      </c>
      <c r="F140" s="41">
        <v>341932868</v>
      </c>
      <c r="G140" s="79">
        <f t="shared" si="80"/>
        <v>1</v>
      </c>
      <c r="H140" s="41">
        <v>341932868</v>
      </c>
      <c r="I140" s="79">
        <f t="shared" si="81"/>
        <v>1</v>
      </c>
      <c r="J140" s="37"/>
      <c r="K140" s="39">
        <v>27696562.308000002</v>
      </c>
      <c r="L140" s="79">
        <f t="shared" si="82"/>
        <v>8.1000000000000003E-2</v>
      </c>
      <c r="M140" s="39">
        <v>24619166.495999999</v>
      </c>
      <c r="N140" s="79">
        <f t="shared" si="83"/>
        <v>7.1999999999999995E-2</v>
      </c>
      <c r="O140" s="39">
        <v>25986897.967999998</v>
      </c>
      <c r="P140" s="79">
        <f t="shared" si="84"/>
        <v>7.5999999999999998E-2</v>
      </c>
      <c r="Q140" s="39">
        <v>263630241.22800002</v>
      </c>
      <c r="R140" s="79">
        <f t="shared" si="85"/>
        <v>0.77100000000000002</v>
      </c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</row>
    <row r="141" spans="2:46" s="36" customFormat="1" ht="18.899999999999999" customHeight="1" x14ac:dyDescent="0.3">
      <c r="B141" s="33">
        <v>1</v>
      </c>
      <c r="C141" s="34" t="s">
        <v>109</v>
      </c>
      <c r="D141" s="40" t="s">
        <v>96</v>
      </c>
      <c r="E141" s="41">
        <v>31251833</v>
      </c>
      <c r="F141" s="41">
        <v>31251833</v>
      </c>
      <c r="G141" s="79">
        <f t="shared" si="80"/>
        <v>1</v>
      </c>
      <c r="H141" s="41">
        <v>31251833</v>
      </c>
      <c r="I141" s="79">
        <f t="shared" si="81"/>
        <v>1</v>
      </c>
      <c r="J141" s="37"/>
      <c r="K141" s="39">
        <v>2531398.4730000002</v>
      </c>
      <c r="L141" s="79">
        <f t="shared" si="82"/>
        <v>8.1000000000000003E-2</v>
      </c>
      <c r="M141" s="39">
        <v>2250131.9759999998</v>
      </c>
      <c r="N141" s="79">
        <f t="shared" si="83"/>
        <v>7.1999999999999995E-2</v>
      </c>
      <c r="O141" s="39">
        <v>2375139.3079999997</v>
      </c>
      <c r="P141" s="79">
        <f t="shared" si="84"/>
        <v>7.5999999999999998E-2</v>
      </c>
      <c r="Q141" s="39">
        <v>24095163.243000001</v>
      </c>
      <c r="R141" s="79">
        <f t="shared" si="85"/>
        <v>0.77100000000000002</v>
      </c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</row>
    <row r="142" spans="2:46" s="2" customFormat="1" ht="18.899999999999999" customHeight="1" x14ac:dyDescent="0.3">
      <c r="B142" s="28">
        <v>1</v>
      </c>
      <c r="C142" s="5" t="s">
        <v>109</v>
      </c>
      <c r="D142" s="5" t="s">
        <v>57</v>
      </c>
      <c r="E142" s="9">
        <f>+E143</f>
        <v>74870000</v>
      </c>
      <c r="F142" s="9">
        <f t="shared" ref="F142:H142" si="96">+F143</f>
        <v>74870000</v>
      </c>
      <c r="G142" s="80">
        <f t="shared" si="80"/>
        <v>1</v>
      </c>
      <c r="H142" s="9">
        <f t="shared" si="96"/>
        <v>74870000</v>
      </c>
      <c r="I142" s="80">
        <f t="shared" si="81"/>
        <v>1</v>
      </c>
      <c r="J142" s="16"/>
      <c r="K142" s="9">
        <f>+K143</f>
        <v>6064470</v>
      </c>
      <c r="L142" s="80">
        <f t="shared" si="82"/>
        <v>8.1000000000000003E-2</v>
      </c>
      <c r="M142" s="9">
        <f t="shared" ref="M142:Q142" si="97">+M143</f>
        <v>5390640</v>
      </c>
      <c r="N142" s="80">
        <f t="shared" si="83"/>
        <v>7.1999999999999995E-2</v>
      </c>
      <c r="O142" s="9">
        <f t="shared" si="97"/>
        <v>5690120</v>
      </c>
      <c r="P142" s="80">
        <f t="shared" si="84"/>
        <v>7.5999999999999998E-2</v>
      </c>
      <c r="Q142" s="9">
        <f t="shared" si="97"/>
        <v>57724770</v>
      </c>
      <c r="R142" s="80">
        <f t="shared" si="85"/>
        <v>0.77100000000000002</v>
      </c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</row>
    <row r="143" spans="2:46" s="2" customFormat="1" ht="18.899999999999999" customHeight="1" x14ac:dyDescent="0.3">
      <c r="B143" s="20">
        <v>1</v>
      </c>
      <c r="C143" s="21" t="s">
        <v>109</v>
      </c>
      <c r="D143" s="6" t="s">
        <v>37</v>
      </c>
      <c r="E143" s="7">
        <v>74870000</v>
      </c>
      <c r="F143" s="7">
        <v>74870000</v>
      </c>
      <c r="G143" s="78">
        <f t="shared" si="80"/>
        <v>1</v>
      </c>
      <c r="H143" s="7">
        <v>74870000</v>
      </c>
      <c r="I143" s="78">
        <f t="shared" si="81"/>
        <v>1</v>
      </c>
      <c r="J143" s="16"/>
      <c r="K143" s="30">
        <v>6064470</v>
      </c>
      <c r="L143" s="77">
        <f t="shared" si="82"/>
        <v>8.1000000000000003E-2</v>
      </c>
      <c r="M143" s="30">
        <v>5390640</v>
      </c>
      <c r="N143" s="77">
        <f t="shared" si="83"/>
        <v>7.1999999999999995E-2</v>
      </c>
      <c r="O143" s="30">
        <v>5690120</v>
      </c>
      <c r="P143" s="77">
        <f t="shared" si="84"/>
        <v>7.5999999999999998E-2</v>
      </c>
      <c r="Q143" s="30">
        <v>57724770</v>
      </c>
      <c r="R143" s="77">
        <f t="shared" si="85"/>
        <v>0.77100000000000002</v>
      </c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</row>
    <row r="144" spans="2:46" s="2" customFormat="1" ht="28.8" x14ac:dyDescent="0.3">
      <c r="B144" s="28">
        <v>2</v>
      </c>
      <c r="C144" s="5" t="s">
        <v>107</v>
      </c>
      <c r="D144" s="5" t="s">
        <v>58</v>
      </c>
      <c r="E144" s="9">
        <f>+E145</f>
        <v>66931999</v>
      </c>
      <c r="F144" s="9">
        <f t="shared" ref="F144:H144" si="98">+F145</f>
        <v>66931999</v>
      </c>
      <c r="G144" s="80">
        <f t="shared" si="80"/>
        <v>1</v>
      </c>
      <c r="H144" s="9">
        <f t="shared" si="98"/>
        <v>66931999</v>
      </c>
      <c r="I144" s="80">
        <f t="shared" si="81"/>
        <v>1</v>
      </c>
      <c r="J144" s="16"/>
      <c r="K144" s="9">
        <f>+K145</f>
        <v>5421491.9189999998</v>
      </c>
      <c r="L144" s="80">
        <f t="shared" si="82"/>
        <v>8.1000000000000003E-2</v>
      </c>
      <c r="M144" s="9">
        <f t="shared" ref="M144:Q144" si="99">+M145</f>
        <v>4819103.9279999994</v>
      </c>
      <c r="N144" s="80">
        <f t="shared" si="83"/>
        <v>7.1999999999999995E-2</v>
      </c>
      <c r="O144" s="9">
        <f t="shared" si="99"/>
        <v>5086831.9239999996</v>
      </c>
      <c r="P144" s="80">
        <f t="shared" si="84"/>
        <v>7.5999999999999998E-2</v>
      </c>
      <c r="Q144" s="9">
        <f t="shared" si="99"/>
        <v>51604571.229000002</v>
      </c>
      <c r="R144" s="80">
        <f t="shared" si="85"/>
        <v>0.77100000000000002</v>
      </c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</row>
    <row r="145" spans="2:46" s="2" customFormat="1" x14ac:dyDescent="0.3">
      <c r="B145" s="20">
        <v>2</v>
      </c>
      <c r="C145" s="21" t="s">
        <v>107</v>
      </c>
      <c r="D145" s="6" t="s">
        <v>37</v>
      </c>
      <c r="E145" s="7">
        <v>66931999</v>
      </c>
      <c r="F145" s="7">
        <v>66931999</v>
      </c>
      <c r="G145" s="78">
        <f t="shared" si="80"/>
        <v>1</v>
      </c>
      <c r="H145" s="7">
        <v>66931999</v>
      </c>
      <c r="I145" s="78">
        <f t="shared" si="81"/>
        <v>1</v>
      </c>
      <c r="J145" s="16"/>
      <c r="K145" s="30">
        <v>5421491.9189999998</v>
      </c>
      <c r="L145" s="77">
        <f t="shared" si="82"/>
        <v>8.1000000000000003E-2</v>
      </c>
      <c r="M145" s="30">
        <v>4819103.9279999994</v>
      </c>
      <c r="N145" s="77">
        <f t="shared" si="83"/>
        <v>7.1999999999999995E-2</v>
      </c>
      <c r="O145" s="30">
        <v>5086831.9239999996</v>
      </c>
      <c r="P145" s="77">
        <f t="shared" si="84"/>
        <v>7.5999999999999998E-2</v>
      </c>
      <c r="Q145" s="30">
        <v>51604571.229000002</v>
      </c>
      <c r="R145" s="77">
        <f t="shared" si="85"/>
        <v>0.77100000000000002</v>
      </c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</row>
    <row r="146" spans="2:46" s="2" customFormat="1" ht="18.899999999999999" customHeight="1" x14ac:dyDescent="0.3">
      <c r="B146" s="28">
        <v>1</v>
      </c>
      <c r="C146" s="5" t="s">
        <v>109</v>
      </c>
      <c r="D146" s="5" t="s">
        <v>59</v>
      </c>
      <c r="E146" s="9">
        <f>+E147</f>
        <v>95525221</v>
      </c>
      <c r="F146" s="9">
        <f t="shared" ref="F146:H146" si="100">+F147</f>
        <v>95525221</v>
      </c>
      <c r="G146" s="80">
        <f t="shared" si="80"/>
        <v>1</v>
      </c>
      <c r="H146" s="9">
        <f t="shared" si="100"/>
        <v>95525221</v>
      </c>
      <c r="I146" s="80">
        <f t="shared" si="81"/>
        <v>1</v>
      </c>
      <c r="J146" s="16"/>
      <c r="K146" s="9">
        <f>+K147</f>
        <v>7737542.9010000005</v>
      </c>
      <c r="L146" s="80">
        <f t="shared" si="82"/>
        <v>8.1000000000000003E-2</v>
      </c>
      <c r="M146" s="9">
        <f t="shared" ref="M146:Q146" si="101">+M147</f>
        <v>6877815.9119999995</v>
      </c>
      <c r="N146" s="80">
        <f t="shared" si="83"/>
        <v>7.1999999999999995E-2</v>
      </c>
      <c r="O146" s="9">
        <f t="shared" si="101"/>
        <v>7259916.7960000001</v>
      </c>
      <c r="P146" s="80">
        <f t="shared" si="84"/>
        <v>7.5999999999999998E-2</v>
      </c>
      <c r="Q146" s="9">
        <f t="shared" si="101"/>
        <v>73649945.391000003</v>
      </c>
      <c r="R146" s="80">
        <f t="shared" si="85"/>
        <v>0.77100000000000002</v>
      </c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</row>
    <row r="147" spans="2:46" s="2" customFormat="1" ht="18.899999999999999" customHeight="1" x14ac:dyDescent="0.3">
      <c r="B147" s="20">
        <v>1</v>
      </c>
      <c r="C147" s="21" t="s">
        <v>109</v>
      </c>
      <c r="D147" s="6" t="s">
        <v>37</v>
      </c>
      <c r="E147" s="7">
        <v>95525221</v>
      </c>
      <c r="F147" s="7">
        <v>95525221</v>
      </c>
      <c r="G147" s="78">
        <f t="shared" si="80"/>
        <v>1</v>
      </c>
      <c r="H147" s="7">
        <v>95525221</v>
      </c>
      <c r="I147" s="78">
        <f t="shared" si="81"/>
        <v>1</v>
      </c>
      <c r="J147" s="16"/>
      <c r="K147" s="30">
        <v>7737542.9010000005</v>
      </c>
      <c r="L147" s="77">
        <f t="shared" si="82"/>
        <v>8.1000000000000003E-2</v>
      </c>
      <c r="M147" s="30">
        <v>6877815.9119999995</v>
      </c>
      <c r="N147" s="77">
        <f t="shared" si="83"/>
        <v>7.1999999999999995E-2</v>
      </c>
      <c r="O147" s="30">
        <v>7259916.7960000001</v>
      </c>
      <c r="P147" s="77">
        <f t="shared" si="84"/>
        <v>7.5999999999999998E-2</v>
      </c>
      <c r="Q147" s="30">
        <v>73649945.391000003</v>
      </c>
      <c r="R147" s="77">
        <f t="shared" si="85"/>
        <v>0.77100000000000002</v>
      </c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</row>
    <row r="148" spans="2:46" s="2" customFormat="1" ht="30.75" customHeight="1" x14ac:dyDescent="0.3">
      <c r="B148" s="28">
        <v>1</v>
      </c>
      <c r="C148" s="5" t="s">
        <v>109</v>
      </c>
      <c r="D148" s="5" t="s">
        <v>60</v>
      </c>
      <c r="E148" s="9">
        <f>+E149</f>
        <v>44443666</v>
      </c>
      <c r="F148" s="9">
        <f>+F149</f>
        <v>44443666</v>
      </c>
      <c r="G148" s="80">
        <f t="shared" si="80"/>
        <v>1</v>
      </c>
      <c r="H148" s="9">
        <f>+H149</f>
        <v>44443666</v>
      </c>
      <c r="I148" s="80">
        <f t="shared" si="81"/>
        <v>1</v>
      </c>
      <c r="J148" s="16"/>
      <c r="K148" s="9">
        <f>+K149</f>
        <v>3599936.946</v>
      </c>
      <c r="L148" s="80">
        <f t="shared" si="82"/>
        <v>8.1000000000000003E-2</v>
      </c>
      <c r="M148" s="9">
        <f>+M149</f>
        <v>3199943.9519999996</v>
      </c>
      <c r="N148" s="80">
        <f t="shared" si="83"/>
        <v>7.1999999999999995E-2</v>
      </c>
      <c r="O148" s="9">
        <f>+O149</f>
        <v>3377718.6159999999</v>
      </c>
      <c r="P148" s="80">
        <f t="shared" si="84"/>
        <v>7.5999999999999998E-2</v>
      </c>
      <c r="Q148" s="9">
        <f>+Q149</f>
        <v>34266066.486000001</v>
      </c>
      <c r="R148" s="80">
        <f t="shared" si="85"/>
        <v>0.77100000000000002</v>
      </c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</row>
    <row r="149" spans="2:46" s="36" customFormat="1" ht="18.899999999999999" customHeight="1" x14ac:dyDescent="0.3">
      <c r="B149" s="33">
        <v>1</v>
      </c>
      <c r="C149" s="34" t="s">
        <v>109</v>
      </c>
      <c r="D149" s="40" t="s">
        <v>95</v>
      </c>
      <c r="E149" s="43">
        <v>44443666</v>
      </c>
      <c r="F149" s="43">
        <v>44443666</v>
      </c>
      <c r="G149" s="74">
        <f t="shared" si="80"/>
        <v>1</v>
      </c>
      <c r="H149" s="43">
        <v>44443666</v>
      </c>
      <c r="I149" s="74">
        <f t="shared" si="81"/>
        <v>1</v>
      </c>
      <c r="J149" s="37"/>
      <c r="K149" s="39">
        <v>3599936.946</v>
      </c>
      <c r="L149" s="79">
        <f t="shared" si="82"/>
        <v>8.1000000000000003E-2</v>
      </c>
      <c r="M149" s="39">
        <v>3199943.9519999996</v>
      </c>
      <c r="N149" s="79">
        <f t="shared" si="83"/>
        <v>7.1999999999999995E-2</v>
      </c>
      <c r="O149" s="39">
        <v>3377718.6159999999</v>
      </c>
      <c r="P149" s="79">
        <f t="shared" si="84"/>
        <v>7.5999999999999998E-2</v>
      </c>
      <c r="Q149" s="39">
        <v>34266066.486000001</v>
      </c>
      <c r="R149" s="79">
        <f t="shared" si="85"/>
        <v>0.77100000000000002</v>
      </c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38"/>
      <c r="AM149" s="38"/>
      <c r="AN149" s="38"/>
      <c r="AO149" s="38"/>
      <c r="AP149" s="38"/>
      <c r="AQ149" s="38"/>
      <c r="AR149" s="38"/>
      <c r="AS149" s="38"/>
      <c r="AT149" s="38"/>
    </row>
    <row r="150" spans="2:46" s="2" customFormat="1" ht="18.899999999999999" customHeight="1" x14ac:dyDescent="0.3">
      <c r="B150" s="28">
        <v>1</v>
      </c>
      <c r="C150" s="5" t="s">
        <v>109</v>
      </c>
      <c r="D150" s="5" t="s">
        <v>61</v>
      </c>
      <c r="E150" s="9">
        <f>+E151+E152</f>
        <v>155133263</v>
      </c>
      <c r="F150" s="9">
        <f t="shared" ref="F150:H150" si="102">+F151+F152</f>
        <v>148437589</v>
      </c>
      <c r="G150" s="80">
        <f t="shared" si="80"/>
        <v>0.95683921120127535</v>
      </c>
      <c r="H150" s="9">
        <f t="shared" si="102"/>
        <v>148437589</v>
      </c>
      <c r="I150" s="80">
        <f t="shared" si="81"/>
        <v>0.95683921120127535</v>
      </c>
      <c r="J150" s="16"/>
      <c r="K150" s="9">
        <f>+K151+K152</f>
        <v>12023444.709000001</v>
      </c>
      <c r="L150" s="80">
        <f t="shared" si="82"/>
        <v>8.1000000000000003E-2</v>
      </c>
      <c r="M150" s="9">
        <f t="shared" ref="M150:Q150" si="103">+M151+M152</f>
        <v>10687506.407999998</v>
      </c>
      <c r="N150" s="80">
        <f t="shared" si="83"/>
        <v>7.1999999999999981E-2</v>
      </c>
      <c r="O150" s="9">
        <f t="shared" si="103"/>
        <v>11281256.764</v>
      </c>
      <c r="P150" s="80">
        <f t="shared" si="84"/>
        <v>7.5999999999999998E-2</v>
      </c>
      <c r="Q150" s="9">
        <f t="shared" si="103"/>
        <v>114445381.119</v>
      </c>
      <c r="R150" s="80">
        <f t="shared" si="85"/>
        <v>0.77100000000000002</v>
      </c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</row>
    <row r="151" spans="2:46" s="2" customFormat="1" ht="18.899999999999999" customHeight="1" x14ac:dyDescent="0.3">
      <c r="B151" s="20">
        <v>1</v>
      </c>
      <c r="C151" s="21" t="s">
        <v>109</v>
      </c>
      <c r="D151" s="6" t="s">
        <v>37</v>
      </c>
      <c r="E151" s="31">
        <v>140325597</v>
      </c>
      <c r="F151" s="31">
        <v>133629923</v>
      </c>
      <c r="G151" s="77">
        <f t="shared" si="80"/>
        <v>0.95228472820963661</v>
      </c>
      <c r="H151" s="31">
        <v>133629923</v>
      </c>
      <c r="I151" s="77">
        <f t="shared" si="81"/>
        <v>0.95228472820963661</v>
      </c>
      <c r="J151" s="16"/>
      <c r="K151" s="30">
        <v>10824023.763</v>
      </c>
      <c r="L151" s="77">
        <f t="shared" si="82"/>
        <v>8.1000000000000003E-2</v>
      </c>
      <c r="M151" s="30">
        <v>9621354.4559999984</v>
      </c>
      <c r="N151" s="77">
        <f t="shared" si="83"/>
        <v>7.1999999999999995E-2</v>
      </c>
      <c r="O151" s="30">
        <v>10155874.148</v>
      </c>
      <c r="P151" s="77">
        <f t="shared" si="84"/>
        <v>7.5999999999999998E-2</v>
      </c>
      <c r="Q151" s="30">
        <v>103028670.633</v>
      </c>
      <c r="R151" s="77">
        <f t="shared" si="85"/>
        <v>0.77100000000000002</v>
      </c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</row>
    <row r="152" spans="2:46" s="36" customFormat="1" ht="18.899999999999999" customHeight="1" x14ac:dyDescent="0.3">
      <c r="B152" s="33">
        <v>1</v>
      </c>
      <c r="C152" s="34" t="s">
        <v>109</v>
      </c>
      <c r="D152" s="40" t="s">
        <v>95</v>
      </c>
      <c r="E152" s="43">
        <v>14807666</v>
      </c>
      <c r="F152" s="43">
        <v>14807666</v>
      </c>
      <c r="G152" s="74">
        <f t="shared" si="80"/>
        <v>1</v>
      </c>
      <c r="H152" s="43">
        <v>14807666</v>
      </c>
      <c r="I152" s="74">
        <f t="shared" si="81"/>
        <v>1</v>
      </c>
      <c r="J152" s="37"/>
      <c r="K152" s="39">
        <v>1199420.946</v>
      </c>
      <c r="L152" s="79">
        <f t="shared" si="82"/>
        <v>8.1000000000000003E-2</v>
      </c>
      <c r="M152" s="39">
        <v>1066151.9519999998</v>
      </c>
      <c r="N152" s="79">
        <f t="shared" si="83"/>
        <v>7.1999999999999981E-2</v>
      </c>
      <c r="O152" s="39">
        <v>1125382.6159999999</v>
      </c>
      <c r="P152" s="79">
        <f t="shared" si="84"/>
        <v>7.5999999999999998E-2</v>
      </c>
      <c r="Q152" s="39">
        <v>11416710.486</v>
      </c>
      <c r="R152" s="79">
        <f t="shared" si="85"/>
        <v>0.77100000000000002</v>
      </c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  <c r="AO152" s="38"/>
      <c r="AP152" s="38"/>
      <c r="AQ152" s="38"/>
      <c r="AR152" s="38"/>
      <c r="AS152" s="38"/>
      <c r="AT152" s="38"/>
    </row>
    <row r="153" spans="2:46" s="2" customFormat="1" ht="34.5" customHeight="1" x14ac:dyDescent="0.3">
      <c r="B153" s="28">
        <v>1</v>
      </c>
      <c r="C153" s="5" t="s">
        <v>109</v>
      </c>
      <c r="D153" s="5" t="s">
        <v>62</v>
      </c>
      <c r="E153" s="9">
        <f>+E154+E155</f>
        <v>1914255704</v>
      </c>
      <c r="F153" s="9">
        <f t="shared" ref="F153:H153" si="104">+F154+F155</f>
        <v>1711370704</v>
      </c>
      <c r="G153" s="80">
        <f t="shared" si="80"/>
        <v>0.89401363695766733</v>
      </c>
      <c r="H153" s="9">
        <f t="shared" si="104"/>
        <v>1711370704</v>
      </c>
      <c r="I153" s="80">
        <f t="shared" si="81"/>
        <v>0.89401363695766733</v>
      </c>
      <c r="J153" s="16"/>
      <c r="K153" s="9">
        <f>+K154+K155</f>
        <v>138621027.02400002</v>
      </c>
      <c r="L153" s="80">
        <f t="shared" si="82"/>
        <v>8.1000000000000016E-2</v>
      </c>
      <c r="M153" s="9">
        <f t="shared" ref="M153:Q153" si="105">+M154+M155</f>
        <v>123218690.68799999</v>
      </c>
      <c r="N153" s="80">
        <f t="shared" si="83"/>
        <v>7.1999999999999995E-2</v>
      </c>
      <c r="O153" s="9">
        <f t="shared" si="105"/>
        <v>130064173.50399999</v>
      </c>
      <c r="P153" s="80">
        <f t="shared" si="84"/>
        <v>7.5999999999999998E-2</v>
      </c>
      <c r="Q153" s="9">
        <f t="shared" si="105"/>
        <v>1319466812.7839999</v>
      </c>
      <c r="R153" s="80">
        <f t="shared" si="85"/>
        <v>0.77099999999999991</v>
      </c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</row>
    <row r="154" spans="2:46" s="2" customFormat="1" ht="23.25" customHeight="1" x14ac:dyDescent="0.3">
      <c r="B154" s="20">
        <v>1</v>
      </c>
      <c r="C154" s="21" t="s">
        <v>109</v>
      </c>
      <c r="D154" s="6" t="s">
        <v>37</v>
      </c>
      <c r="E154" s="31">
        <v>798190541</v>
      </c>
      <c r="F154" s="31">
        <v>798190541</v>
      </c>
      <c r="G154" s="77">
        <f t="shared" si="80"/>
        <v>1</v>
      </c>
      <c r="H154" s="31">
        <v>798190541</v>
      </c>
      <c r="I154" s="77">
        <f t="shared" si="81"/>
        <v>1</v>
      </c>
      <c r="J154" s="16"/>
      <c r="K154" s="30">
        <v>64653433.821000002</v>
      </c>
      <c r="L154" s="77">
        <f t="shared" si="82"/>
        <v>8.1000000000000003E-2</v>
      </c>
      <c r="M154" s="30">
        <v>57469718.951999992</v>
      </c>
      <c r="N154" s="77">
        <f t="shared" si="83"/>
        <v>7.1999999999999995E-2</v>
      </c>
      <c r="O154" s="30">
        <v>60662481.115999997</v>
      </c>
      <c r="P154" s="77">
        <f t="shared" si="84"/>
        <v>7.5999999999999998E-2</v>
      </c>
      <c r="Q154" s="30">
        <v>615404907.11100006</v>
      </c>
      <c r="R154" s="77">
        <f t="shared" si="85"/>
        <v>0.77100000000000013</v>
      </c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</row>
    <row r="155" spans="2:46" s="36" customFormat="1" ht="43.5" customHeight="1" x14ac:dyDescent="0.3">
      <c r="B155" s="33">
        <v>1</v>
      </c>
      <c r="C155" s="34" t="s">
        <v>109</v>
      </c>
      <c r="D155" s="40" t="s">
        <v>97</v>
      </c>
      <c r="E155" s="43">
        <v>1116065163</v>
      </c>
      <c r="F155" s="43">
        <v>913180163</v>
      </c>
      <c r="G155" s="74">
        <f t="shared" si="80"/>
        <v>0.81821401946223093</v>
      </c>
      <c r="H155" s="43">
        <v>913180163</v>
      </c>
      <c r="I155" s="74">
        <f t="shared" si="81"/>
        <v>0.81821401946223093</v>
      </c>
      <c r="J155" s="37"/>
      <c r="K155" s="39">
        <v>73967593.203000009</v>
      </c>
      <c r="L155" s="79">
        <f t="shared" si="82"/>
        <v>8.1000000000000016E-2</v>
      </c>
      <c r="M155" s="39">
        <v>65748971.735999994</v>
      </c>
      <c r="N155" s="79">
        <f t="shared" si="83"/>
        <v>7.1999999999999995E-2</v>
      </c>
      <c r="O155" s="39">
        <v>69401692.387999997</v>
      </c>
      <c r="P155" s="79">
        <f t="shared" si="84"/>
        <v>7.5999999999999998E-2</v>
      </c>
      <c r="Q155" s="39">
        <v>704061905.67299998</v>
      </c>
      <c r="R155" s="79">
        <f t="shared" si="85"/>
        <v>0.77100000000000002</v>
      </c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</row>
    <row r="156" spans="2:46" s="2" customFormat="1" ht="36" customHeight="1" x14ac:dyDescent="0.3">
      <c r="B156" s="28">
        <v>1</v>
      </c>
      <c r="C156" s="5" t="s">
        <v>109</v>
      </c>
      <c r="D156" s="5" t="s">
        <v>63</v>
      </c>
      <c r="E156" s="9">
        <f>+E157+E158+E159+E160</f>
        <v>587263168</v>
      </c>
      <c r="F156" s="9">
        <f t="shared" ref="F156:H156" si="106">+F157+F158+F159+F160</f>
        <v>554348447</v>
      </c>
      <c r="G156" s="80">
        <f t="shared" si="80"/>
        <v>0.94395234914511106</v>
      </c>
      <c r="H156" s="9">
        <f t="shared" si="106"/>
        <v>554348447</v>
      </c>
      <c r="I156" s="80">
        <f t="shared" si="81"/>
        <v>0.94395234914511106</v>
      </c>
      <c r="J156" s="16"/>
      <c r="K156" s="9">
        <f>+K157+K158+K159+K160</f>
        <v>44902224.207000002</v>
      </c>
      <c r="L156" s="80">
        <f t="shared" si="82"/>
        <v>8.1000000000000003E-2</v>
      </c>
      <c r="M156" s="9">
        <f t="shared" ref="M156:Q156" si="107">+M157+M158+M159+M160</f>
        <v>39913088.184</v>
      </c>
      <c r="N156" s="80">
        <f t="shared" si="83"/>
        <v>7.1999999999999995E-2</v>
      </c>
      <c r="O156" s="9">
        <f t="shared" si="107"/>
        <v>42130481.971999995</v>
      </c>
      <c r="P156" s="80">
        <f t="shared" si="84"/>
        <v>7.5999999999999998E-2</v>
      </c>
      <c r="Q156" s="9">
        <f t="shared" si="107"/>
        <v>427402652.63700002</v>
      </c>
      <c r="R156" s="80">
        <f t="shared" si="85"/>
        <v>0.77100000000000002</v>
      </c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</row>
    <row r="157" spans="2:46" s="2" customFormat="1" ht="33.75" customHeight="1" x14ac:dyDescent="0.3">
      <c r="B157" s="20">
        <v>1</v>
      </c>
      <c r="C157" s="21" t="s">
        <v>109</v>
      </c>
      <c r="D157" s="6" t="s">
        <v>37</v>
      </c>
      <c r="E157" s="7">
        <v>40420000</v>
      </c>
      <c r="F157" s="7">
        <v>37120000</v>
      </c>
      <c r="G157" s="78">
        <f t="shared" si="80"/>
        <v>0.91835724888668979</v>
      </c>
      <c r="H157" s="7">
        <v>37120000</v>
      </c>
      <c r="I157" s="78">
        <f t="shared" si="81"/>
        <v>0.91835724888668979</v>
      </c>
      <c r="J157" s="16"/>
      <c r="K157" s="30">
        <v>3006720</v>
      </c>
      <c r="L157" s="77">
        <f t="shared" si="82"/>
        <v>8.1000000000000003E-2</v>
      </c>
      <c r="M157" s="30">
        <v>2672640</v>
      </c>
      <c r="N157" s="77">
        <f t="shared" si="83"/>
        <v>7.1999999999999995E-2</v>
      </c>
      <c r="O157" s="30">
        <v>2821120</v>
      </c>
      <c r="P157" s="77">
        <f t="shared" si="84"/>
        <v>7.5999999999999998E-2</v>
      </c>
      <c r="Q157" s="30">
        <v>28619520</v>
      </c>
      <c r="R157" s="77">
        <f t="shared" si="85"/>
        <v>0.77100000000000002</v>
      </c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</row>
    <row r="158" spans="2:46" s="36" customFormat="1" ht="33.75" customHeight="1" x14ac:dyDescent="0.3">
      <c r="B158" s="33">
        <v>1</v>
      </c>
      <c r="C158" s="34" t="s">
        <v>109</v>
      </c>
      <c r="D158" s="40" t="s">
        <v>98</v>
      </c>
      <c r="E158" s="41">
        <v>261894564</v>
      </c>
      <c r="F158" s="41">
        <v>261894564</v>
      </c>
      <c r="G158" s="79">
        <f t="shared" si="80"/>
        <v>1</v>
      </c>
      <c r="H158" s="41">
        <v>261894564</v>
      </c>
      <c r="I158" s="79">
        <f t="shared" si="81"/>
        <v>1</v>
      </c>
      <c r="J158" s="37"/>
      <c r="K158" s="39">
        <v>21213459.684</v>
      </c>
      <c r="L158" s="79">
        <f t="shared" si="82"/>
        <v>8.1000000000000003E-2</v>
      </c>
      <c r="M158" s="39">
        <v>18856408.607999999</v>
      </c>
      <c r="N158" s="79">
        <f t="shared" si="83"/>
        <v>7.1999999999999995E-2</v>
      </c>
      <c r="O158" s="39">
        <v>19903986.864</v>
      </c>
      <c r="P158" s="79">
        <f t="shared" si="84"/>
        <v>7.5999999999999998E-2</v>
      </c>
      <c r="Q158" s="39">
        <v>201920708.84400001</v>
      </c>
      <c r="R158" s="79">
        <f t="shared" si="85"/>
        <v>0.77100000000000002</v>
      </c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</row>
    <row r="159" spans="2:46" s="36" customFormat="1" ht="30" customHeight="1" x14ac:dyDescent="0.3">
      <c r="B159" s="33">
        <v>1</v>
      </c>
      <c r="C159" s="34" t="s">
        <v>109</v>
      </c>
      <c r="D159" s="40" t="s">
        <v>83</v>
      </c>
      <c r="E159" s="41">
        <v>249973498</v>
      </c>
      <c r="F159" s="41">
        <v>249973498</v>
      </c>
      <c r="G159" s="79">
        <f t="shared" si="80"/>
        <v>1</v>
      </c>
      <c r="H159" s="41">
        <v>249973498</v>
      </c>
      <c r="I159" s="79">
        <f t="shared" si="81"/>
        <v>1</v>
      </c>
      <c r="J159" s="37"/>
      <c r="K159" s="39">
        <v>20247853.338</v>
      </c>
      <c r="L159" s="79">
        <f t="shared" si="82"/>
        <v>8.1000000000000003E-2</v>
      </c>
      <c r="M159" s="39">
        <v>17998091.855999999</v>
      </c>
      <c r="N159" s="79">
        <f t="shared" si="83"/>
        <v>7.1999999999999995E-2</v>
      </c>
      <c r="O159" s="39">
        <v>18997985.848000001</v>
      </c>
      <c r="P159" s="79">
        <f t="shared" si="84"/>
        <v>7.5999999999999998E-2</v>
      </c>
      <c r="Q159" s="39">
        <v>192729566.958</v>
      </c>
      <c r="R159" s="79">
        <f t="shared" si="85"/>
        <v>0.77100000000000002</v>
      </c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</row>
    <row r="160" spans="2:46" s="36" customFormat="1" ht="18.899999999999999" customHeight="1" x14ac:dyDescent="0.3">
      <c r="B160" s="33">
        <v>1</v>
      </c>
      <c r="C160" s="34" t="s">
        <v>109</v>
      </c>
      <c r="D160" s="40" t="s">
        <v>85</v>
      </c>
      <c r="E160" s="43">
        <v>34975106</v>
      </c>
      <c r="F160" s="43">
        <v>5360385</v>
      </c>
      <c r="G160" s="74">
        <f t="shared" si="80"/>
        <v>0.15326286645135542</v>
      </c>
      <c r="H160" s="43">
        <v>5360385</v>
      </c>
      <c r="I160" s="74">
        <f t="shared" si="81"/>
        <v>0.15326286645135542</v>
      </c>
      <c r="J160" s="37"/>
      <c r="K160" s="39">
        <v>434191.185</v>
      </c>
      <c r="L160" s="79">
        <f t="shared" si="82"/>
        <v>8.1000000000000003E-2</v>
      </c>
      <c r="M160" s="39">
        <v>385947.72</v>
      </c>
      <c r="N160" s="79">
        <f t="shared" si="83"/>
        <v>7.1999999999999995E-2</v>
      </c>
      <c r="O160" s="39">
        <v>407389.26</v>
      </c>
      <c r="P160" s="79">
        <f t="shared" si="84"/>
        <v>7.5999999999999998E-2</v>
      </c>
      <c r="Q160" s="39">
        <v>4132856.835</v>
      </c>
      <c r="R160" s="79">
        <f t="shared" si="85"/>
        <v>0.77100000000000002</v>
      </c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38"/>
      <c r="AM160" s="38"/>
      <c r="AN160" s="38"/>
      <c r="AO160" s="38"/>
      <c r="AP160" s="38"/>
      <c r="AQ160" s="38"/>
      <c r="AR160" s="38"/>
      <c r="AS160" s="38"/>
      <c r="AT160" s="38"/>
    </row>
    <row r="161" spans="2:46" s="2" customFormat="1" ht="18.899999999999999" customHeight="1" x14ac:dyDescent="0.3">
      <c r="B161" s="28">
        <v>1</v>
      </c>
      <c r="C161" s="5" t="s">
        <v>109</v>
      </c>
      <c r="D161" s="5" t="s">
        <v>64</v>
      </c>
      <c r="E161" s="9">
        <f>+E162</f>
        <v>66796833</v>
      </c>
      <c r="F161" s="9">
        <f t="shared" ref="F161:H161" si="108">+F162</f>
        <v>66796833</v>
      </c>
      <c r="G161" s="80">
        <f t="shared" si="80"/>
        <v>1</v>
      </c>
      <c r="H161" s="9">
        <f t="shared" si="108"/>
        <v>66796833</v>
      </c>
      <c r="I161" s="80">
        <f t="shared" si="81"/>
        <v>1</v>
      </c>
      <c r="J161" s="16"/>
      <c r="K161" s="9">
        <f>+K162</f>
        <v>5410543.4730000002</v>
      </c>
      <c r="L161" s="80">
        <f t="shared" si="82"/>
        <v>8.1000000000000003E-2</v>
      </c>
      <c r="M161" s="9">
        <f t="shared" ref="M161:Q161" si="109">+M162</f>
        <v>4809371.9759999998</v>
      </c>
      <c r="N161" s="80">
        <f t="shared" si="83"/>
        <v>7.1999999999999995E-2</v>
      </c>
      <c r="O161" s="9">
        <f t="shared" si="109"/>
        <v>5076559.3080000002</v>
      </c>
      <c r="P161" s="80">
        <f t="shared" si="84"/>
        <v>7.5999999999999998E-2</v>
      </c>
      <c r="Q161" s="9">
        <f t="shared" si="109"/>
        <v>51500358.243000001</v>
      </c>
      <c r="R161" s="80">
        <f t="shared" si="85"/>
        <v>0.77100000000000002</v>
      </c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</row>
    <row r="162" spans="2:46" s="2" customFormat="1" ht="18.899999999999999" customHeight="1" x14ac:dyDescent="0.3">
      <c r="B162" s="20">
        <v>1</v>
      </c>
      <c r="C162" s="21" t="s">
        <v>109</v>
      </c>
      <c r="D162" s="6" t="s">
        <v>37</v>
      </c>
      <c r="E162" s="7">
        <v>66796833</v>
      </c>
      <c r="F162" s="7">
        <v>66796833</v>
      </c>
      <c r="G162" s="78">
        <f t="shared" si="80"/>
        <v>1</v>
      </c>
      <c r="H162" s="7">
        <v>66796833</v>
      </c>
      <c r="I162" s="78">
        <f t="shared" si="81"/>
        <v>1</v>
      </c>
      <c r="J162" s="16"/>
      <c r="K162" s="30">
        <v>5410543.4730000002</v>
      </c>
      <c r="L162" s="77">
        <f t="shared" si="82"/>
        <v>8.1000000000000003E-2</v>
      </c>
      <c r="M162" s="30">
        <v>4809371.9759999998</v>
      </c>
      <c r="N162" s="77">
        <f t="shared" si="83"/>
        <v>7.1999999999999995E-2</v>
      </c>
      <c r="O162" s="30">
        <v>5076559.3080000002</v>
      </c>
      <c r="P162" s="77">
        <f t="shared" si="84"/>
        <v>7.5999999999999998E-2</v>
      </c>
      <c r="Q162" s="30">
        <v>51500358.243000001</v>
      </c>
      <c r="R162" s="77">
        <f t="shared" si="85"/>
        <v>0.77100000000000002</v>
      </c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</row>
    <row r="163" spans="2:46" s="2" customFormat="1" ht="72" customHeight="1" x14ac:dyDescent="0.3">
      <c r="B163" s="27">
        <v>7</v>
      </c>
      <c r="C163" s="4" t="s">
        <v>111</v>
      </c>
      <c r="D163" s="4" t="s">
        <v>65</v>
      </c>
      <c r="E163" s="29">
        <f>+E164+E166+E168+E170+E174+E176</f>
        <v>5894964392</v>
      </c>
      <c r="F163" s="29">
        <f>+F164+F166+F168+F170+F174+F176</f>
        <v>5119729260</v>
      </c>
      <c r="G163" s="72">
        <f t="shared" si="80"/>
        <v>0.86849197375100951</v>
      </c>
      <c r="H163" s="29">
        <f>+H164+H166+H168+H170+H174+H176</f>
        <v>5119729260</v>
      </c>
      <c r="I163" s="72">
        <f t="shared" si="81"/>
        <v>0.86849197375100951</v>
      </c>
      <c r="J163" s="16"/>
      <c r="K163" s="29">
        <f>+K164+K166+K168+K170+K174+K176</f>
        <v>345127809.40409994</v>
      </c>
      <c r="L163" s="72">
        <f t="shared" si="82"/>
        <v>6.7411339912161666E-2</v>
      </c>
      <c r="M163" s="29">
        <f>+M164+M166+M168+M170+M174+M176</f>
        <v>423420742.88629997</v>
      </c>
      <c r="N163" s="72">
        <f t="shared" si="83"/>
        <v>8.2703737128142579E-2</v>
      </c>
      <c r="O163" s="29">
        <f>+O164+O166+O168+O170+O174+O176</f>
        <v>415466550.4077</v>
      </c>
      <c r="P163" s="72">
        <f t="shared" si="84"/>
        <v>8.1150101755126797E-2</v>
      </c>
      <c r="Q163" s="29">
        <f>+Q164+Q166+Q168+Q170+Q174+Q176</f>
        <v>3935714157.3018999</v>
      </c>
      <c r="R163" s="72">
        <f t="shared" si="85"/>
        <v>0.76873482120456893</v>
      </c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</row>
    <row r="164" spans="2:46" s="2" customFormat="1" ht="57.6" x14ac:dyDescent="0.3">
      <c r="B164" s="28">
        <v>7</v>
      </c>
      <c r="C164" s="5" t="s">
        <v>111</v>
      </c>
      <c r="D164" s="5" t="s">
        <v>66</v>
      </c>
      <c r="E164" s="9">
        <f>+E165</f>
        <v>515110811</v>
      </c>
      <c r="F164" s="9">
        <f>+F165</f>
        <v>515110811</v>
      </c>
      <c r="G164" s="80">
        <f t="shared" si="80"/>
        <v>1</v>
      </c>
      <c r="H164" s="9">
        <f t="shared" ref="H164" si="110">+H165</f>
        <v>515110811</v>
      </c>
      <c r="I164" s="80">
        <f t="shared" si="81"/>
        <v>1</v>
      </c>
      <c r="J164" s="16"/>
      <c r="K164" s="9">
        <f>+K165</f>
        <v>26785762.172000002</v>
      </c>
      <c r="L164" s="80">
        <f t="shared" si="82"/>
        <v>5.2000000000000005E-2</v>
      </c>
      <c r="M164" s="9">
        <f t="shared" ref="M164:Q164" si="111">+M165</f>
        <v>26270651.360999998</v>
      </c>
      <c r="N164" s="80">
        <f t="shared" si="83"/>
        <v>5.0999999999999997E-2</v>
      </c>
      <c r="O164" s="9">
        <f t="shared" si="111"/>
        <v>29876427.037999999</v>
      </c>
      <c r="P164" s="80">
        <f t="shared" si="84"/>
        <v>5.7999999999999996E-2</v>
      </c>
      <c r="Q164" s="9">
        <f t="shared" si="111"/>
        <v>432177970.42900002</v>
      </c>
      <c r="R164" s="80">
        <f t="shared" si="85"/>
        <v>0.83900000000000008</v>
      </c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</row>
    <row r="165" spans="2:46" s="2" customFormat="1" ht="57.6" x14ac:dyDescent="0.3">
      <c r="B165" s="20">
        <v>7</v>
      </c>
      <c r="C165" s="21" t="s">
        <v>111</v>
      </c>
      <c r="D165" s="6" t="s">
        <v>67</v>
      </c>
      <c r="E165" s="7">
        <v>515110811</v>
      </c>
      <c r="F165" s="7">
        <v>515110811</v>
      </c>
      <c r="G165" s="78">
        <f t="shared" si="80"/>
        <v>1</v>
      </c>
      <c r="H165" s="7">
        <v>515110811</v>
      </c>
      <c r="I165" s="78">
        <f t="shared" si="81"/>
        <v>1</v>
      </c>
      <c r="J165" s="16"/>
      <c r="K165" s="30">
        <f>F165*5.2%</f>
        <v>26785762.172000002</v>
      </c>
      <c r="L165" s="77">
        <f t="shared" si="82"/>
        <v>5.2000000000000005E-2</v>
      </c>
      <c r="M165" s="30">
        <f>F165*5.1%</f>
        <v>26270651.360999998</v>
      </c>
      <c r="N165" s="77">
        <f t="shared" si="83"/>
        <v>5.0999999999999997E-2</v>
      </c>
      <c r="O165" s="30">
        <f>F165*5.8%</f>
        <v>29876427.037999999</v>
      </c>
      <c r="P165" s="77">
        <f t="shared" si="84"/>
        <v>5.7999999999999996E-2</v>
      </c>
      <c r="Q165" s="30">
        <f>F165*83.9%</f>
        <v>432177970.42900002</v>
      </c>
      <c r="R165" s="77">
        <f t="shared" si="85"/>
        <v>0.83900000000000008</v>
      </c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</row>
    <row r="166" spans="2:46" s="2" customFormat="1" x14ac:dyDescent="0.3">
      <c r="B166" s="28">
        <v>11</v>
      </c>
      <c r="C166" s="5" t="s">
        <v>114</v>
      </c>
      <c r="D166" s="5" t="s">
        <v>68</v>
      </c>
      <c r="E166" s="9">
        <f>+E167</f>
        <v>100000000</v>
      </c>
      <c r="F166" s="9">
        <f t="shared" ref="F166:H166" si="112">+F167</f>
        <v>100000000</v>
      </c>
      <c r="G166" s="80">
        <f t="shared" si="80"/>
        <v>1</v>
      </c>
      <c r="H166" s="9">
        <f t="shared" si="112"/>
        <v>100000000</v>
      </c>
      <c r="I166" s="80">
        <f t="shared" si="81"/>
        <v>1</v>
      </c>
      <c r="J166" s="16"/>
      <c r="K166" s="9">
        <f>+K167</f>
        <v>5200000</v>
      </c>
      <c r="L166" s="80">
        <f t="shared" si="82"/>
        <v>5.1999999999999998E-2</v>
      </c>
      <c r="M166" s="9">
        <f t="shared" ref="M166:Q166" si="113">+M167</f>
        <v>5100000</v>
      </c>
      <c r="N166" s="80">
        <f t="shared" si="83"/>
        <v>5.0999999999999997E-2</v>
      </c>
      <c r="O166" s="9">
        <f t="shared" si="113"/>
        <v>5800000</v>
      </c>
      <c r="P166" s="80">
        <f t="shared" si="84"/>
        <v>5.8000000000000003E-2</v>
      </c>
      <c r="Q166" s="9">
        <f t="shared" si="113"/>
        <v>83900000.000000015</v>
      </c>
      <c r="R166" s="80">
        <f t="shared" si="85"/>
        <v>0.83900000000000019</v>
      </c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</row>
    <row r="167" spans="2:46" s="36" customFormat="1" x14ac:dyDescent="0.3">
      <c r="B167" s="33">
        <v>11</v>
      </c>
      <c r="C167" s="34" t="s">
        <v>114</v>
      </c>
      <c r="D167" s="40" t="s">
        <v>67</v>
      </c>
      <c r="E167" s="43">
        <v>100000000</v>
      </c>
      <c r="F167" s="43">
        <v>100000000</v>
      </c>
      <c r="G167" s="74">
        <f t="shared" si="80"/>
        <v>1</v>
      </c>
      <c r="H167" s="43">
        <v>100000000</v>
      </c>
      <c r="I167" s="74">
        <f t="shared" si="81"/>
        <v>1</v>
      </c>
      <c r="J167" s="37"/>
      <c r="K167" s="39">
        <f>F167*5.2%</f>
        <v>5200000</v>
      </c>
      <c r="L167" s="79">
        <f t="shared" si="82"/>
        <v>5.1999999999999998E-2</v>
      </c>
      <c r="M167" s="39">
        <f>F167*5.1%</f>
        <v>5100000</v>
      </c>
      <c r="N167" s="79">
        <f t="shared" si="83"/>
        <v>5.0999999999999997E-2</v>
      </c>
      <c r="O167" s="39">
        <f>F167*5.8%</f>
        <v>5800000</v>
      </c>
      <c r="P167" s="79">
        <f t="shared" si="84"/>
        <v>5.8000000000000003E-2</v>
      </c>
      <c r="Q167" s="39">
        <f>F167*83.9%</f>
        <v>83900000.000000015</v>
      </c>
      <c r="R167" s="79">
        <f t="shared" si="85"/>
        <v>0.83900000000000019</v>
      </c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38"/>
      <c r="AL167" s="38"/>
      <c r="AM167" s="38"/>
      <c r="AN167" s="38"/>
      <c r="AO167" s="38"/>
      <c r="AP167" s="38"/>
      <c r="AQ167" s="38"/>
      <c r="AR167" s="38"/>
      <c r="AS167" s="38"/>
      <c r="AT167" s="38"/>
    </row>
    <row r="168" spans="2:46" s="2" customFormat="1" x14ac:dyDescent="0.3">
      <c r="B168" s="28">
        <v>11</v>
      </c>
      <c r="C168" s="5" t="s">
        <v>114</v>
      </c>
      <c r="D168" s="5" t="s">
        <v>69</v>
      </c>
      <c r="E168" s="9">
        <f>+E169</f>
        <v>650000000</v>
      </c>
      <c r="F168" s="9">
        <f t="shared" ref="F168:H168" si="114">+F169</f>
        <v>650000000</v>
      </c>
      <c r="G168" s="80">
        <f t="shared" si="80"/>
        <v>1</v>
      </c>
      <c r="H168" s="9">
        <f t="shared" si="114"/>
        <v>650000000</v>
      </c>
      <c r="I168" s="80">
        <f t="shared" si="81"/>
        <v>1</v>
      </c>
      <c r="J168" s="16"/>
      <c r="K168" s="9">
        <f>+K169</f>
        <v>58759999.999999993</v>
      </c>
      <c r="L168" s="80">
        <f t="shared" si="82"/>
        <v>9.0399999999999994E-2</v>
      </c>
      <c r="M168" s="9">
        <f t="shared" ref="M168:Q168" si="115">+M169</f>
        <v>56745000</v>
      </c>
      <c r="N168" s="80">
        <f t="shared" si="83"/>
        <v>8.7300000000000003E-2</v>
      </c>
      <c r="O168" s="9">
        <f t="shared" si="115"/>
        <v>104780000</v>
      </c>
      <c r="P168" s="80">
        <f t="shared" si="84"/>
        <v>0.16120000000000001</v>
      </c>
      <c r="Q168" s="9">
        <f t="shared" si="115"/>
        <v>429715000</v>
      </c>
      <c r="R168" s="80">
        <f t="shared" si="85"/>
        <v>0.66110000000000002</v>
      </c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</row>
    <row r="169" spans="2:46" s="36" customFormat="1" x14ac:dyDescent="0.3">
      <c r="B169" s="33">
        <v>11</v>
      </c>
      <c r="C169" s="34" t="s">
        <v>114</v>
      </c>
      <c r="D169" s="40" t="s">
        <v>67</v>
      </c>
      <c r="E169" s="43">
        <v>650000000</v>
      </c>
      <c r="F169" s="43">
        <v>650000000</v>
      </c>
      <c r="G169" s="74">
        <f t="shared" si="80"/>
        <v>1</v>
      </c>
      <c r="H169" s="43">
        <v>650000000</v>
      </c>
      <c r="I169" s="74">
        <f t="shared" si="81"/>
        <v>1</v>
      </c>
      <c r="J169" s="37"/>
      <c r="K169" s="39">
        <f>F169*9.04%</f>
        <v>58759999.999999993</v>
      </c>
      <c r="L169" s="79">
        <f t="shared" si="82"/>
        <v>9.0399999999999994E-2</v>
      </c>
      <c r="M169" s="39">
        <f>F169*8.73%</f>
        <v>56745000</v>
      </c>
      <c r="N169" s="79">
        <f t="shared" si="83"/>
        <v>8.7300000000000003E-2</v>
      </c>
      <c r="O169" s="39">
        <f>F169*16.12%</f>
        <v>104780000</v>
      </c>
      <c r="P169" s="79">
        <f t="shared" si="84"/>
        <v>0.16120000000000001</v>
      </c>
      <c r="Q169" s="39">
        <f>F169*66.11%</f>
        <v>429715000</v>
      </c>
      <c r="R169" s="79">
        <f t="shared" si="85"/>
        <v>0.66110000000000002</v>
      </c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38"/>
      <c r="AL169" s="38"/>
      <c r="AM169" s="38"/>
      <c r="AN169" s="38"/>
      <c r="AO169" s="38"/>
      <c r="AP169" s="38"/>
      <c r="AQ169" s="38"/>
      <c r="AR169" s="38"/>
      <c r="AS169" s="38"/>
      <c r="AT169" s="38"/>
    </row>
    <row r="170" spans="2:46" s="2" customFormat="1" ht="57.6" x14ac:dyDescent="0.3">
      <c r="B170" s="28">
        <v>7</v>
      </c>
      <c r="C170" s="5" t="s">
        <v>111</v>
      </c>
      <c r="D170" s="5" t="s">
        <v>70</v>
      </c>
      <c r="E170" s="9">
        <f>+E171+E172+E173</f>
        <v>1366564561</v>
      </c>
      <c r="F170" s="9">
        <f t="shared" ref="F170:H170" si="116">+F171+F172+F173</f>
        <v>1366564561</v>
      </c>
      <c r="G170" s="80">
        <f t="shared" si="80"/>
        <v>1</v>
      </c>
      <c r="H170" s="9">
        <f t="shared" si="116"/>
        <v>1366564561</v>
      </c>
      <c r="I170" s="80">
        <f t="shared" si="81"/>
        <v>1</v>
      </c>
      <c r="J170" s="16"/>
      <c r="K170" s="9">
        <f>+K171+K172+K173</f>
        <v>107958600.31900001</v>
      </c>
      <c r="L170" s="80">
        <f t="shared" si="82"/>
        <v>7.9000000000000001E-2</v>
      </c>
      <c r="M170" s="9">
        <f t="shared" ref="M170:Q170" si="117">+M171+M172+M173</f>
        <v>107958600.31900001</v>
      </c>
      <c r="N170" s="80">
        <f t="shared" si="83"/>
        <v>7.9000000000000001E-2</v>
      </c>
      <c r="O170" s="9">
        <f t="shared" si="117"/>
        <v>107958600.31900001</v>
      </c>
      <c r="P170" s="80">
        <f t="shared" si="84"/>
        <v>7.9000000000000001E-2</v>
      </c>
      <c r="Q170" s="9">
        <f t="shared" si="117"/>
        <v>1042688760.043</v>
      </c>
      <c r="R170" s="80">
        <f t="shared" si="85"/>
        <v>0.76300000000000001</v>
      </c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</row>
    <row r="171" spans="2:46" s="2" customFormat="1" ht="57.6" x14ac:dyDescent="0.3">
      <c r="B171" s="20">
        <v>7</v>
      </c>
      <c r="C171" s="21" t="s">
        <v>111</v>
      </c>
      <c r="D171" s="6" t="s">
        <v>67</v>
      </c>
      <c r="E171" s="7">
        <v>300000000</v>
      </c>
      <c r="F171" s="7">
        <v>300000000</v>
      </c>
      <c r="G171" s="78">
        <f t="shared" si="80"/>
        <v>1</v>
      </c>
      <c r="H171" s="7">
        <v>300000000</v>
      </c>
      <c r="I171" s="78">
        <f t="shared" si="81"/>
        <v>1</v>
      </c>
      <c r="J171" s="16"/>
      <c r="K171" s="30">
        <f>F171*7.9%</f>
        <v>23700000</v>
      </c>
      <c r="L171" s="77">
        <f t="shared" si="82"/>
        <v>7.9000000000000001E-2</v>
      </c>
      <c r="M171" s="30">
        <f>F171*7.9%</f>
        <v>23700000</v>
      </c>
      <c r="N171" s="77">
        <f t="shared" si="83"/>
        <v>7.9000000000000001E-2</v>
      </c>
      <c r="O171" s="30">
        <f>F171*7.9%</f>
        <v>23700000</v>
      </c>
      <c r="P171" s="77">
        <f t="shared" si="84"/>
        <v>7.9000000000000001E-2</v>
      </c>
      <c r="Q171" s="30">
        <f>F171*76.3%</f>
        <v>228900000</v>
      </c>
      <c r="R171" s="77">
        <f t="shared" si="85"/>
        <v>0.76300000000000001</v>
      </c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</row>
    <row r="172" spans="2:46" s="36" customFormat="1" ht="57.6" x14ac:dyDescent="0.3">
      <c r="B172" s="33">
        <v>7</v>
      </c>
      <c r="C172" s="34" t="s">
        <v>111</v>
      </c>
      <c r="D172" s="40" t="s">
        <v>101</v>
      </c>
      <c r="E172" s="43">
        <v>633853326</v>
      </c>
      <c r="F172" s="43">
        <v>633853326</v>
      </c>
      <c r="G172" s="74">
        <f t="shared" si="80"/>
        <v>1</v>
      </c>
      <c r="H172" s="43">
        <v>633853326</v>
      </c>
      <c r="I172" s="74">
        <f t="shared" si="81"/>
        <v>1</v>
      </c>
      <c r="J172" s="37"/>
      <c r="K172" s="39">
        <f>F172*7.9%</f>
        <v>50074412.754000001</v>
      </c>
      <c r="L172" s="79">
        <f t="shared" si="82"/>
        <v>7.9000000000000001E-2</v>
      </c>
      <c r="M172" s="39">
        <f>F172*7.9%</f>
        <v>50074412.754000001</v>
      </c>
      <c r="N172" s="79">
        <f t="shared" si="83"/>
        <v>7.9000000000000001E-2</v>
      </c>
      <c r="O172" s="39">
        <f>F172*7.9%</f>
        <v>50074412.754000001</v>
      </c>
      <c r="P172" s="79">
        <f t="shared" si="84"/>
        <v>7.9000000000000001E-2</v>
      </c>
      <c r="Q172" s="39">
        <f>F172*76.3%</f>
        <v>483630087.73800004</v>
      </c>
      <c r="R172" s="79">
        <f t="shared" si="85"/>
        <v>0.76300000000000001</v>
      </c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  <c r="AN172" s="38"/>
      <c r="AO172" s="38"/>
      <c r="AP172" s="38"/>
      <c r="AQ172" s="38"/>
      <c r="AR172" s="38"/>
      <c r="AS172" s="38"/>
      <c r="AT172" s="38"/>
    </row>
    <row r="173" spans="2:46" s="36" customFormat="1" ht="57.6" x14ac:dyDescent="0.3">
      <c r="B173" s="33">
        <v>7</v>
      </c>
      <c r="C173" s="34" t="s">
        <v>111</v>
      </c>
      <c r="D173" s="40" t="s">
        <v>85</v>
      </c>
      <c r="E173" s="43">
        <v>432711235</v>
      </c>
      <c r="F173" s="43">
        <v>432711235</v>
      </c>
      <c r="G173" s="74">
        <f t="shared" si="80"/>
        <v>1</v>
      </c>
      <c r="H173" s="43">
        <v>432711235</v>
      </c>
      <c r="I173" s="74">
        <f t="shared" si="81"/>
        <v>1</v>
      </c>
      <c r="J173" s="37"/>
      <c r="K173" s="39">
        <f>F173*7.9%</f>
        <v>34184187.564999998</v>
      </c>
      <c r="L173" s="79">
        <f t="shared" si="82"/>
        <v>7.9000000000000001E-2</v>
      </c>
      <c r="M173" s="39">
        <f>F173*7.9%</f>
        <v>34184187.564999998</v>
      </c>
      <c r="N173" s="79">
        <f t="shared" si="83"/>
        <v>7.9000000000000001E-2</v>
      </c>
      <c r="O173" s="39">
        <f>F173*7.9%</f>
        <v>34184187.564999998</v>
      </c>
      <c r="P173" s="79">
        <f t="shared" si="84"/>
        <v>7.9000000000000001E-2</v>
      </c>
      <c r="Q173" s="39">
        <f>F173*76.3%</f>
        <v>330158672.30500001</v>
      </c>
      <c r="R173" s="79">
        <f t="shared" si="85"/>
        <v>0.76300000000000001</v>
      </c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  <c r="AL173" s="38"/>
      <c r="AM173" s="38"/>
      <c r="AN173" s="38"/>
      <c r="AO173" s="38"/>
      <c r="AP173" s="38"/>
      <c r="AQ173" s="38"/>
      <c r="AR173" s="38"/>
      <c r="AS173" s="38"/>
      <c r="AT173" s="38"/>
    </row>
    <row r="174" spans="2:46" s="2" customFormat="1" ht="57.6" x14ac:dyDescent="0.3">
      <c r="B174" s="28">
        <v>7</v>
      </c>
      <c r="C174" s="5" t="s">
        <v>111</v>
      </c>
      <c r="D174" s="5" t="s">
        <v>71</v>
      </c>
      <c r="E174" s="9">
        <f>+E175</f>
        <v>1116812797</v>
      </c>
      <c r="F174" s="9">
        <f t="shared" ref="F174:H174" si="118">+F175</f>
        <v>1116812797</v>
      </c>
      <c r="G174" s="80">
        <f t="shared" si="80"/>
        <v>1</v>
      </c>
      <c r="H174" s="9">
        <f t="shared" si="118"/>
        <v>1116812797</v>
      </c>
      <c r="I174" s="80">
        <f t="shared" si="81"/>
        <v>1</v>
      </c>
      <c r="J174" s="16"/>
      <c r="K174" s="9">
        <f>+K175</f>
        <v>68125580.616999999</v>
      </c>
      <c r="L174" s="80">
        <f t="shared" si="82"/>
        <v>6.0999999999999999E-2</v>
      </c>
      <c r="M174" s="9">
        <f t="shared" ref="M174:Q174" si="119">+M175</f>
        <v>69242393.414000005</v>
      </c>
      <c r="N174" s="80">
        <f t="shared" si="83"/>
        <v>6.2000000000000006E-2</v>
      </c>
      <c r="O174" s="9">
        <f t="shared" si="119"/>
        <v>71476019.008000001</v>
      </c>
      <c r="P174" s="80">
        <f t="shared" si="84"/>
        <v>6.4000000000000001E-2</v>
      </c>
      <c r="Q174" s="9">
        <f t="shared" si="119"/>
        <v>907968803.96099997</v>
      </c>
      <c r="R174" s="80">
        <f t="shared" si="85"/>
        <v>0.81299999999999994</v>
      </c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</row>
    <row r="175" spans="2:46" s="2" customFormat="1" ht="57.6" x14ac:dyDescent="0.3">
      <c r="B175" s="20">
        <v>7</v>
      </c>
      <c r="C175" s="21" t="s">
        <v>111</v>
      </c>
      <c r="D175" s="6" t="s">
        <v>67</v>
      </c>
      <c r="E175" s="7">
        <v>1116812797</v>
      </c>
      <c r="F175" s="7">
        <v>1116812797</v>
      </c>
      <c r="G175" s="78">
        <f t="shared" si="80"/>
        <v>1</v>
      </c>
      <c r="H175" s="7">
        <v>1116812797</v>
      </c>
      <c r="I175" s="78">
        <f t="shared" si="81"/>
        <v>1</v>
      </c>
      <c r="J175" s="16"/>
      <c r="K175" s="30">
        <f>+F175*6.1/100</f>
        <v>68125580.616999999</v>
      </c>
      <c r="L175" s="77">
        <f t="shared" si="82"/>
        <v>6.0999999999999999E-2</v>
      </c>
      <c r="M175" s="30">
        <f>+F175*6.2/100</f>
        <v>69242393.414000005</v>
      </c>
      <c r="N175" s="77">
        <f t="shared" si="83"/>
        <v>6.2000000000000006E-2</v>
      </c>
      <c r="O175" s="30">
        <f>+F175*6.4/100</f>
        <v>71476019.008000001</v>
      </c>
      <c r="P175" s="77">
        <f t="shared" si="84"/>
        <v>6.4000000000000001E-2</v>
      </c>
      <c r="Q175" s="30">
        <f>+F175*81.3/100</f>
        <v>907968803.96099997</v>
      </c>
      <c r="R175" s="77">
        <f t="shared" si="85"/>
        <v>0.81299999999999994</v>
      </c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</row>
    <row r="176" spans="2:46" s="2" customFormat="1" ht="57.6" x14ac:dyDescent="0.3">
      <c r="B176" s="65">
        <v>7</v>
      </c>
      <c r="C176" s="66" t="s">
        <v>111</v>
      </c>
      <c r="D176" s="66" t="s">
        <v>118</v>
      </c>
      <c r="E176" s="67">
        <f>+E179+E177+E178</f>
        <v>2146476223</v>
      </c>
      <c r="F176" s="67">
        <f>+F179+F177+F178</f>
        <v>1371241091</v>
      </c>
      <c r="G176" s="81">
        <f t="shared" si="80"/>
        <v>0.63883358050130146</v>
      </c>
      <c r="H176" s="67">
        <f>+H179+H177+H178</f>
        <v>1371241091</v>
      </c>
      <c r="I176" s="81">
        <f t="shared" si="81"/>
        <v>0.63883358050130146</v>
      </c>
      <c r="J176" s="16"/>
      <c r="K176" s="102">
        <f>+K177+K178+K179</f>
        <v>78297866.296099991</v>
      </c>
      <c r="L176" s="99">
        <f t="shared" si="82"/>
        <v>5.7099999999999991E-2</v>
      </c>
      <c r="M176" s="102">
        <f>+M177+M178+M179</f>
        <v>158104097.79229999</v>
      </c>
      <c r="N176" s="99">
        <f t="shared" si="83"/>
        <v>0.11529999999999999</v>
      </c>
      <c r="O176" s="102">
        <f>+O177+O178+O179</f>
        <v>95575504.042699993</v>
      </c>
      <c r="P176" s="99">
        <f t="shared" si="84"/>
        <v>6.9699999999999998E-2</v>
      </c>
      <c r="Q176" s="102">
        <f>+Q177+Q178+Q179</f>
        <v>1039263622.8689001</v>
      </c>
      <c r="R176" s="99">
        <f t="shared" si="85"/>
        <v>0.75790000000000002</v>
      </c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</row>
    <row r="177" spans="1:46" s="36" customFormat="1" ht="57.6" x14ac:dyDescent="0.3">
      <c r="B177" s="33">
        <v>7</v>
      </c>
      <c r="C177" s="34" t="s">
        <v>111</v>
      </c>
      <c r="D177" s="68" t="s">
        <v>101</v>
      </c>
      <c r="E177" s="69">
        <v>326199000</v>
      </c>
      <c r="F177" s="69">
        <v>326199000</v>
      </c>
      <c r="G177" s="74">
        <f>+F177/E177</f>
        <v>1</v>
      </c>
      <c r="H177" s="69">
        <v>326199000</v>
      </c>
      <c r="I177" s="74">
        <f>+H177/E177</f>
        <v>1</v>
      </c>
      <c r="J177" s="37"/>
      <c r="K177" s="39">
        <f>+H177*5.71/100</f>
        <v>18625962.899999999</v>
      </c>
      <c r="L177" s="79">
        <f t="shared" si="82"/>
        <v>5.7099999999999998E-2</v>
      </c>
      <c r="M177" s="46">
        <f>+H177*11.53/100</f>
        <v>37610744.700000003</v>
      </c>
      <c r="N177" s="79">
        <f t="shared" si="83"/>
        <v>0.11530000000000001</v>
      </c>
      <c r="O177" s="39">
        <f>+H177*6.97/100</f>
        <v>22736070.300000001</v>
      </c>
      <c r="P177" s="79">
        <f t="shared" si="84"/>
        <v>6.9699999999999998E-2</v>
      </c>
      <c r="Q177" s="46">
        <f>+H177*75.79/100</f>
        <v>247226222.10000002</v>
      </c>
      <c r="R177" s="79">
        <f t="shared" si="85"/>
        <v>0.75790000000000002</v>
      </c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</row>
    <row r="178" spans="1:46" s="36" customFormat="1" ht="57.6" x14ac:dyDescent="0.3">
      <c r="B178" s="33">
        <v>7</v>
      </c>
      <c r="C178" s="34" t="s">
        <v>111</v>
      </c>
      <c r="D178" s="68" t="s">
        <v>85</v>
      </c>
      <c r="E178" s="69">
        <v>347825703</v>
      </c>
      <c r="F178" s="69">
        <v>347825703</v>
      </c>
      <c r="G178" s="74">
        <f>+F178/E178</f>
        <v>1</v>
      </c>
      <c r="H178" s="69">
        <v>347825703</v>
      </c>
      <c r="I178" s="74">
        <f>+H178/E178</f>
        <v>1</v>
      </c>
      <c r="J178" s="37"/>
      <c r="K178" s="39">
        <f t="shared" ref="K178:K179" si="120">+H178*5.71/100</f>
        <v>19860847.6413</v>
      </c>
      <c r="L178" s="79">
        <f t="shared" si="82"/>
        <v>5.7099999999999998E-2</v>
      </c>
      <c r="M178" s="46">
        <f>+H178*11.53/100</f>
        <v>40104303.5559</v>
      </c>
      <c r="N178" s="79">
        <f t="shared" si="83"/>
        <v>0.1153</v>
      </c>
      <c r="O178" s="39">
        <f>+H178*6.97/100</f>
        <v>24243451.4991</v>
      </c>
      <c r="P178" s="79">
        <f t="shared" si="84"/>
        <v>6.9699999999999998E-2</v>
      </c>
      <c r="Q178" s="46">
        <f>+H178*75.79/100</f>
        <v>263617100.30370003</v>
      </c>
      <c r="R178" s="79">
        <f t="shared" si="85"/>
        <v>0.75790000000000013</v>
      </c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  <c r="AK178" s="38"/>
      <c r="AL178" s="38"/>
      <c r="AM178" s="38"/>
      <c r="AN178" s="38"/>
      <c r="AO178" s="38"/>
      <c r="AP178" s="38"/>
      <c r="AQ178" s="38"/>
      <c r="AR178" s="38"/>
      <c r="AS178" s="38"/>
      <c r="AT178" s="38"/>
    </row>
    <row r="179" spans="1:46" s="36" customFormat="1" ht="57.6" x14ac:dyDescent="0.3">
      <c r="B179" s="33">
        <v>7</v>
      </c>
      <c r="C179" s="34" t="s">
        <v>111</v>
      </c>
      <c r="D179" s="68" t="s">
        <v>84</v>
      </c>
      <c r="E179" s="69">
        <v>1472451520</v>
      </c>
      <c r="F179" s="69">
        <v>697216388</v>
      </c>
      <c r="G179" s="74">
        <f t="shared" si="80"/>
        <v>0.47350719431496119</v>
      </c>
      <c r="H179" s="69">
        <v>697216388</v>
      </c>
      <c r="I179" s="74">
        <f t="shared" si="81"/>
        <v>0.47350719431496119</v>
      </c>
      <c r="J179" s="37"/>
      <c r="K179" s="39">
        <f t="shared" si="120"/>
        <v>39811055.754799999</v>
      </c>
      <c r="L179" s="79">
        <f t="shared" si="82"/>
        <v>5.7099999999999998E-2</v>
      </c>
      <c r="M179" s="46">
        <f>+H179*11.53/100</f>
        <v>80389049.53639999</v>
      </c>
      <c r="N179" s="79">
        <f t="shared" si="83"/>
        <v>0.11529999999999999</v>
      </c>
      <c r="O179" s="39">
        <f>+H179*6.97/100</f>
        <v>48595982.243599996</v>
      </c>
      <c r="P179" s="79">
        <f t="shared" si="84"/>
        <v>6.9699999999999998E-2</v>
      </c>
      <c r="Q179" s="46">
        <f>+H179*75.79/100</f>
        <v>528420300.46520007</v>
      </c>
      <c r="R179" s="79">
        <f t="shared" si="85"/>
        <v>0.75790000000000013</v>
      </c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  <c r="AK179" s="38"/>
      <c r="AL179" s="38"/>
      <c r="AM179" s="38"/>
      <c r="AN179" s="38"/>
      <c r="AO179" s="38"/>
      <c r="AP179" s="38"/>
      <c r="AQ179" s="38"/>
      <c r="AR179" s="38"/>
      <c r="AS179" s="38"/>
      <c r="AT179" s="38"/>
    </row>
    <row r="180" spans="1:46" s="2" customFormat="1" ht="57.6" x14ac:dyDescent="0.3">
      <c r="B180" s="27">
        <v>7</v>
      </c>
      <c r="C180" s="4" t="s">
        <v>111</v>
      </c>
      <c r="D180" s="4" t="s">
        <v>102</v>
      </c>
      <c r="E180" s="10">
        <f>+E181</f>
        <v>446422350</v>
      </c>
      <c r="F180" s="10">
        <f t="shared" ref="F180:H180" si="121">+F181</f>
        <v>446422350</v>
      </c>
      <c r="G180" s="82">
        <f t="shared" si="80"/>
        <v>1</v>
      </c>
      <c r="H180" s="10">
        <f t="shared" si="121"/>
        <v>446422350</v>
      </c>
      <c r="I180" s="82">
        <f t="shared" si="81"/>
        <v>1</v>
      </c>
      <c r="J180" s="16"/>
      <c r="K180" s="10">
        <f>+K181</f>
        <v>0</v>
      </c>
      <c r="L180" s="82">
        <f t="shared" si="82"/>
        <v>0</v>
      </c>
      <c r="M180" s="10">
        <f t="shared" ref="M180:Q180" si="122">+M181</f>
        <v>62626678.242857143</v>
      </c>
      <c r="N180" s="82">
        <f t="shared" si="83"/>
        <v>0.14028571428571429</v>
      </c>
      <c r="O180" s="10">
        <f t="shared" si="122"/>
        <v>13137572.014285713</v>
      </c>
      <c r="P180" s="82">
        <f t="shared" si="84"/>
        <v>2.9428571428571425E-2</v>
      </c>
      <c r="Q180" s="10">
        <f t="shared" si="122"/>
        <v>370658099.74285716</v>
      </c>
      <c r="R180" s="82">
        <f t="shared" si="85"/>
        <v>0.83028571428571429</v>
      </c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</row>
    <row r="181" spans="1:46" s="2" customFormat="1" ht="57.6" x14ac:dyDescent="0.3">
      <c r="B181" s="28">
        <v>7</v>
      </c>
      <c r="C181" s="5" t="s">
        <v>111</v>
      </c>
      <c r="D181" s="5" t="s">
        <v>72</v>
      </c>
      <c r="E181" s="11">
        <f>+E182+E183</f>
        <v>446422350</v>
      </c>
      <c r="F181" s="11">
        <f t="shared" ref="F181:H181" si="123">+F182+F183</f>
        <v>446422350</v>
      </c>
      <c r="G181" s="83">
        <f t="shared" si="80"/>
        <v>1</v>
      </c>
      <c r="H181" s="11">
        <f t="shared" si="123"/>
        <v>446422350</v>
      </c>
      <c r="I181" s="83">
        <f t="shared" si="81"/>
        <v>1</v>
      </c>
      <c r="J181" s="16"/>
      <c r="K181" s="9">
        <f>+K182+K183</f>
        <v>0</v>
      </c>
      <c r="L181" s="80">
        <f t="shared" si="82"/>
        <v>0</v>
      </c>
      <c r="M181" s="9">
        <f t="shared" ref="M181:Q181" si="124">+M182+M183</f>
        <v>62626678.242857143</v>
      </c>
      <c r="N181" s="80">
        <f t="shared" si="83"/>
        <v>0.14028571428571429</v>
      </c>
      <c r="O181" s="9">
        <f t="shared" si="124"/>
        <v>13137572.014285713</v>
      </c>
      <c r="P181" s="80">
        <f t="shared" si="84"/>
        <v>2.9428571428571425E-2</v>
      </c>
      <c r="Q181" s="9">
        <f t="shared" si="124"/>
        <v>370658099.74285716</v>
      </c>
      <c r="R181" s="80">
        <f t="shared" si="85"/>
        <v>0.83028571428571429</v>
      </c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</row>
    <row r="182" spans="1:46" s="36" customFormat="1" ht="57.6" x14ac:dyDescent="0.3">
      <c r="B182" s="33">
        <v>7</v>
      </c>
      <c r="C182" s="34" t="s">
        <v>111</v>
      </c>
      <c r="D182" s="40" t="s">
        <v>85</v>
      </c>
      <c r="E182" s="43">
        <v>249897350</v>
      </c>
      <c r="F182" s="43">
        <v>249897350</v>
      </c>
      <c r="G182" s="74">
        <f t="shared" ref="G182:G206" si="125">+F182/E182</f>
        <v>1</v>
      </c>
      <c r="H182" s="43">
        <v>249897350</v>
      </c>
      <c r="I182" s="74">
        <f t="shared" ref="I182:I206" si="126">+H182/E182</f>
        <v>1</v>
      </c>
      <c r="J182" s="37"/>
      <c r="K182" s="39"/>
      <c r="L182" s="79">
        <f t="shared" ref="L182:L206" si="127">+K182/F182</f>
        <v>0</v>
      </c>
      <c r="M182" s="47">
        <v>35057028.242857143</v>
      </c>
      <c r="N182" s="84">
        <f t="shared" ref="N182:N206" si="128">+M182/F182</f>
        <v>0.14028571428571429</v>
      </c>
      <c r="O182" s="47">
        <v>7354122.0142857144</v>
      </c>
      <c r="P182" s="84">
        <f t="shared" ref="P182:P206" si="129">+O182/F182</f>
        <v>2.9428571428571429E-2</v>
      </c>
      <c r="Q182" s="47">
        <v>207486199.74285716</v>
      </c>
      <c r="R182" s="84">
        <f t="shared" ref="R182:R206" si="130">+Q182/F182</f>
        <v>0.83028571428571429</v>
      </c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8"/>
      <c r="AM182" s="38"/>
      <c r="AN182" s="38"/>
      <c r="AO182" s="38"/>
      <c r="AP182" s="38"/>
      <c r="AQ182" s="38"/>
      <c r="AR182" s="38"/>
      <c r="AS182" s="38"/>
      <c r="AT182" s="38"/>
    </row>
    <row r="183" spans="1:46" s="36" customFormat="1" ht="57.6" x14ac:dyDescent="0.3">
      <c r="B183" s="33">
        <v>7</v>
      </c>
      <c r="C183" s="34" t="s">
        <v>111</v>
      </c>
      <c r="D183" s="40" t="s">
        <v>95</v>
      </c>
      <c r="E183" s="43">
        <v>196525000</v>
      </c>
      <c r="F183" s="43">
        <v>196525000</v>
      </c>
      <c r="G183" s="74">
        <f t="shared" si="125"/>
        <v>1</v>
      </c>
      <c r="H183" s="43">
        <v>196525000</v>
      </c>
      <c r="I183" s="74">
        <f t="shared" si="126"/>
        <v>1</v>
      </c>
      <c r="J183" s="37"/>
      <c r="K183" s="39"/>
      <c r="L183" s="79">
        <f t="shared" si="127"/>
        <v>0</v>
      </c>
      <c r="M183" s="47">
        <v>27569650</v>
      </c>
      <c r="N183" s="84">
        <f t="shared" si="128"/>
        <v>0.14028571428571429</v>
      </c>
      <c r="O183" s="47">
        <v>5783450</v>
      </c>
      <c r="P183" s="84">
        <f t="shared" si="129"/>
        <v>2.9428571428571429E-2</v>
      </c>
      <c r="Q183" s="47">
        <v>163171900</v>
      </c>
      <c r="R183" s="84">
        <f t="shared" si="130"/>
        <v>0.83028571428571429</v>
      </c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8"/>
      <c r="AM183" s="38"/>
      <c r="AN183" s="38"/>
      <c r="AO183" s="38"/>
      <c r="AP183" s="38"/>
      <c r="AQ183" s="38"/>
      <c r="AR183" s="38"/>
      <c r="AS183" s="38"/>
      <c r="AT183" s="38"/>
    </row>
    <row r="184" spans="1:46" s="2" customFormat="1" ht="57.6" x14ac:dyDescent="0.3">
      <c r="B184" s="27">
        <v>7</v>
      </c>
      <c r="C184" s="4" t="s">
        <v>111</v>
      </c>
      <c r="D184" s="4" t="s">
        <v>103</v>
      </c>
      <c r="E184" s="12">
        <f>+E185</f>
        <v>52104667</v>
      </c>
      <c r="F184" s="12">
        <f t="shared" ref="F184:H184" si="131">+F185</f>
        <v>52104667</v>
      </c>
      <c r="G184" s="82">
        <f t="shared" si="125"/>
        <v>1</v>
      </c>
      <c r="H184" s="12">
        <f t="shared" si="131"/>
        <v>52104667</v>
      </c>
      <c r="I184" s="82">
        <f t="shared" si="126"/>
        <v>1</v>
      </c>
      <c r="J184" s="16"/>
      <c r="K184" s="12">
        <f>+K185</f>
        <v>0</v>
      </c>
      <c r="L184" s="82">
        <f t="shared" si="127"/>
        <v>0</v>
      </c>
      <c r="M184" s="12">
        <f t="shared" ref="M184:Q184" si="132">+M185</f>
        <v>23017873.412190683</v>
      </c>
      <c r="N184" s="82">
        <f t="shared" si="128"/>
        <v>0.44176222088111</v>
      </c>
      <c r="O184" s="12">
        <f t="shared" si="132"/>
        <v>27074301.923355464</v>
      </c>
      <c r="P184" s="82">
        <f t="shared" si="129"/>
        <v>0.51961375980687996</v>
      </c>
      <c r="Q184" s="12">
        <f t="shared" si="132"/>
        <v>2012491.6644538343</v>
      </c>
      <c r="R184" s="82">
        <f t="shared" si="130"/>
        <v>3.8624019312009698E-2</v>
      </c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</row>
    <row r="185" spans="1:46" s="2" customFormat="1" ht="57.6" x14ac:dyDescent="0.3">
      <c r="B185" s="28">
        <v>7</v>
      </c>
      <c r="C185" s="5" t="s">
        <v>111</v>
      </c>
      <c r="D185" s="5" t="s">
        <v>73</v>
      </c>
      <c r="E185" s="13">
        <f>+E186+E187</f>
        <v>52104667</v>
      </c>
      <c r="F185" s="13">
        <f t="shared" ref="F185:H185" si="133">+F186+F187</f>
        <v>52104667</v>
      </c>
      <c r="G185" s="83">
        <f t="shared" si="125"/>
        <v>1</v>
      </c>
      <c r="H185" s="13">
        <f t="shared" si="133"/>
        <v>52104667</v>
      </c>
      <c r="I185" s="83">
        <f t="shared" si="126"/>
        <v>1</v>
      </c>
      <c r="J185" s="16"/>
      <c r="K185" s="9">
        <f>+K186+K187</f>
        <v>0</v>
      </c>
      <c r="L185" s="80">
        <f t="shared" si="127"/>
        <v>0</v>
      </c>
      <c r="M185" s="9">
        <f t="shared" ref="M185:Q185" si="134">+M186+M187</f>
        <v>23017873.412190683</v>
      </c>
      <c r="N185" s="80">
        <f t="shared" si="128"/>
        <v>0.44176222088111</v>
      </c>
      <c r="O185" s="9">
        <f t="shared" si="134"/>
        <v>27074301.923355464</v>
      </c>
      <c r="P185" s="80">
        <f t="shared" si="129"/>
        <v>0.51961375980687996</v>
      </c>
      <c r="Q185" s="9">
        <f t="shared" si="134"/>
        <v>2012491.6644538343</v>
      </c>
      <c r="R185" s="80">
        <f t="shared" si="130"/>
        <v>3.8624019312009698E-2</v>
      </c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</row>
    <row r="186" spans="1:46" s="36" customFormat="1" ht="57.6" x14ac:dyDescent="0.3">
      <c r="B186" s="33">
        <v>7</v>
      </c>
      <c r="C186" s="34" t="s">
        <v>111</v>
      </c>
      <c r="D186" s="40" t="s">
        <v>95</v>
      </c>
      <c r="E186" s="48">
        <v>47777167</v>
      </c>
      <c r="F186" s="48">
        <v>47777167</v>
      </c>
      <c r="G186" s="74">
        <f t="shared" si="125"/>
        <v>1</v>
      </c>
      <c r="H186" s="48">
        <v>47777167</v>
      </c>
      <c r="I186" s="74">
        <f t="shared" si="126"/>
        <v>1</v>
      </c>
      <c r="J186" s="37"/>
      <c r="K186" s="39"/>
      <c r="L186" s="79">
        <f t="shared" si="127"/>
        <v>0</v>
      </c>
      <c r="M186" s="39">
        <f>F186*0.44176222088111</f>
        <v>21106147.401327681</v>
      </c>
      <c r="N186" s="79">
        <f t="shared" si="128"/>
        <v>0.44176222088111</v>
      </c>
      <c r="O186" s="39">
        <f>F186*0.51961375980688</f>
        <v>24825673.377791192</v>
      </c>
      <c r="P186" s="79">
        <f t="shared" si="129"/>
        <v>0.51961375980687996</v>
      </c>
      <c r="Q186" s="39">
        <f>H186*0.0386240193120097</f>
        <v>1845346.2208811124</v>
      </c>
      <c r="R186" s="79">
        <f t="shared" si="130"/>
        <v>3.8624019312009698E-2</v>
      </c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  <c r="AL186" s="38"/>
      <c r="AM186" s="38"/>
      <c r="AN186" s="38"/>
      <c r="AO186" s="38"/>
      <c r="AP186" s="38"/>
      <c r="AQ186" s="38"/>
      <c r="AR186" s="38"/>
      <c r="AS186" s="38"/>
      <c r="AT186" s="38"/>
    </row>
    <row r="187" spans="1:46" s="36" customFormat="1" ht="57.6" x14ac:dyDescent="0.3">
      <c r="B187" s="33">
        <v>7</v>
      </c>
      <c r="C187" s="34" t="s">
        <v>111</v>
      </c>
      <c r="D187" s="40" t="s">
        <v>85</v>
      </c>
      <c r="E187" s="43">
        <v>4327500</v>
      </c>
      <c r="F187" s="43">
        <v>4327500</v>
      </c>
      <c r="G187" s="74">
        <f t="shared" si="125"/>
        <v>1</v>
      </c>
      <c r="H187" s="43">
        <v>4327500</v>
      </c>
      <c r="I187" s="74">
        <f t="shared" si="126"/>
        <v>1</v>
      </c>
      <c r="J187" s="37"/>
      <c r="K187" s="39"/>
      <c r="L187" s="79">
        <f t="shared" si="127"/>
        <v>0</v>
      </c>
      <c r="M187" s="39">
        <f>F187*0.44176222088111</f>
        <v>1911726.0108630036</v>
      </c>
      <c r="N187" s="79">
        <f t="shared" si="128"/>
        <v>0.44176222088111</v>
      </c>
      <c r="O187" s="39">
        <f>F187*0.51961375980688</f>
        <v>2248628.5455642729</v>
      </c>
      <c r="P187" s="79">
        <f t="shared" si="129"/>
        <v>0.51961375980687996</v>
      </c>
      <c r="Q187" s="39">
        <f>H187*0.0386240193120097</f>
        <v>167145.44357272197</v>
      </c>
      <c r="R187" s="79">
        <f t="shared" si="130"/>
        <v>3.8624019312009698E-2</v>
      </c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  <c r="AJ187" s="38"/>
      <c r="AK187" s="38"/>
      <c r="AL187" s="38"/>
      <c r="AM187" s="38"/>
      <c r="AN187" s="38"/>
      <c r="AO187" s="38"/>
      <c r="AP187" s="38"/>
      <c r="AQ187" s="38"/>
      <c r="AR187" s="38"/>
      <c r="AS187" s="38"/>
      <c r="AT187" s="38"/>
    </row>
    <row r="188" spans="1:46" s="2" customFormat="1" ht="57.6" x14ac:dyDescent="0.3">
      <c r="B188" s="27">
        <v>7</v>
      </c>
      <c r="C188" s="4" t="s">
        <v>111</v>
      </c>
      <c r="D188" s="4" t="s">
        <v>74</v>
      </c>
      <c r="E188" s="17">
        <f>E189+E192+E196+E201</f>
        <v>2710610149</v>
      </c>
      <c r="F188" s="17">
        <f t="shared" ref="F188:H188" si="135">F189+F192+F196+F201</f>
        <v>2696622844</v>
      </c>
      <c r="G188" s="82">
        <f t="shared" si="125"/>
        <v>0.99483979464728256</v>
      </c>
      <c r="H188" s="17">
        <f t="shared" si="135"/>
        <v>2696622844</v>
      </c>
      <c r="I188" s="82">
        <f t="shared" si="126"/>
        <v>0.99483979464728256</v>
      </c>
      <c r="J188" s="16"/>
      <c r="K188" s="17">
        <f>+K189+K192+K196+K201</f>
        <v>280022567.5519588</v>
      </c>
      <c r="L188" s="82">
        <f t="shared" si="127"/>
        <v>0.10384194741026187</v>
      </c>
      <c r="M188" s="17">
        <f t="shared" ref="M188:Q188" si="136">+M189+M192+M196+M201</f>
        <v>790402261.71008348</v>
      </c>
      <c r="N188" s="82">
        <f t="shared" si="128"/>
        <v>0.29310819771060409</v>
      </c>
      <c r="O188" s="17">
        <f t="shared" si="136"/>
        <v>599084541.8058604</v>
      </c>
      <c r="P188" s="82">
        <f t="shared" si="129"/>
        <v>0.22216104233442457</v>
      </c>
      <c r="Q188" s="17">
        <f t="shared" si="136"/>
        <v>1027113472.9320973</v>
      </c>
      <c r="R188" s="82">
        <f t="shared" si="130"/>
        <v>0.38088881254470947</v>
      </c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</row>
    <row r="189" spans="1:46" s="24" customFormat="1" ht="57.6" x14ac:dyDescent="0.3">
      <c r="A189" s="2"/>
      <c r="B189" s="28">
        <v>7</v>
      </c>
      <c r="C189" s="5" t="s">
        <v>111</v>
      </c>
      <c r="D189" s="5" t="s">
        <v>75</v>
      </c>
      <c r="E189" s="11">
        <f>+E190+E191</f>
        <v>486679002</v>
      </c>
      <c r="F189" s="11">
        <f t="shared" ref="F189:H189" si="137">+F190+F191</f>
        <v>486679002</v>
      </c>
      <c r="G189" s="83">
        <f t="shared" si="125"/>
        <v>1</v>
      </c>
      <c r="H189" s="11">
        <f t="shared" si="137"/>
        <v>486679002</v>
      </c>
      <c r="I189" s="83">
        <f t="shared" si="126"/>
        <v>1</v>
      </c>
      <c r="J189" s="16"/>
      <c r="K189" s="9">
        <f>+K190+K191</f>
        <v>61453399.727779604</v>
      </c>
      <c r="L189" s="80">
        <f t="shared" si="127"/>
        <v>0.12627090849458839</v>
      </c>
      <c r="M189" s="9">
        <f t="shared" ref="M189:Q189" si="138">+M190+M191</f>
        <v>247729029.55198425</v>
      </c>
      <c r="N189" s="80">
        <f t="shared" si="128"/>
        <v>0.50901935060675629</v>
      </c>
      <c r="O189" s="9">
        <f t="shared" si="138"/>
        <v>37670135.937028535</v>
      </c>
      <c r="P189" s="80">
        <f t="shared" si="129"/>
        <v>7.7402427025254184E-2</v>
      </c>
      <c r="Q189" s="9">
        <f t="shared" si="138"/>
        <v>139826436.78320763</v>
      </c>
      <c r="R189" s="80">
        <f t="shared" si="130"/>
        <v>0.28730731387340114</v>
      </c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</row>
    <row r="190" spans="1:46" s="36" customFormat="1" ht="57.6" x14ac:dyDescent="0.3">
      <c r="B190" s="33">
        <v>7</v>
      </c>
      <c r="C190" s="34" t="s">
        <v>111</v>
      </c>
      <c r="D190" s="49" t="s">
        <v>85</v>
      </c>
      <c r="E190" s="50">
        <v>41996668</v>
      </c>
      <c r="F190" s="50">
        <v>41996668</v>
      </c>
      <c r="G190" s="76">
        <f t="shared" si="125"/>
        <v>1</v>
      </c>
      <c r="H190" s="50">
        <v>41996668</v>
      </c>
      <c r="I190" s="76">
        <f t="shared" si="126"/>
        <v>1</v>
      </c>
      <c r="J190" s="37"/>
      <c r="K190" s="56">
        <f>(F190*770)/6098</f>
        <v>5302957.4221056085</v>
      </c>
      <c r="L190" s="89">
        <f t="shared" si="127"/>
        <v>0.12627090849458839</v>
      </c>
      <c r="M190" s="56">
        <f>(F190*3104)/6098</f>
        <v>21377116.673007544</v>
      </c>
      <c r="N190" s="89">
        <f t="shared" si="128"/>
        <v>0.50901935060675629</v>
      </c>
      <c r="O190" s="56">
        <f>(F190*472)/6098</f>
        <v>3250644.0301738274</v>
      </c>
      <c r="P190" s="89">
        <f t="shared" si="129"/>
        <v>7.7402427025254184E-2</v>
      </c>
      <c r="Q190" s="57">
        <f>(F190*1752)/6098</f>
        <v>12065949.87471302</v>
      </c>
      <c r="R190" s="90">
        <f t="shared" si="130"/>
        <v>0.28730731387340108</v>
      </c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38"/>
      <c r="AM190" s="38"/>
      <c r="AN190" s="38"/>
      <c r="AO190" s="38"/>
      <c r="AP190" s="38"/>
      <c r="AQ190" s="38"/>
      <c r="AR190" s="38"/>
      <c r="AS190" s="38"/>
      <c r="AT190" s="38"/>
    </row>
    <row r="191" spans="1:46" s="36" customFormat="1" ht="57.6" x14ac:dyDescent="0.3">
      <c r="B191" s="33">
        <v>7</v>
      </c>
      <c r="C191" s="34" t="s">
        <v>111</v>
      </c>
      <c r="D191" s="49" t="s">
        <v>95</v>
      </c>
      <c r="E191" s="50">
        <v>444682334</v>
      </c>
      <c r="F191" s="50">
        <v>444682334</v>
      </c>
      <c r="G191" s="76">
        <f t="shared" si="125"/>
        <v>1</v>
      </c>
      <c r="H191" s="50">
        <v>444682334</v>
      </c>
      <c r="I191" s="76">
        <f t="shared" si="126"/>
        <v>1</v>
      </c>
      <c r="J191" s="37"/>
      <c r="K191" s="56">
        <f>(F191*770)/6098</f>
        <v>56150442.305673994</v>
      </c>
      <c r="L191" s="89">
        <f t="shared" si="127"/>
        <v>0.12627090849458839</v>
      </c>
      <c r="M191" s="56">
        <f>(F191*3104)/6098</f>
        <v>226351912.8789767</v>
      </c>
      <c r="N191" s="89">
        <f t="shared" si="128"/>
        <v>0.50901935060675629</v>
      </c>
      <c r="O191" s="56">
        <f>(F191*472)/6098</f>
        <v>34419491.906854704</v>
      </c>
      <c r="P191" s="89">
        <f t="shared" si="129"/>
        <v>7.740242702525417E-2</v>
      </c>
      <c r="Q191" s="51">
        <f>(F191*1752)/6098</f>
        <v>127760486.90849459</v>
      </c>
      <c r="R191" s="90">
        <f t="shared" si="130"/>
        <v>0.28730731387340114</v>
      </c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38"/>
      <c r="AM191" s="38"/>
      <c r="AN191" s="38"/>
      <c r="AO191" s="38"/>
      <c r="AP191" s="38"/>
      <c r="AQ191" s="38"/>
      <c r="AR191" s="38"/>
      <c r="AS191" s="38"/>
      <c r="AT191" s="38"/>
    </row>
    <row r="192" spans="1:46" s="24" customFormat="1" ht="57.6" x14ac:dyDescent="0.3">
      <c r="A192" s="2"/>
      <c r="B192" s="28">
        <v>7</v>
      </c>
      <c r="C192" s="5" t="s">
        <v>111</v>
      </c>
      <c r="D192" s="5" t="s">
        <v>76</v>
      </c>
      <c r="E192" s="11">
        <f>+E193+E194+E195</f>
        <v>1636777614</v>
      </c>
      <c r="F192" s="11">
        <f t="shared" ref="F192:H192" si="139">+F193+F194+F195</f>
        <v>1636777614</v>
      </c>
      <c r="G192" s="83">
        <f t="shared" si="125"/>
        <v>1</v>
      </c>
      <c r="H192" s="11">
        <f t="shared" si="139"/>
        <v>1636777614</v>
      </c>
      <c r="I192" s="83">
        <f t="shared" si="126"/>
        <v>1</v>
      </c>
      <c r="J192" s="16"/>
      <c r="K192" s="9">
        <f>+K193+K194+K195</f>
        <v>163672647.90812585</v>
      </c>
      <c r="L192" s="80">
        <f t="shared" si="127"/>
        <v>9.9996875878659131E-2</v>
      </c>
      <c r="M192" s="9">
        <f t="shared" ref="M192:Q192" si="140">+M193+M194+M195</f>
        <v>409191846.75406289</v>
      </c>
      <c r="N192" s="80">
        <f t="shared" si="128"/>
        <v>0.24999843793932955</v>
      </c>
      <c r="O192" s="9">
        <f t="shared" si="140"/>
        <v>491028170.70812583</v>
      </c>
      <c r="P192" s="80">
        <f t="shared" si="129"/>
        <v>0.29999687587865914</v>
      </c>
      <c r="Q192" s="9">
        <f t="shared" si="140"/>
        <v>572884948.6296854</v>
      </c>
      <c r="R192" s="80">
        <f t="shared" si="130"/>
        <v>0.35000781030335221</v>
      </c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</row>
    <row r="193" spans="1:46" s="36" customFormat="1" ht="57.6" x14ac:dyDescent="0.3">
      <c r="B193" s="33">
        <v>7</v>
      </c>
      <c r="C193" s="34" t="s">
        <v>111</v>
      </c>
      <c r="D193" s="49" t="s">
        <v>95</v>
      </c>
      <c r="E193" s="50">
        <v>318195015</v>
      </c>
      <c r="F193" s="50">
        <v>318195015</v>
      </c>
      <c r="G193" s="76">
        <f t="shared" si="125"/>
        <v>1</v>
      </c>
      <c r="H193" s="50">
        <v>318195015</v>
      </c>
      <c r="I193" s="76">
        <f t="shared" si="126"/>
        <v>1</v>
      </c>
      <c r="J193" s="37"/>
      <c r="K193" s="51">
        <f>(F193*16004)/ 160045</f>
        <v>31818507.42016308</v>
      </c>
      <c r="L193" s="90">
        <f t="shared" si="127"/>
        <v>9.9996875878659131E-2</v>
      </c>
      <c r="M193" s="51">
        <f>(F193*40011)/ 160045</f>
        <v>79548256.710081533</v>
      </c>
      <c r="N193" s="90">
        <f t="shared" si="128"/>
        <v>0.24999843793932955</v>
      </c>
      <c r="O193" s="51">
        <f>(F193*48013)/ 160045</f>
        <v>95457510.42016308</v>
      </c>
      <c r="P193" s="90">
        <f t="shared" si="129"/>
        <v>0.29999687587865914</v>
      </c>
      <c r="Q193" s="51">
        <f>(F193*56017)/ 160045</f>
        <v>111370740.44959231</v>
      </c>
      <c r="R193" s="90">
        <f t="shared" si="130"/>
        <v>0.35000781030335221</v>
      </c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  <c r="AL193" s="38"/>
      <c r="AM193" s="38"/>
      <c r="AN193" s="38"/>
      <c r="AO193" s="38"/>
      <c r="AP193" s="38"/>
      <c r="AQ193" s="38"/>
      <c r="AR193" s="38"/>
      <c r="AS193" s="38"/>
      <c r="AT193" s="38"/>
    </row>
    <row r="194" spans="1:46" s="36" customFormat="1" ht="57.6" x14ac:dyDescent="0.3">
      <c r="B194" s="33">
        <v>7</v>
      </c>
      <c r="C194" s="34" t="s">
        <v>111</v>
      </c>
      <c r="D194" s="49" t="s">
        <v>85</v>
      </c>
      <c r="E194" s="50">
        <v>319586660</v>
      </c>
      <c r="F194" s="50">
        <v>319586660</v>
      </c>
      <c r="G194" s="76">
        <f t="shared" si="125"/>
        <v>1</v>
      </c>
      <c r="H194" s="50">
        <v>319586660</v>
      </c>
      <c r="I194" s="76">
        <f t="shared" si="126"/>
        <v>1</v>
      </c>
      <c r="J194" s="37"/>
      <c r="K194" s="51">
        <f>(F194*16004)/ 160045</f>
        <v>31957667.572495237</v>
      </c>
      <c r="L194" s="90">
        <f t="shared" si="127"/>
        <v>9.9996875878659131E-2</v>
      </c>
      <c r="M194" s="51">
        <f>(F194*40011)/ 160045</f>
        <v>79896165.786247611</v>
      </c>
      <c r="N194" s="90">
        <f t="shared" si="128"/>
        <v>0.24999843793932955</v>
      </c>
      <c r="O194" s="51">
        <f>(F194*48013)/ 160045</f>
        <v>95874999.572495237</v>
      </c>
      <c r="P194" s="90">
        <f t="shared" si="129"/>
        <v>0.29999687587865914</v>
      </c>
      <c r="Q194" s="51">
        <f>(F194*56017)/ 160045</f>
        <v>111857827.06876191</v>
      </c>
      <c r="R194" s="90">
        <f t="shared" si="130"/>
        <v>0.35000781030335221</v>
      </c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  <c r="AL194" s="38"/>
      <c r="AM194" s="38"/>
      <c r="AN194" s="38"/>
      <c r="AO194" s="38"/>
      <c r="AP194" s="38"/>
      <c r="AQ194" s="38"/>
      <c r="AR194" s="38"/>
      <c r="AS194" s="38"/>
      <c r="AT194" s="38"/>
    </row>
    <row r="195" spans="1:46" s="36" customFormat="1" ht="57.6" x14ac:dyDescent="0.3">
      <c r="B195" s="33">
        <v>7</v>
      </c>
      <c r="C195" s="34" t="s">
        <v>111</v>
      </c>
      <c r="D195" s="52" t="s">
        <v>101</v>
      </c>
      <c r="E195" s="47">
        <v>998995939</v>
      </c>
      <c r="F195" s="47">
        <v>998995939</v>
      </c>
      <c r="G195" s="84">
        <f t="shared" si="125"/>
        <v>1</v>
      </c>
      <c r="H195" s="50">
        <v>998995939</v>
      </c>
      <c r="I195" s="76">
        <f t="shared" si="126"/>
        <v>1</v>
      </c>
      <c r="J195" s="37"/>
      <c r="K195" s="51">
        <f>(F195*16004)/ 160045</f>
        <v>99896472.91546753</v>
      </c>
      <c r="L195" s="90">
        <f t="shared" si="127"/>
        <v>9.9996875878659131E-2</v>
      </c>
      <c r="M195" s="51">
        <f>(F195*40011)/ 160045</f>
        <v>249747424.25773376</v>
      </c>
      <c r="N195" s="90">
        <f t="shared" si="128"/>
        <v>0.24999843793932958</v>
      </c>
      <c r="O195" s="51">
        <f>(F195*48013)/ 160045</f>
        <v>299695660.71546751</v>
      </c>
      <c r="P195" s="90">
        <f t="shared" si="129"/>
        <v>0.29999687587865914</v>
      </c>
      <c r="Q195" s="51">
        <f>(F195*56017)/ 160045</f>
        <v>349656381.11133116</v>
      </c>
      <c r="R195" s="90">
        <f t="shared" si="130"/>
        <v>0.35000781030335215</v>
      </c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/>
      <c r="AL195" s="38"/>
      <c r="AM195" s="38"/>
      <c r="AN195" s="38"/>
      <c r="AO195" s="38"/>
      <c r="AP195" s="38"/>
      <c r="AQ195" s="38"/>
      <c r="AR195" s="38"/>
      <c r="AS195" s="38"/>
      <c r="AT195" s="38"/>
    </row>
    <row r="196" spans="1:46" s="24" customFormat="1" ht="57.6" x14ac:dyDescent="0.3">
      <c r="A196" s="2"/>
      <c r="B196" s="28">
        <v>7</v>
      </c>
      <c r="C196" s="5" t="s">
        <v>111</v>
      </c>
      <c r="D196" s="5" t="s">
        <v>77</v>
      </c>
      <c r="E196" s="13">
        <f>+E197+E198+E200+E199</f>
        <v>462291700</v>
      </c>
      <c r="F196" s="13">
        <f t="shared" ref="F196:H196" si="141">+F197+F198+F200+F199</f>
        <v>448304395</v>
      </c>
      <c r="G196" s="83">
        <f t="shared" si="125"/>
        <v>0.96974355152818015</v>
      </c>
      <c r="H196" s="13">
        <f t="shared" si="141"/>
        <v>448304395</v>
      </c>
      <c r="I196" s="83">
        <f t="shared" si="126"/>
        <v>0.96974355152818015</v>
      </c>
      <c r="J196" s="16"/>
      <c r="K196" s="9">
        <f>+K197+K198+K199+K200</f>
        <v>54896519.916053355</v>
      </c>
      <c r="L196" s="80">
        <f t="shared" si="127"/>
        <v>0.12245367328164015</v>
      </c>
      <c r="M196" s="9">
        <f t="shared" ref="M196:Q196" si="142">+M197+M198+M199+M200</f>
        <v>96322992.216536328</v>
      </c>
      <c r="N196" s="80">
        <f t="shared" si="128"/>
        <v>0.21486069128663424</v>
      </c>
      <c r="O196" s="9">
        <f t="shared" si="142"/>
        <v>53699755.160706073</v>
      </c>
      <c r="P196" s="80">
        <f t="shared" si="129"/>
        <v>0.11978413720594033</v>
      </c>
      <c r="Q196" s="9">
        <f t="shared" si="142"/>
        <v>243385127.70670423</v>
      </c>
      <c r="R196" s="80">
        <f t="shared" si="130"/>
        <v>0.54290149822578526</v>
      </c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</row>
    <row r="197" spans="1:46" s="36" customFormat="1" ht="57.6" x14ac:dyDescent="0.3">
      <c r="B197" s="33">
        <v>7</v>
      </c>
      <c r="C197" s="34" t="s">
        <v>111</v>
      </c>
      <c r="D197" s="49" t="s">
        <v>101</v>
      </c>
      <c r="E197" s="43">
        <v>108463474</v>
      </c>
      <c r="F197" s="43">
        <v>99105147</v>
      </c>
      <c r="G197" s="74">
        <f t="shared" si="125"/>
        <v>0.91371909219872494</v>
      </c>
      <c r="H197" s="43">
        <v>99105147</v>
      </c>
      <c r="I197" s="74">
        <f t="shared" si="126"/>
        <v>0.91371909219872494</v>
      </c>
      <c r="J197" s="37"/>
      <c r="K197" s="53">
        <f>(F197*14908)/121744</f>
        <v>12135789.29126692</v>
      </c>
      <c r="L197" s="90">
        <f t="shared" si="127"/>
        <v>0.12245367328164015</v>
      </c>
      <c r="M197" s="53">
        <f>(F197*26158)/121744</f>
        <v>21293800.394483507</v>
      </c>
      <c r="N197" s="90">
        <f t="shared" si="128"/>
        <v>0.21486069128663426</v>
      </c>
      <c r="O197" s="53">
        <f>(F197*14583)/121744</f>
        <v>11871224.526062885</v>
      </c>
      <c r="P197" s="90">
        <f t="shared" si="129"/>
        <v>0.11978413720594033</v>
      </c>
      <c r="Q197" s="53">
        <f>(F197*66095)/121744</f>
        <v>53804332.788186684</v>
      </c>
      <c r="R197" s="90">
        <f t="shared" si="130"/>
        <v>0.54290149822578526</v>
      </c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/>
      <c r="AL197" s="38"/>
      <c r="AM197" s="38"/>
      <c r="AN197" s="38"/>
      <c r="AO197" s="38"/>
      <c r="AP197" s="38"/>
      <c r="AQ197" s="38"/>
      <c r="AR197" s="38"/>
      <c r="AS197" s="38"/>
      <c r="AT197" s="38"/>
    </row>
    <row r="198" spans="1:46" s="36" customFormat="1" ht="57.6" x14ac:dyDescent="0.3">
      <c r="B198" s="33">
        <v>7</v>
      </c>
      <c r="C198" s="34" t="s">
        <v>111</v>
      </c>
      <c r="D198" s="49" t="s">
        <v>95</v>
      </c>
      <c r="E198" s="43">
        <v>165520000</v>
      </c>
      <c r="F198" s="43">
        <v>165520000</v>
      </c>
      <c r="G198" s="74">
        <f t="shared" si="125"/>
        <v>1</v>
      </c>
      <c r="H198" s="43">
        <v>165520000</v>
      </c>
      <c r="I198" s="74">
        <f t="shared" si="126"/>
        <v>1</v>
      </c>
      <c r="J198" s="37"/>
      <c r="K198" s="53">
        <f>(F198*14908)/121744</f>
        <v>20268532.001577079</v>
      </c>
      <c r="L198" s="90">
        <f t="shared" si="127"/>
        <v>0.12245367328164015</v>
      </c>
      <c r="M198" s="53">
        <f>(F198*26158)/121744</f>
        <v>35563741.621763699</v>
      </c>
      <c r="N198" s="90">
        <f t="shared" si="128"/>
        <v>0.21486069128663424</v>
      </c>
      <c r="O198" s="53">
        <f>(F198*14583)/121744</f>
        <v>19826670.390327245</v>
      </c>
      <c r="P198" s="90">
        <f t="shared" si="129"/>
        <v>0.11978413720594033</v>
      </c>
      <c r="Q198" s="53">
        <f>(F198*66095)/121744</f>
        <v>89861055.986331969</v>
      </c>
      <c r="R198" s="90">
        <f t="shared" si="130"/>
        <v>0.54290149822578526</v>
      </c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  <c r="AJ198" s="38"/>
      <c r="AK198" s="38"/>
      <c r="AL198" s="38"/>
      <c r="AM198" s="38"/>
      <c r="AN198" s="38"/>
      <c r="AO198" s="38"/>
      <c r="AP198" s="38"/>
      <c r="AQ198" s="38"/>
      <c r="AR198" s="38"/>
      <c r="AS198" s="38"/>
      <c r="AT198" s="38"/>
    </row>
    <row r="199" spans="1:46" s="36" customFormat="1" ht="57.6" x14ac:dyDescent="0.3">
      <c r="B199" s="33">
        <v>7</v>
      </c>
      <c r="C199" s="34" t="s">
        <v>111</v>
      </c>
      <c r="D199" s="49" t="s">
        <v>84</v>
      </c>
      <c r="E199" s="43">
        <v>79500250</v>
      </c>
      <c r="F199" s="43">
        <v>79500250</v>
      </c>
      <c r="G199" s="74">
        <f t="shared" si="125"/>
        <v>1</v>
      </c>
      <c r="H199" s="43">
        <v>79500250</v>
      </c>
      <c r="I199" s="74">
        <f t="shared" si="126"/>
        <v>1</v>
      </c>
      <c r="J199" s="37"/>
      <c r="K199" s="53">
        <f>(F199*14908)/121744</f>
        <v>9735097.6393087134</v>
      </c>
      <c r="L199" s="90">
        <f t="shared" si="127"/>
        <v>0.12245367328164017</v>
      </c>
      <c r="M199" s="53">
        <f>(F199*26158)/121744</f>
        <v>17081478.672460243</v>
      </c>
      <c r="N199" s="90">
        <f t="shared" si="128"/>
        <v>0.21486069128663424</v>
      </c>
      <c r="O199" s="53">
        <f>(F199*14583)/121744</f>
        <v>9522868.8539065588</v>
      </c>
      <c r="P199" s="90">
        <f t="shared" si="129"/>
        <v>0.11978413720594035</v>
      </c>
      <c r="Q199" s="53">
        <f>(F199*66095)/121744</f>
        <v>43160804.834324487</v>
      </c>
      <c r="R199" s="90">
        <f t="shared" si="130"/>
        <v>0.54290149822578526</v>
      </c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  <c r="AK199" s="38"/>
      <c r="AL199" s="38"/>
      <c r="AM199" s="38"/>
      <c r="AN199" s="38"/>
      <c r="AO199" s="38"/>
      <c r="AP199" s="38"/>
      <c r="AQ199" s="38"/>
      <c r="AR199" s="38"/>
      <c r="AS199" s="38"/>
      <c r="AT199" s="38"/>
    </row>
    <row r="200" spans="1:46" s="36" customFormat="1" ht="57.6" x14ac:dyDescent="0.3">
      <c r="B200" s="33">
        <v>7</v>
      </c>
      <c r="C200" s="34" t="s">
        <v>111</v>
      </c>
      <c r="D200" s="49" t="s">
        <v>85</v>
      </c>
      <c r="E200" s="43">
        <v>108807976</v>
      </c>
      <c r="F200" s="43">
        <v>104178998</v>
      </c>
      <c r="G200" s="74">
        <f t="shared" si="125"/>
        <v>0.95745736507404566</v>
      </c>
      <c r="H200" s="43">
        <v>104178998</v>
      </c>
      <c r="I200" s="74">
        <f t="shared" si="126"/>
        <v>0.95745736507404566</v>
      </c>
      <c r="J200" s="37"/>
      <c r="K200" s="53">
        <f>(F200*14908)/121744</f>
        <v>12757100.983900644</v>
      </c>
      <c r="L200" s="90">
        <f t="shared" si="127"/>
        <v>0.12245367328164017</v>
      </c>
      <c r="M200" s="53">
        <f>(F200*26158)/121744</f>
        <v>22383971.527828887</v>
      </c>
      <c r="N200" s="90">
        <f t="shared" si="128"/>
        <v>0.21486069128663426</v>
      </c>
      <c r="O200" s="53">
        <f>(F200*14583)/121744</f>
        <v>12478991.390409384</v>
      </c>
      <c r="P200" s="90">
        <f t="shared" si="129"/>
        <v>0.11978413720594033</v>
      </c>
      <c r="Q200" s="53">
        <f>(F200*66095)/121744</f>
        <v>56558934.097861089</v>
      </c>
      <c r="R200" s="90">
        <f t="shared" si="130"/>
        <v>0.54290149822578526</v>
      </c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  <c r="AI200" s="38"/>
      <c r="AJ200" s="38"/>
      <c r="AK200" s="38"/>
      <c r="AL200" s="38"/>
      <c r="AM200" s="38"/>
      <c r="AN200" s="38"/>
      <c r="AO200" s="38"/>
      <c r="AP200" s="38"/>
      <c r="AQ200" s="38"/>
      <c r="AR200" s="38"/>
      <c r="AS200" s="38"/>
      <c r="AT200" s="38"/>
    </row>
    <row r="201" spans="1:46" s="24" customFormat="1" ht="57.6" x14ac:dyDescent="0.3">
      <c r="A201" s="2"/>
      <c r="B201" s="28">
        <v>7</v>
      </c>
      <c r="C201" s="5" t="s">
        <v>111</v>
      </c>
      <c r="D201" s="5" t="s">
        <v>78</v>
      </c>
      <c r="E201" s="13">
        <f>+E202+E203+E204+E205</f>
        <v>124861833</v>
      </c>
      <c r="F201" s="13">
        <f t="shared" ref="F201:H201" si="143">+F202+F203+F204+F205</f>
        <v>124861833</v>
      </c>
      <c r="G201" s="83">
        <f t="shared" si="125"/>
        <v>1</v>
      </c>
      <c r="H201" s="13">
        <f t="shared" si="143"/>
        <v>124861833</v>
      </c>
      <c r="I201" s="83">
        <f t="shared" si="126"/>
        <v>1</v>
      </c>
      <c r="J201" s="16"/>
      <c r="K201" s="9">
        <f>+K202+K203+K204+K205</f>
        <v>0</v>
      </c>
      <c r="L201" s="80">
        <f t="shared" si="127"/>
        <v>0</v>
      </c>
      <c r="M201" s="9">
        <f t="shared" ref="M201:Q201" si="144">+M202+M203+M204+M205</f>
        <v>37158393.1875</v>
      </c>
      <c r="N201" s="80">
        <f t="shared" si="128"/>
        <v>0.2975960891708197</v>
      </c>
      <c r="O201" s="9">
        <f t="shared" si="144"/>
        <v>16686480</v>
      </c>
      <c r="P201" s="80">
        <f t="shared" si="129"/>
        <v>0.13363955661294832</v>
      </c>
      <c r="Q201" s="9">
        <f t="shared" si="144"/>
        <v>71016959.8125</v>
      </c>
      <c r="R201" s="80">
        <f t="shared" si="130"/>
        <v>0.56876435421623195</v>
      </c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</row>
    <row r="202" spans="1:46" s="36" customFormat="1" ht="57.6" x14ac:dyDescent="0.3">
      <c r="B202" s="33">
        <v>7</v>
      </c>
      <c r="C202" s="34" t="s">
        <v>111</v>
      </c>
      <c r="D202" s="49" t="s">
        <v>101</v>
      </c>
      <c r="E202" s="43">
        <v>64290500</v>
      </c>
      <c r="F202" s="43">
        <v>64290500</v>
      </c>
      <c r="G202" s="74">
        <f t="shared" si="125"/>
        <v>1</v>
      </c>
      <c r="H202" s="43">
        <v>64290500</v>
      </c>
      <c r="I202" s="74">
        <f t="shared" si="126"/>
        <v>1</v>
      </c>
      <c r="J202" s="37"/>
      <c r="K202" s="47"/>
      <c r="L202" s="84">
        <f t="shared" si="127"/>
        <v>0</v>
      </c>
      <c r="M202" s="47">
        <f>+F202*0.27</f>
        <v>17358435</v>
      </c>
      <c r="N202" s="84">
        <f t="shared" si="128"/>
        <v>0.27</v>
      </c>
      <c r="O202" s="47">
        <f>+F202*0.16</f>
        <v>10286480</v>
      </c>
      <c r="P202" s="84">
        <f t="shared" si="129"/>
        <v>0.16</v>
      </c>
      <c r="Q202" s="47">
        <f>+F202*0.57</f>
        <v>36645585</v>
      </c>
      <c r="R202" s="84">
        <f t="shared" si="130"/>
        <v>0.56999999999999995</v>
      </c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  <c r="AI202" s="38"/>
      <c r="AJ202" s="38"/>
      <c r="AK202" s="38"/>
      <c r="AL202" s="38"/>
      <c r="AM202" s="38"/>
      <c r="AN202" s="38"/>
      <c r="AO202" s="38"/>
      <c r="AP202" s="38"/>
      <c r="AQ202" s="38"/>
      <c r="AR202" s="38"/>
      <c r="AS202" s="38"/>
      <c r="AT202" s="38"/>
    </row>
    <row r="203" spans="1:46" s="36" customFormat="1" ht="57.6" x14ac:dyDescent="0.3">
      <c r="B203" s="33">
        <v>7</v>
      </c>
      <c r="C203" s="34" t="s">
        <v>111</v>
      </c>
      <c r="D203" s="49" t="s">
        <v>95</v>
      </c>
      <c r="E203" s="43">
        <v>15571333</v>
      </c>
      <c r="F203" s="43">
        <v>15571333</v>
      </c>
      <c r="G203" s="74">
        <f t="shared" si="125"/>
        <v>1</v>
      </c>
      <c r="H203" s="43">
        <v>15571333</v>
      </c>
      <c r="I203" s="74">
        <f t="shared" si="126"/>
        <v>1</v>
      </c>
      <c r="J203" s="37"/>
      <c r="K203" s="47"/>
      <c r="L203" s="84">
        <f t="shared" si="127"/>
        <v>0</v>
      </c>
      <c r="M203" s="47">
        <f>+F203*0.4375</f>
        <v>6812458.1875</v>
      </c>
      <c r="N203" s="84">
        <f t="shared" si="128"/>
        <v>0.4375</v>
      </c>
      <c r="O203" s="47"/>
      <c r="P203" s="84">
        <f t="shared" si="129"/>
        <v>0</v>
      </c>
      <c r="Q203" s="47">
        <f>+F203*0.5625</f>
        <v>8758874.8125</v>
      </c>
      <c r="R203" s="84">
        <f t="shared" si="130"/>
        <v>0.5625</v>
      </c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F203" s="38"/>
      <c r="AG203" s="38"/>
      <c r="AH203" s="38"/>
      <c r="AI203" s="38"/>
      <c r="AJ203" s="38"/>
      <c r="AK203" s="38"/>
      <c r="AL203" s="38"/>
      <c r="AM203" s="38"/>
      <c r="AN203" s="38"/>
      <c r="AO203" s="38"/>
      <c r="AP203" s="38"/>
      <c r="AQ203" s="38"/>
      <c r="AR203" s="38"/>
      <c r="AS203" s="38"/>
      <c r="AT203" s="38"/>
    </row>
    <row r="204" spans="1:46" s="36" customFormat="1" ht="57.6" x14ac:dyDescent="0.3">
      <c r="B204" s="33">
        <v>7</v>
      </c>
      <c r="C204" s="34" t="s">
        <v>111</v>
      </c>
      <c r="D204" s="49" t="s">
        <v>84</v>
      </c>
      <c r="E204" s="64">
        <v>40000000</v>
      </c>
      <c r="F204" s="64">
        <v>40000000</v>
      </c>
      <c r="G204" s="74">
        <f t="shared" si="125"/>
        <v>1</v>
      </c>
      <c r="H204" s="64">
        <v>40000000</v>
      </c>
      <c r="I204" s="74">
        <f t="shared" si="126"/>
        <v>1</v>
      </c>
      <c r="J204" s="37"/>
      <c r="K204" s="47"/>
      <c r="L204" s="84">
        <f t="shared" si="127"/>
        <v>0</v>
      </c>
      <c r="M204" s="47">
        <f>+F204*0.27</f>
        <v>10800000</v>
      </c>
      <c r="N204" s="84">
        <f t="shared" si="128"/>
        <v>0.27</v>
      </c>
      <c r="O204" s="47">
        <f>+F204*0.16</f>
        <v>6400000</v>
      </c>
      <c r="P204" s="84">
        <f t="shared" si="129"/>
        <v>0.16</v>
      </c>
      <c r="Q204" s="47">
        <f>+F204*0.57</f>
        <v>22799999.999999996</v>
      </c>
      <c r="R204" s="84">
        <f t="shared" si="130"/>
        <v>0.56999999999999995</v>
      </c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F204" s="38"/>
      <c r="AG204" s="38"/>
      <c r="AH204" s="38"/>
      <c r="AI204" s="38"/>
      <c r="AJ204" s="38"/>
      <c r="AK204" s="38"/>
      <c r="AL204" s="38"/>
      <c r="AM204" s="38"/>
      <c r="AN204" s="38"/>
      <c r="AO204" s="38"/>
      <c r="AP204" s="38"/>
      <c r="AQ204" s="38"/>
      <c r="AR204" s="38"/>
      <c r="AS204" s="38"/>
      <c r="AT204" s="38"/>
    </row>
    <row r="205" spans="1:46" s="36" customFormat="1" ht="57.6" x14ac:dyDescent="0.3">
      <c r="B205" s="33">
        <v>7</v>
      </c>
      <c r="C205" s="34" t="s">
        <v>111</v>
      </c>
      <c r="D205" s="49" t="s">
        <v>85</v>
      </c>
      <c r="E205" s="64">
        <v>5000000</v>
      </c>
      <c r="F205" s="64">
        <v>5000000</v>
      </c>
      <c r="G205" s="74">
        <f t="shared" si="125"/>
        <v>1</v>
      </c>
      <c r="H205" s="64">
        <v>5000000</v>
      </c>
      <c r="I205" s="74">
        <f t="shared" si="126"/>
        <v>1</v>
      </c>
      <c r="J205" s="37"/>
      <c r="K205" s="47"/>
      <c r="L205" s="84">
        <f t="shared" si="127"/>
        <v>0</v>
      </c>
      <c r="M205" s="47">
        <f>+F205*0.4375</f>
        <v>2187500</v>
      </c>
      <c r="N205" s="84">
        <f t="shared" si="128"/>
        <v>0.4375</v>
      </c>
      <c r="O205" s="47"/>
      <c r="P205" s="84">
        <f t="shared" si="129"/>
        <v>0</v>
      </c>
      <c r="Q205" s="47">
        <f>+F205*0.5625</f>
        <v>2812500</v>
      </c>
      <c r="R205" s="84">
        <f t="shared" si="130"/>
        <v>0.5625</v>
      </c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  <c r="AJ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</row>
    <row r="206" spans="1:46" s="19" customFormat="1" ht="18.899999999999999" customHeight="1" x14ac:dyDescent="0.3">
      <c r="B206" s="106" t="s">
        <v>79</v>
      </c>
      <c r="C206" s="107"/>
      <c r="D206" s="108"/>
      <c r="E206" s="103">
        <f>+E5+E63+E79+E163+E180+E184+E188</f>
        <v>165880114070</v>
      </c>
      <c r="F206" s="103">
        <f>+F5+F63+F79+F163+F180+F184+F188</f>
        <v>159671464081</v>
      </c>
      <c r="G206" s="104">
        <f t="shared" si="125"/>
        <v>0.96257146298814333</v>
      </c>
      <c r="H206" s="103">
        <f>+H5+H63+H79+H163+H180+H184+H188</f>
        <v>159671464081</v>
      </c>
      <c r="I206" s="104">
        <f t="shared" si="126"/>
        <v>0.96257146298814333</v>
      </c>
      <c r="J206" s="92"/>
      <c r="K206" s="105">
        <f>+K5+K63+K79+K163+K180+K184+K188</f>
        <v>12664343551.563103</v>
      </c>
      <c r="L206" s="104">
        <f t="shared" si="127"/>
        <v>7.9315008630086753E-2</v>
      </c>
      <c r="M206" s="105">
        <f>+M5+M63+M79+M163+M180+M184+M188</f>
        <v>58534550716.631271</v>
      </c>
      <c r="N206" s="104">
        <f t="shared" si="128"/>
        <v>0.36659368694043654</v>
      </c>
      <c r="O206" s="105">
        <f>+O5+O63+O79+O163+O180+O184+O188</f>
        <v>57610031900.296295</v>
      </c>
      <c r="P206" s="104">
        <f t="shared" si="129"/>
        <v>0.36080355517421203</v>
      </c>
      <c r="Q206" s="105">
        <f>+Q5+Q63+Q79+Q163+Q180+Q184+Q188</f>
        <v>30862537912.109322</v>
      </c>
      <c r="R206" s="104">
        <f t="shared" si="130"/>
        <v>0.19328774925275949</v>
      </c>
      <c r="S206" s="93"/>
      <c r="T206" s="93"/>
      <c r="U206" s="93"/>
      <c r="V206" s="93"/>
      <c r="W206" s="93"/>
      <c r="X206" s="93"/>
      <c r="Y206" s="93"/>
      <c r="Z206" s="93"/>
      <c r="AA206" s="93"/>
      <c r="AB206" s="93"/>
      <c r="AC206" s="93"/>
      <c r="AD206" s="93"/>
      <c r="AE206" s="93"/>
      <c r="AF206" s="93"/>
      <c r="AG206" s="93"/>
      <c r="AH206" s="93"/>
      <c r="AI206" s="93"/>
      <c r="AJ206" s="93"/>
      <c r="AK206" s="93"/>
      <c r="AL206" s="93"/>
      <c r="AM206" s="93"/>
      <c r="AN206" s="93"/>
      <c r="AO206" s="93"/>
      <c r="AP206" s="93"/>
      <c r="AQ206" s="93"/>
      <c r="AR206" s="93"/>
      <c r="AS206" s="93"/>
      <c r="AT206" s="93"/>
    </row>
    <row r="211" spans="13:13" x14ac:dyDescent="0.3">
      <c r="M211" s="113"/>
    </row>
  </sheetData>
  <mergeCells count="5">
    <mergeCell ref="B206:D206"/>
    <mergeCell ref="K2:Q2"/>
    <mergeCell ref="B2:H2"/>
    <mergeCell ref="B3:H3"/>
    <mergeCell ref="K3:R3"/>
  </mergeCells>
  <pageMargins left="0.7" right="0.7" top="0.75" bottom="0.75" header="0.3" footer="0.3"/>
  <pageSetup scale="47" orientation="portrait" r:id="rId1"/>
  <ignoredErrors>
    <ignoredError sqref="K190:K191 M190:M191 Q190:Q191 K193:K195 M193:M195 O193:O195 Q193:Q195 K197:K200 M197:M200 O197:O200 Q197:Q200 O190:O191" unlockedFormula="1"/>
    <ignoredError sqref="M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2022</vt:lpstr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Raul camelo</cp:lastModifiedBy>
  <dcterms:created xsi:type="dcterms:W3CDTF">2023-06-24T16:29:09Z</dcterms:created>
  <dcterms:modified xsi:type="dcterms:W3CDTF">2023-06-30T21:43:41Z</dcterms:modified>
</cp:coreProperties>
</file>