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finitivo\"/>
    </mc:Choice>
  </mc:AlternateContent>
  <bookViews>
    <workbookView xWindow="0" yWindow="0" windowWidth="24000" windowHeight="9348"/>
  </bookViews>
  <sheets>
    <sheet name="FUT SUIN 2020" sheetId="2" r:id="rId1"/>
  </sheets>
  <definedNames>
    <definedName name="_xlnm._FilterDatabase" localSheetId="0" hidden="1">'FUT SUIN 2020'!$A$4:$K$122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2" i="2" l="1"/>
  <c r="L122" i="2"/>
  <c r="I122" i="2"/>
  <c r="J122" i="2"/>
  <c r="G122" i="2"/>
  <c r="H122" i="2"/>
  <c r="E122" i="2"/>
  <c r="F122" i="2"/>
  <c r="K121" i="2"/>
  <c r="I121" i="2"/>
  <c r="C121" i="2"/>
  <c r="J121" i="2"/>
  <c r="G121" i="2"/>
  <c r="E121" i="2"/>
  <c r="F121" i="2"/>
  <c r="L121" i="2"/>
  <c r="B121" i="2"/>
  <c r="K120" i="2"/>
  <c r="L120" i="2"/>
  <c r="I120" i="2"/>
  <c r="J120" i="2"/>
  <c r="G120" i="2"/>
  <c r="H120" i="2"/>
  <c r="E120" i="2"/>
  <c r="F120" i="2"/>
  <c r="K119" i="2"/>
  <c r="C119" i="2"/>
  <c r="L119" i="2"/>
  <c r="I119" i="2"/>
  <c r="G119" i="2"/>
  <c r="E119" i="2"/>
  <c r="H119" i="2"/>
  <c r="B119" i="2"/>
  <c r="K118" i="2"/>
  <c r="L118" i="2"/>
  <c r="I118" i="2"/>
  <c r="J118" i="2"/>
  <c r="G118" i="2"/>
  <c r="H118" i="2"/>
  <c r="E118" i="2"/>
  <c r="F118" i="2"/>
  <c r="K117" i="2"/>
  <c r="L117" i="2"/>
  <c r="I117" i="2"/>
  <c r="J117" i="2"/>
  <c r="G117" i="2"/>
  <c r="H117" i="2"/>
  <c r="E117" i="2"/>
  <c r="F117" i="2"/>
  <c r="K116" i="2"/>
  <c r="L116" i="2"/>
  <c r="I116" i="2"/>
  <c r="J116" i="2"/>
  <c r="G116" i="2"/>
  <c r="H116" i="2"/>
  <c r="E116" i="2"/>
  <c r="F116" i="2"/>
  <c r="K115" i="2"/>
  <c r="L115" i="2"/>
  <c r="I115" i="2"/>
  <c r="J115" i="2"/>
  <c r="G115" i="2"/>
  <c r="H115" i="2"/>
  <c r="E115" i="2"/>
  <c r="F115" i="2"/>
  <c r="K114" i="2"/>
  <c r="I114" i="2"/>
  <c r="C114" i="2"/>
  <c r="J114" i="2"/>
  <c r="G114" i="2"/>
  <c r="E114" i="2"/>
  <c r="F114" i="2"/>
  <c r="L114" i="2"/>
  <c r="B114" i="2"/>
  <c r="K110" i="2"/>
  <c r="L110" i="2"/>
  <c r="I110" i="2"/>
  <c r="J110" i="2"/>
  <c r="G110" i="2"/>
  <c r="H110" i="2"/>
  <c r="E110" i="2"/>
  <c r="F110" i="2"/>
  <c r="K109" i="2"/>
  <c r="C109" i="2"/>
  <c r="L109" i="2"/>
  <c r="I109" i="2"/>
  <c r="G109" i="2"/>
  <c r="E109" i="2"/>
  <c r="H109" i="2"/>
  <c r="B109" i="2"/>
  <c r="K108" i="2"/>
  <c r="L108" i="2"/>
  <c r="I108" i="2"/>
  <c r="J108" i="2"/>
  <c r="G108" i="2"/>
  <c r="H108" i="2"/>
  <c r="E108" i="2"/>
  <c r="F108" i="2"/>
  <c r="K106" i="2"/>
  <c r="I106" i="2"/>
  <c r="C106" i="2"/>
  <c r="J106" i="2"/>
  <c r="G106" i="2"/>
  <c r="E106" i="2"/>
  <c r="F106" i="2"/>
  <c r="L106" i="2"/>
  <c r="B106" i="2"/>
  <c r="C103" i="2"/>
  <c r="B103" i="2"/>
  <c r="K102" i="2"/>
  <c r="L102" i="2"/>
  <c r="I102" i="2"/>
  <c r="J102" i="2"/>
  <c r="G102" i="2"/>
  <c r="H102" i="2"/>
  <c r="E102" i="2"/>
  <c r="F102" i="2"/>
  <c r="K101" i="2"/>
  <c r="I101" i="2"/>
  <c r="C101" i="2"/>
  <c r="J101" i="2"/>
  <c r="G101" i="2"/>
  <c r="E101" i="2"/>
  <c r="F101" i="2"/>
  <c r="L101" i="2"/>
  <c r="B101" i="2"/>
  <c r="K100" i="2"/>
  <c r="L100" i="2"/>
  <c r="I100" i="2"/>
  <c r="J100" i="2"/>
  <c r="G100" i="2"/>
  <c r="H100" i="2"/>
  <c r="E100" i="2"/>
  <c r="F100" i="2"/>
  <c r="K99" i="2"/>
  <c r="L99" i="2"/>
  <c r="I99" i="2"/>
  <c r="J99" i="2"/>
  <c r="G99" i="2"/>
  <c r="H99" i="2"/>
  <c r="E99" i="2"/>
  <c r="F99" i="2"/>
  <c r="K98" i="2"/>
  <c r="I98" i="2"/>
  <c r="G98" i="2"/>
  <c r="E98" i="2"/>
  <c r="C98" i="2"/>
  <c r="C97" i="2"/>
  <c r="E97" i="2"/>
  <c r="F97" i="2"/>
  <c r="B98" i="2"/>
  <c r="K97" i="2"/>
  <c r="I97" i="2"/>
  <c r="G97" i="2"/>
  <c r="B97" i="2"/>
  <c r="K96" i="2"/>
  <c r="L96" i="2"/>
  <c r="I96" i="2"/>
  <c r="J96" i="2"/>
  <c r="G96" i="2"/>
  <c r="H96" i="2"/>
  <c r="E96" i="2"/>
  <c r="F96" i="2"/>
  <c r="K95" i="2"/>
  <c r="L95" i="2"/>
  <c r="I95" i="2"/>
  <c r="J95" i="2"/>
  <c r="G95" i="2"/>
  <c r="H95" i="2"/>
  <c r="E95" i="2"/>
  <c r="F95" i="2"/>
  <c r="K94" i="2"/>
  <c r="C94" i="2"/>
  <c r="L94" i="2"/>
  <c r="I94" i="2"/>
  <c r="G94" i="2"/>
  <c r="H94" i="2"/>
  <c r="E94" i="2"/>
  <c r="F94" i="2"/>
  <c r="C93" i="2"/>
  <c r="B94" i="2"/>
  <c r="K93" i="2"/>
  <c r="L93" i="2"/>
  <c r="I93" i="2"/>
  <c r="J93" i="2"/>
  <c r="G93" i="2"/>
  <c r="H93" i="2"/>
  <c r="E93" i="2"/>
  <c r="F93" i="2"/>
  <c r="B93" i="2"/>
  <c r="K88" i="2"/>
  <c r="L88" i="2"/>
  <c r="I88" i="2"/>
  <c r="J88" i="2"/>
  <c r="G88" i="2"/>
  <c r="H88" i="2"/>
  <c r="E88" i="2"/>
  <c r="F88" i="2"/>
  <c r="K87" i="2"/>
  <c r="I87" i="2"/>
  <c r="G87" i="2"/>
  <c r="E87" i="2"/>
  <c r="C87" i="2"/>
  <c r="H87" i="2"/>
  <c r="B87" i="2"/>
  <c r="K86" i="2"/>
  <c r="L86" i="2"/>
  <c r="I86" i="2"/>
  <c r="J86" i="2"/>
  <c r="G86" i="2"/>
  <c r="H86" i="2"/>
  <c r="E86" i="2"/>
  <c r="F86" i="2"/>
  <c r="K85" i="2"/>
  <c r="C85" i="2"/>
  <c r="L85" i="2"/>
  <c r="I85" i="2"/>
  <c r="J85" i="2"/>
  <c r="G85" i="2"/>
  <c r="H85" i="2"/>
  <c r="E85" i="2"/>
  <c r="F85" i="2"/>
  <c r="B85" i="2"/>
  <c r="K84" i="2"/>
  <c r="L84" i="2"/>
  <c r="I84" i="2"/>
  <c r="J84" i="2"/>
  <c r="G84" i="2"/>
  <c r="H84" i="2"/>
  <c r="E84" i="2"/>
  <c r="F84" i="2"/>
  <c r="K83" i="2"/>
  <c r="I83" i="2"/>
  <c r="G83" i="2"/>
  <c r="E83" i="2"/>
  <c r="C83" i="2"/>
  <c r="H83" i="2"/>
  <c r="B83" i="2"/>
  <c r="K82" i="2"/>
  <c r="L82" i="2"/>
  <c r="I82" i="2"/>
  <c r="J82" i="2"/>
  <c r="G82" i="2"/>
  <c r="H82" i="2"/>
  <c r="E82" i="2"/>
  <c r="F82" i="2"/>
  <c r="K81" i="2"/>
  <c r="C81" i="2"/>
  <c r="L81" i="2"/>
  <c r="I81" i="2"/>
  <c r="J81" i="2"/>
  <c r="G81" i="2"/>
  <c r="H81" i="2"/>
  <c r="E81" i="2"/>
  <c r="F81" i="2"/>
  <c r="B81" i="2"/>
  <c r="K80" i="2"/>
  <c r="L80" i="2"/>
  <c r="I80" i="2"/>
  <c r="J80" i="2"/>
  <c r="G80" i="2"/>
  <c r="H80" i="2"/>
  <c r="E80" i="2"/>
  <c r="F80" i="2"/>
  <c r="K79" i="2"/>
  <c r="I79" i="2"/>
  <c r="G79" i="2"/>
  <c r="E79" i="2"/>
  <c r="C79" i="2"/>
  <c r="H79" i="2"/>
  <c r="B79" i="2"/>
  <c r="K78" i="2"/>
  <c r="L78" i="2"/>
  <c r="I78" i="2"/>
  <c r="J78" i="2"/>
  <c r="G78" i="2"/>
  <c r="H78" i="2"/>
  <c r="E78" i="2"/>
  <c r="F78" i="2"/>
  <c r="K77" i="2"/>
  <c r="C77" i="2"/>
  <c r="L77" i="2"/>
  <c r="I77" i="2"/>
  <c r="J77" i="2"/>
  <c r="G77" i="2"/>
  <c r="H77" i="2"/>
  <c r="E77" i="2"/>
  <c r="F77" i="2"/>
  <c r="B77" i="2"/>
  <c r="K76" i="2"/>
  <c r="L76" i="2"/>
  <c r="I76" i="2"/>
  <c r="J76" i="2"/>
  <c r="G76" i="2"/>
  <c r="H76" i="2"/>
  <c r="E76" i="2"/>
  <c r="F76" i="2"/>
  <c r="K75" i="2"/>
  <c r="I75" i="2"/>
  <c r="G75" i="2"/>
  <c r="E75" i="2"/>
  <c r="C75" i="2"/>
  <c r="H75" i="2"/>
  <c r="B75" i="2"/>
  <c r="L74" i="2"/>
  <c r="C73" i="2"/>
  <c r="L73" i="2"/>
  <c r="B73" i="2"/>
  <c r="L72" i="2"/>
  <c r="J72" i="2"/>
  <c r="H72" i="2"/>
  <c r="F72" i="2"/>
  <c r="K71" i="2"/>
  <c r="L71" i="2"/>
  <c r="I71" i="2"/>
  <c r="J71" i="2"/>
  <c r="G71" i="2"/>
  <c r="H71" i="2"/>
  <c r="E71" i="2"/>
  <c r="F71" i="2"/>
  <c r="K70" i="2"/>
  <c r="C70" i="2"/>
  <c r="L70" i="2"/>
  <c r="I70" i="2"/>
  <c r="J70" i="2"/>
  <c r="G70" i="2"/>
  <c r="H70" i="2"/>
  <c r="E70" i="2"/>
  <c r="F70" i="2"/>
  <c r="B70" i="2"/>
  <c r="K69" i="2"/>
  <c r="L69" i="2"/>
  <c r="I69" i="2"/>
  <c r="J69" i="2"/>
  <c r="G69" i="2"/>
  <c r="H69" i="2"/>
  <c r="E69" i="2"/>
  <c r="F69" i="2"/>
  <c r="K68" i="2"/>
  <c r="L68" i="2"/>
  <c r="I68" i="2"/>
  <c r="J68" i="2"/>
  <c r="G68" i="2"/>
  <c r="H68" i="2"/>
  <c r="E68" i="2"/>
  <c r="F68" i="2"/>
  <c r="K67" i="2"/>
  <c r="I67" i="2"/>
  <c r="G67" i="2"/>
  <c r="C67" i="2"/>
  <c r="H67" i="2"/>
  <c r="E67" i="2"/>
  <c r="F67" i="2"/>
  <c r="L67" i="2"/>
  <c r="B67" i="2"/>
  <c r="K66" i="2"/>
  <c r="L66" i="2"/>
  <c r="I66" i="2"/>
  <c r="J66" i="2"/>
  <c r="G66" i="2"/>
  <c r="H66" i="2"/>
  <c r="E66" i="2"/>
  <c r="F66" i="2"/>
  <c r="K65" i="2"/>
  <c r="C65" i="2"/>
  <c r="L65" i="2"/>
  <c r="I65" i="2"/>
  <c r="J65" i="2"/>
  <c r="G65" i="2"/>
  <c r="H65" i="2"/>
  <c r="E65" i="2"/>
  <c r="F65" i="2"/>
  <c r="B65" i="2"/>
  <c r="K64" i="2"/>
  <c r="L64" i="2"/>
  <c r="I64" i="2"/>
  <c r="J64" i="2"/>
  <c r="G64" i="2"/>
  <c r="H64" i="2"/>
  <c r="E64" i="2"/>
  <c r="F64" i="2"/>
  <c r="K63" i="2"/>
  <c r="I63" i="2"/>
  <c r="G63" i="2"/>
  <c r="C63" i="2"/>
  <c r="H63" i="2"/>
  <c r="E63" i="2"/>
  <c r="F63" i="2"/>
  <c r="L63" i="2"/>
  <c r="B63" i="2"/>
  <c r="K62" i="2"/>
  <c r="L62" i="2"/>
  <c r="I62" i="2"/>
  <c r="J62" i="2"/>
  <c r="G62" i="2"/>
  <c r="H62" i="2"/>
  <c r="E62" i="2"/>
  <c r="F62" i="2"/>
  <c r="K61" i="2"/>
  <c r="C61" i="2"/>
  <c r="L61" i="2"/>
  <c r="I61" i="2"/>
  <c r="J61" i="2"/>
  <c r="G61" i="2"/>
  <c r="H61" i="2"/>
  <c r="E61" i="2"/>
  <c r="F61" i="2"/>
  <c r="B61" i="2"/>
  <c r="K60" i="2"/>
  <c r="L60" i="2"/>
  <c r="I60" i="2"/>
  <c r="J60" i="2"/>
  <c r="G60" i="2"/>
  <c r="H60" i="2"/>
  <c r="G59" i="2"/>
  <c r="C59" i="2"/>
  <c r="H59" i="2"/>
  <c r="E60" i="2"/>
  <c r="F60" i="2"/>
  <c r="K59" i="2"/>
  <c r="L59" i="2"/>
  <c r="I59" i="2"/>
  <c r="E59" i="2"/>
  <c r="F59" i="2"/>
  <c r="B59" i="2"/>
  <c r="K58" i="2"/>
  <c r="L58" i="2"/>
  <c r="I58" i="2"/>
  <c r="J58" i="2"/>
  <c r="I57" i="2"/>
  <c r="C57" i="2"/>
  <c r="J57" i="2"/>
  <c r="G58" i="2"/>
  <c r="H58" i="2"/>
  <c r="E58" i="2"/>
  <c r="F58" i="2"/>
  <c r="K57" i="2"/>
  <c r="B57" i="2"/>
  <c r="L56" i="2"/>
  <c r="I56" i="2"/>
  <c r="J56" i="2"/>
  <c r="G56" i="2"/>
  <c r="H56" i="2"/>
  <c r="E56" i="2"/>
  <c r="F56" i="2"/>
  <c r="K55" i="2"/>
  <c r="L55" i="2"/>
  <c r="I55" i="2"/>
  <c r="J55" i="2"/>
  <c r="G55" i="2"/>
  <c r="H55" i="2"/>
  <c r="E55" i="2"/>
  <c r="F55" i="2"/>
  <c r="K54" i="2"/>
  <c r="L54" i="2"/>
  <c r="I54" i="2"/>
  <c r="J54" i="2"/>
  <c r="G54" i="2"/>
  <c r="H54" i="2"/>
  <c r="E54" i="2"/>
  <c r="F54" i="2"/>
  <c r="K53" i="2"/>
  <c r="C53" i="2"/>
  <c r="L53" i="2"/>
  <c r="I53" i="2"/>
  <c r="J53" i="2"/>
  <c r="G53" i="2"/>
  <c r="H53" i="2"/>
  <c r="E53" i="2"/>
  <c r="F53" i="2"/>
  <c r="B53" i="2"/>
  <c r="L52" i="2"/>
  <c r="I52" i="2"/>
  <c r="J52" i="2"/>
  <c r="G52" i="2"/>
  <c r="H52" i="2"/>
  <c r="E52" i="2"/>
  <c r="F52" i="2"/>
  <c r="K51" i="2"/>
  <c r="I51" i="2"/>
  <c r="C51" i="2"/>
  <c r="J51" i="2"/>
  <c r="G51" i="2"/>
  <c r="E51" i="2"/>
  <c r="F51" i="2"/>
  <c r="L51" i="2"/>
  <c r="B51" i="2"/>
  <c r="K50" i="2"/>
  <c r="L50" i="2"/>
  <c r="I50" i="2"/>
  <c r="J50" i="2"/>
  <c r="G50" i="2"/>
  <c r="H50" i="2"/>
  <c r="E50" i="2"/>
  <c r="F50" i="2"/>
  <c r="K49" i="2"/>
  <c r="I49" i="2"/>
  <c r="G49" i="2"/>
  <c r="E49" i="2"/>
  <c r="C49" i="2"/>
  <c r="B49" i="2"/>
  <c r="L48" i="2"/>
  <c r="K47" i="2"/>
  <c r="L47" i="2"/>
  <c r="I47" i="2"/>
  <c r="J47" i="2"/>
  <c r="G47" i="2"/>
  <c r="H47" i="2"/>
  <c r="E47" i="2"/>
  <c r="F47" i="2"/>
  <c r="K46" i="2"/>
  <c r="L46" i="2"/>
  <c r="I46" i="2"/>
  <c r="J46" i="2"/>
  <c r="G46" i="2"/>
  <c r="H46" i="2"/>
  <c r="E46" i="2"/>
  <c r="F46" i="2"/>
  <c r="K45" i="2"/>
  <c r="C45" i="2"/>
  <c r="L45" i="2"/>
  <c r="I45" i="2"/>
  <c r="J45" i="2"/>
  <c r="G45" i="2"/>
  <c r="H45" i="2"/>
  <c r="E45" i="2"/>
  <c r="F45" i="2"/>
  <c r="B45" i="2"/>
  <c r="K44" i="2"/>
  <c r="L44" i="2"/>
  <c r="I44" i="2"/>
  <c r="J44" i="2"/>
  <c r="G44" i="2"/>
  <c r="H44" i="2"/>
  <c r="E44" i="2"/>
  <c r="F44" i="2"/>
  <c r="K43" i="2"/>
  <c r="L43" i="2"/>
  <c r="I43" i="2"/>
  <c r="J43" i="2"/>
  <c r="G43" i="2"/>
  <c r="H43" i="2"/>
  <c r="E43" i="2"/>
  <c r="F43" i="2"/>
  <c r="K42" i="2"/>
  <c r="C42" i="2"/>
  <c r="L42" i="2"/>
  <c r="I42" i="2"/>
  <c r="J42" i="2"/>
  <c r="G42" i="2"/>
  <c r="H42" i="2"/>
  <c r="E42" i="2"/>
  <c r="F42" i="2"/>
  <c r="B42" i="2"/>
  <c r="K41" i="2"/>
  <c r="L41" i="2"/>
  <c r="I41" i="2"/>
  <c r="J41" i="2"/>
  <c r="G41" i="2"/>
  <c r="H41" i="2"/>
  <c r="E41" i="2"/>
  <c r="F41" i="2"/>
  <c r="K40" i="2"/>
  <c r="L40" i="2"/>
  <c r="I40" i="2"/>
  <c r="J40" i="2"/>
  <c r="G40" i="2"/>
  <c r="H40" i="2"/>
  <c r="E40" i="2"/>
  <c r="F40" i="2"/>
  <c r="K39" i="2"/>
  <c r="L39" i="2"/>
  <c r="I39" i="2"/>
  <c r="J39" i="2"/>
  <c r="G39" i="2"/>
  <c r="H39" i="2"/>
  <c r="E39" i="2"/>
  <c r="F39" i="2"/>
  <c r="K38" i="2"/>
  <c r="L38" i="2"/>
  <c r="I38" i="2"/>
  <c r="J38" i="2"/>
  <c r="G38" i="2"/>
  <c r="H38" i="2"/>
  <c r="E38" i="2"/>
  <c r="F38" i="2"/>
  <c r="K37" i="2"/>
  <c r="C37" i="2"/>
  <c r="L37" i="2"/>
  <c r="I37" i="2"/>
  <c r="J37" i="2"/>
  <c r="G37" i="2"/>
  <c r="H37" i="2"/>
  <c r="E37" i="2"/>
  <c r="F37" i="2"/>
  <c r="B37" i="2"/>
  <c r="L36" i="2"/>
  <c r="I36" i="2"/>
  <c r="J36" i="2"/>
  <c r="G36" i="2"/>
  <c r="H36" i="2"/>
  <c r="E36" i="2"/>
  <c r="F36" i="2"/>
  <c r="L35" i="2"/>
  <c r="I35" i="2"/>
  <c r="J35" i="2"/>
  <c r="G35" i="2"/>
  <c r="H35" i="2"/>
  <c r="E35" i="2"/>
  <c r="F35" i="2"/>
  <c r="K34" i="2"/>
  <c r="C34" i="2"/>
  <c r="L34" i="2"/>
  <c r="I34" i="2"/>
  <c r="J34" i="2"/>
  <c r="G34" i="2"/>
  <c r="H34" i="2"/>
  <c r="E34" i="2"/>
  <c r="F34" i="2"/>
  <c r="B34" i="2"/>
  <c r="K33" i="2"/>
  <c r="L33" i="2"/>
  <c r="I33" i="2"/>
  <c r="J33" i="2"/>
  <c r="G33" i="2"/>
  <c r="H33" i="2"/>
  <c r="E33" i="2"/>
  <c r="F33" i="2"/>
  <c r="K32" i="2"/>
  <c r="C32" i="2"/>
  <c r="L32" i="2"/>
  <c r="I32" i="2"/>
  <c r="J32" i="2"/>
  <c r="G32" i="2"/>
  <c r="H32" i="2"/>
  <c r="E32" i="2"/>
  <c r="F32" i="2"/>
  <c r="B32" i="2"/>
  <c r="K31" i="2"/>
  <c r="L31" i="2"/>
  <c r="I31" i="2"/>
  <c r="J31" i="2"/>
  <c r="G31" i="2"/>
  <c r="H31" i="2"/>
  <c r="E31" i="2"/>
  <c r="F31" i="2"/>
  <c r="K30" i="2"/>
  <c r="C30" i="2"/>
  <c r="L30" i="2"/>
  <c r="I30" i="2"/>
  <c r="J30" i="2"/>
  <c r="G30" i="2"/>
  <c r="H30" i="2"/>
  <c r="E30" i="2"/>
  <c r="F30" i="2"/>
  <c r="B30" i="2"/>
  <c r="K29" i="2"/>
  <c r="L29" i="2"/>
  <c r="I29" i="2"/>
  <c r="J29" i="2"/>
  <c r="G29" i="2"/>
  <c r="H29" i="2"/>
  <c r="E29" i="2"/>
  <c r="F29" i="2"/>
  <c r="K28" i="2"/>
  <c r="C28" i="2"/>
  <c r="L28" i="2"/>
  <c r="I28" i="2"/>
  <c r="J28" i="2"/>
  <c r="G28" i="2"/>
  <c r="H28" i="2"/>
  <c r="E28" i="2"/>
  <c r="F28" i="2"/>
  <c r="B28" i="2"/>
  <c r="K27" i="2"/>
  <c r="L27" i="2"/>
  <c r="I27" i="2"/>
  <c r="J27" i="2"/>
  <c r="G27" i="2"/>
  <c r="H27" i="2"/>
  <c r="E27" i="2"/>
  <c r="F27" i="2"/>
  <c r="K26" i="2"/>
  <c r="C26" i="2"/>
  <c r="L26" i="2"/>
  <c r="I26" i="2"/>
  <c r="J26" i="2"/>
  <c r="G26" i="2"/>
  <c r="H26" i="2"/>
  <c r="E26" i="2"/>
  <c r="F26" i="2"/>
  <c r="B26" i="2"/>
  <c r="K25" i="2"/>
  <c r="L25" i="2"/>
  <c r="I25" i="2"/>
  <c r="J25" i="2"/>
  <c r="G25" i="2"/>
  <c r="H25" i="2"/>
  <c r="E25" i="2"/>
  <c r="F25" i="2"/>
  <c r="K24" i="2"/>
  <c r="C24" i="2"/>
  <c r="L24" i="2"/>
  <c r="I24" i="2"/>
  <c r="J24" i="2"/>
  <c r="G24" i="2"/>
  <c r="H24" i="2"/>
  <c r="E24" i="2"/>
  <c r="F24" i="2"/>
  <c r="B24" i="2"/>
  <c r="K23" i="2"/>
  <c r="L23" i="2"/>
  <c r="I23" i="2"/>
  <c r="J23" i="2"/>
  <c r="G23" i="2"/>
  <c r="H23" i="2"/>
  <c r="E23" i="2"/>
  <c r="F23" i="2"/>
  <c r="K22" i="2"/>
  <c r="C22" i="2"/>
  <c r="L22" i="2"/>
  <c r="I22" i="2"/>
  <c r="J22" i="2"/>
  <c r="G22" i="2"/>
  <c r="H22" i="2"/>
  <c r="E22" i="2"/>
  <c r="F22" i="2"/>
  <c r="B22" i="2"/>
  <c r="K21" i="2"/>
  <c r="L21" i="2"/>
  <c r="I21" i="2"/>
  <c r="J21" i="2"/>
  <c r="G21" i="2"/>
  <c r="H21" i="2"/>
  <c r="E21" i="2"/>
  <c r="F21" i="2"/>
  <c r="K20" i="2"/>
  <c r="C20" i="2"/>
  <c r="L20" i="2"/>
  <c r="I20" i="2"/>
  <c r="J20" i="2"/>
  <c r="G20" i="2"/>
  <c r="H20" i="2"/>
  <c r="E20" i="2"/>
  <c r="F20" i="2"/>
  <c r="B20" i="2"/>
  <c r="L19" i="2"/>
  <c r="I19" i="2"/>
  <c r="J19" i="2"/>
  <c r="G19" i="2"/>
  <c r="H19" i="2"/>
  <c r="E19" i="2"/>
  <c r="F19" i="2"/>
  <c r="L18" i="2"/>
  <c r="I18" i="2"/>
  <c r="J18" i="2"/>
  <c r="G18" i="2"/>
  <c r="H18" i="2"/>
  <c r="E18" i="2"/>
  <c r="F18" i="2"/>
  <c r="K17" i="2"/>
  <c r="C17" i="2"/>
  <c r="L17" i="2"/>
  <c r="I17" i="2"/>
  <c r="J17" i="2"/>
  <c r="G17" i="2"/>
  <c r="H17" i="2"/>
  <c r="E17" i="2"/>
  <c r="F17" i="2"/>
  <c r="B17" i="2"/>
  <c r="K16" i="2"/>
  <c r="B16" i="2"/>
  <c r="K15" i="2"/>
  <c r="L15" i="2"/>
  <c r="I15" i="2"/>
  <c r="J15" i="2"/>
  <c r="G15" i="2"/>
  <c r="H15" i="2"/>
  <c r="K13" i="2"/>
  <c r="I13" i="2"/>
  <c r="E13" i="2"/>
  <c r="E12" i="2"/>
  <c r="C13" i="2"/>
  <c r="C12" i="2"/>
  <c r="F12" i="2"/>
  <c r="B13" i="2"/>
  <c r="B12" i="2"/>
  <c r="L11" i="2"/>
  <c r="J11" i="2"/>
  <c r="K9" i="2"/>
  <c r="C9" i="2"/>
  <c r="L9" i="2"/>
  <c r="I9" i="2"/>
  <c r="J9" i="2"/>
  <c r="G9" i="2"/>
  <c r="H9" i="2"/>
  <c r="E9" i="2"/>
  <c r="B9" i="2"/>
  <c r="K8" i="2"/>
  <c r="L8" i="2"/>
  <c r="I8" i="2"/>
  <c r="J8" i="2"/>
  <c r="G8" i="2"/>
  <c r="H8" i="2"/>
  <c r="E8" i="2"/>
  <c r="F8" i="2"/>
  <c r="K7" i="2"/>
  <c r="L7" i="2"/>
  <c r="I7" i="2"/>
  <c r="J7" i="2"/>
  <c r="G7" i="2"/>
  <c r="G6" i="2"/>
  <c r="E7" i="2"/>
  <c r="F7" i="2"/>
  <c r="C6" i="2"/>
  <c r="C5" i="2"/>
  <c r="B6" i="2"/>
  <c r="B5" i="2"/>
  <c r="H6" i="2"/>
  <c r="G5" i="2"/>
  <c r="H5" i="2"/>
  <c r="J49" i="2"/>
  <c r="F49" i="2"/>
  <c r="E6" i="2"/>
  <c r="K6" i="2"/>
  <c r="H7" i="2"/>
  <c r="G13" i="2"/>
  <c r="G57" i="2"/>
  <c r="G16" i="2"/>
  <c r="C16" i="2"/>
  <c r="H16" i="2"/>
  <c r="C124" i="2"/>
  <c r="K12" i="2"/>
  <c r="L12" i="2"/>
  <c r="L13" i="2"/>
  <c r="I6" i="2"/>
  <c r="J13" i="2"/>
  <c r="I12" i="2"/>
  <c r="J12" i="2"/>
  <c r="I16" i="2"/>
  <c r="L49" i="2"/>
  <c r="L16" i="2"/>
  <c r="H49" i="2"/>
  <c r="J75" i="2"/>
  <c r="J79" i="2"/>
  <c r="J83" i="2"/>
  <c r="J87" i="2"/>
  <c r="B124" i="2"/>
  <c r="J98" i="2"/>
  <c r="E57" i="2"/>
  <c r="F75" i="2"/>
  <c r="F79" i="2"/>
  <c r="F83" i="2"/>
  <c r="F87" i="2"/>
  <c r="J94" i="2"/>
  <c r="J97" i="2"/>
  <c r="F98" i="2"/>
  <c r="H51" i="2"/>
  <c r="L75" i="2"/>
  <c r="L79" i="2"/>
  <c r="L83" i="2"/>
  <c r="L87" i="2"/>
  <c r="L98" i="2"/>
  <c r="J109" i="2"/>
  <c r="F109" i="2"/>
  <c r="J119" i="2"/>
  <c r="F119" i="2"/>
  <c r="H57" i="2"/>
  <c r="L57" i="2"/>
  <c r="J59" i="2"/>
  <c r="J63" i="2"/>
  <c r="J67" i="2"/>
  <c r="H98" i="2"/>
  <c r="H97" i="2"/>
  <c r="L97" i="2"/>
  <c r="H101" i="2"/>
  <c r="H106" i="2"/>
  <c r="H114" i="2"/>
  <c r="H121" i="2"/>
  <c r="J6" i="2"/>
  <c r="I5" i="2"/>
  <c r="F6" i="2"/>
  <c r="E5" i="2"/>
  <c r="F5" i="2"/>
  <c r="J16" i="2"/>
  <c r="G12" i="2"/>
  <c r="H13" i="2"/>
  <c r="F57" i="2"/>
  <c r="E16" i="2"/>
  <c r="L6" i="2"/>
  <c r="K5" i="2"/>
  <c r="H12" i="2"/>
  <c r="G124" i="2"/>
  <c r="H124" i="2"/>
  <c r="J5" i="2"/>
  <c r="I124" i="2"/>
  <c r="J124" i="2"/>
  <c r="F16" i="2"/>
  <c r="E124" i="2"/>
  <c r="F124" i="2"/>
  <c r="L5" i="2"/>
  <c r="K124" i="2"/>
  <c r="L124" i="2"/>
</calcChain>
</file>

<file path=xl/sharedStrings.xml><?xml version="1.0" encoding="utf-8"?>
<sst xmlns="http://schemas.openxmlformats.org/spreadsheetml/2006/main" count="132" uniqueCount="65">
  <si>
    <t>FUT 2020</t>
  </si>
  <si>
    <t xml:space="preserve">CURSOS DEL VIDA </t>
  </si>
  <si>
    <t>SECTOR/FUENTE</t>
  </si>
  <si>
    <t>PRESUPUESTO DEFINITIVO</t>
  </si>
  <si>
    <t>OBLIGACIONES</t>
  </si>
  <si>
    <t>PRIMERA INFANCIA   ( Madres Gestantes- Edades 0-5 años)</t>
  </si>
  <si>
    <t>%</t>
  </si>
  <si>
    <t>INFANCIA
( 6 - 11 años )</t>
  </si>
  <si>
    <t>ADOLESCENCIA
( 12-17 años)</t>
  </si>
  <si>
    <t>OTROS</t>
  </si>
  <si>
    <t>Atención a grupos vulnerables - promoción social</t>
  </si>
  <si>
    <t>Programa de atencion integral a la primera infancia</t>
  </si>
  <si>
    <t>OTRAS FUENTES</t>
  </si>
  <si>
    <t>RECURSOS PROPIOS</t>
  </si>
  <si>
    <t>Talento humano que desarrolla funciones de carácter operativo</t>
  </si>
  <si>
    <t>Cultura</t>
  </si>
  <si>
    <t>Servicio público bibliotecario</t>
  </si>
  <si>
    <t>Educación</t>
  </si>
  <si>
    <t>Aplicación de proyectos educativos transversales</t>
  </si>
  <si>
    <t>Aportes arp</t>
  </si>
  <si>
    <t>SISTEMA GENERAL DE PARTICIPACIONES</t>
  </si>
  <si>
    <t>Aportes de previsión social</t>
  </si>
  <si>
    <t>Aportes para cesantías</t>
  </si>
  <si>
    <t>Aportes para pensión</t>
  </si>
  <si>
    <t>Aportes para salud</t>
  </si>
  <si>
    <t>Arrendamiento de inmuebles destinados a la prestación del servicio público educativo</t>
  </si>
  <si>
    <t>Cajas de compensación familiar</t>
  </si>
  <si>
    <t>Capacitación a docentes y directivos docentes</t>
  </si>
  <si>
    <t>Contratación con terceros para la provisión integral del servicio de alimentación escolar</t>
  </si>
  <si>
    <t>COFINANCIACIÓN Y OTRAS TRANSFERENCIAS</t>
  </si>
  <si>
    <t>Contratación de aseo a los establecimientos educativos estatales</t>
  </si>
  <si>
    <t>Contratación de vigilancia a los establecimientos educativos estatales</t>
  </si>
  <si>
    <t>Contratos para la promocion e implementacion de estrategias de desarrollo pedagogico a celebrarse con iglesias o confesiones religiosas</t>
  </si>
  <si>
    <t>Dotación institucional</t>
  </si>
  <si>
    <t>Dotación institucional de material y medios pedagógicos para el aprendizaje</t>
  </si>
  <si>
    <t>Dotación ley 70 de 1988 - personal docente</t>
  </si>
  <si>
    <t>Energía</t>
  </si>
  <si>
    <t>Esap</t>
  </si>
  <si>
    <t>Icbf</t>
  </si>
  <si>
    <t>Institutos técnicos</t>
  </si>
  <si>
    <t>Interventoría, supervisión, monitoreo y control de la prestación del servicio de alimentación escolar</t>
  </si>
  <si>
    <t>Mantenimiento de infraestructura educativa</t>
  </si>
  <si>
    <t>Pago deudas  laborales personal docente y directivo docente</t>
  </si>
  <si>
    <t>Personal administrativo de instituciones educativas</t>
  </si>
  <si>
    <t>Personal directivo docente - con situación de fondos (csf)</t>
  </si>
  <si>
    <t>Personal directivo docente - sin situación de fondos (ssf)</t>
  </si>
  <si>
    <t>Personal docente - con situación de fondos (csf)</t>
  </si>
  <si>
    <t>Personal docente - sin situación de fondos (ssf)</t>
  </si>
  <si>
    <t>Sena</t>
  </si>
  <si>
    <t>Servicio personal apoyo</t>
  </si>
  <si>
    <t>Transporte escolar</t>
  </si>
  <si>
    <t>Viáticos y gastos de viaje</t>
  </si>
  <si>
    <t>Justicia y seguridad</t>
  </si>
  <si>
    <t>Construcción de paz y convivencia familiar</t>
  </si>
  <si>
    <t>Salud</t>
  </si>
  <si>
    <t>Afiliación al régimen subsidiado</t>
  </si>
  <si>
    <t>Alto nivel de complejidad</t>
  </si>
  <si>
    <t>Bajo nivel de complejidad</t>
  </si>
  <si>
    <t>Desarrollo integral de las niñas, niños</t>
  </si>
  <si>
    <t>Medio nivel de complejidad</t>
  </si>
  <si>
    <t>Pago de déficit de inversión por servicos y tecnologias no pos  r.s.  vigencia anterior</t>
  </si>
  <si>
    <t>Subsidio a la oferta (artículo 2 de la ley 1797 de 2016)</t>
  </si>
  <si>
    <t>SEGURIDAD ALIMENTARIA Y NUTRICIONAL</t>
  </si>
  <si>
    <t xml:space="preserve">SGP SALUD ONCE DOCEAVAS VIGENCIA ACTUAL MAS ULTIMA DOCEAVA VIGENCIA ANTERIOR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</si>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</sst>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4" borderId="1" xfId="0" applyFont="1" applyFill="1" applyBorder="1" applyAlignment="1">
      <alignment horizontal="justify" vertical="center"/>
    </xf>
    <xf numFmtId="44" fontId="4" fillId="4" borderId="1" xfId="1" applyFont="1" applyFill="1" applyBorder="1" applyAlignment="1">
      <alignment vertical="center"/>
    </xf>
    <xf numFmtId="0" fontId="5" fillId="0" borderId="1" xfId="0" applyFont="1" applyFill="1" applyBorder="1" applyAlignment="1">
      <alignment horizontal="justify" vertical="center"/>
    </xf>
    <xf numFmtId="44" fontId="5" fillId="0" borderId="1" xfId="1" applyFont="1" applyFill="1" applyBorder="1" applyAlignment="1">
      <alignment vertical="center"/>
    </xf>
    <xf numFmtId="44" fontId="5" fillId="0" borderId="2" xfId="1" applyFont="1" applyBorder="1" applyAlignment="1">
      <alignment vertical="center"/>
    </xf>
    <xf numFmtId="44" fontId="5" fillId="0" borderId="1" xfId="1" applyFont="1" applyBorder="1" applyAlignment="1">
      <alignment vertical="center"/>
    </xf>
    <xf numFmtId="0" fontId="4" fillId="5" borderId="1" xfId="0" applyFont="1" applyFill="1" applyBorder="1" applyAlignment="1">
      <alignment horizontal="justify" vertical="center"/>
    </xf>
    <xf numFmtId="44" fontId="4" fillId="5" borderId="1" xfId="1" applyFont="1" applyFill="1" applyBorder="1" applyAlignment="1">
      <alignment vertical="center"/>
    </xf>
    <xf numFmtId="44" fontId="5" fillId="0" borderId="1" xfId="1" applyFont="1" applyBorder="1" applyAlignment="1">
      <alignment horizontal="justify" vertical="center" wrapText="1"/>
    </xf>
    <xf numFmtId="44" fontId="5" fillId="0" borderId="1" xfId="1" applyFont="1" applyFill="1" applyBorder="1" applyAlignment="1">
      <alignment horizontal="right" vertical="center" wrapText="1"/>
    </xf>
    <xf numFmtId="44" fontId="5" fillId="0" borderId="1" xfId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44" fontId="5" fillId="6" borderId="1" xfId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/>
    </xf>
    <xf numFmtId="44" fontId="5" fillId="0" borderId="1" xfId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44" fontId="2" fillId="2" borderId="1" xfId="1" applyFont="1" applyFill="1" applyBorder="1" applyAlignment="1">
      <alignment vertical="center"/>
    </xf>
    <xf numFmtId="164" fontId="5" fillId="0" borderId="0" xfId="0" applyNumberFormat="1" applyFont="1"/>
    <xf numFmtId="0" fontId="4" fillId="3" borderId="1" xfId="0" applyFont="1" applyFill="1" applyBorder="1" applyAlignment="1">
      <alignment horizontal="justify" vertical="center"/>
    </xf>
    <xf numFmtId="44" fontId="4" fillId="3" borderId="1" xfId="1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right" vertical="center" wrapText="1"/>
    </xf>
    <xf numFmtId="10" fontId="4" fillId="3" borderId="1" xfId="2" applyNumberFormat="1" applyFont="1" applyFill="1" applyBorder="1" applyAlignment="1">
      <alignment horizontal="right" vertical="center"/>
    </xf>
    <xf numFmtId="10" fontId="4" fillId="4" borderId="1" xfId="2" applyNumberFormat="1" applyFont="1" applyFill="1" applyBorder="1" applyAlignment="1">
      <alignment horizontal="right" vertical="center"/>
    </xf>
    <xf numFmtId="10" fontId="5" fillId="0" borderId="2" xfId="2" applyNumberFormat="1" applyFont="1" applyBorder="1" applyAlignment="1">
      <alignment horizontal="right" vertical="center"/>
    </xf>
    <xf numFmtId="10" fontId="5" fillId="0" borderId="1" xfId="2" applyNumberFormat="1" applyFont="1" applyBorder="1" applyAlignment="1">
      <alignment horizontal="right" vertical="center"/>
    </xf>
    <xf numFmtId="10" fontId="4" fillId="5" borderId="1" xfId="2" applyNumberFormat="1" applyFont="1" applyFill="1" applyBorder="1" applyAlignment="1">
      <alignment horizontal="right" vertical="center"/>
    </xf>
    <xf numFmtId="10" fontId="5" fillId="0" borderId="1" xfId="2" applyNumberFormat="1" applyFont="1" applyBorder="1" applyAlignment="1">
      <alignment horizontal="right" vertical="center" wrapText="1"/>
    </xf>
    <xf numFmtId="10" fontId="5" fillId="0" borderId="1" xfId="2" applyNumberFormat="1" applyFont="1" applyFill="1" applyBorder="1" applyAlignment="1">
      <alignment horizontal="right" vertical="center" wrapText="1"/>
    </xf>
    <xf numFmtId="10" fontId="5" fillId="6" borderId="1" xfId="2" applyNumberFormat="1" applyFont="1" applyFill="1" applyBorder="1" applyAlignment="1">
      <alignment horizontal="right" vertical="center" wrapText="1"/>
    </xf>
    <xf numFmtId="10" fontId="5" fillId="0" borderId="1" xfId="2" applyNumberFormat="1" applyFont="1" applyFill="1" applyBorder="1" applyAlignment="1">
      <alignment horizontal="right" vertical="center"/>
    </xf>
    <xf numFmtId="44" fontId="4" fillId="4" borderId="1" xfId="1" applyFont="1" applyFill="1" applyBorder="1" applyAlignment="1">
      <alignment horizontal="right" vertical="center"/>
    </xf>
    <xf numFmtId="10" fontId="2" fillId="2" borderId="1" xfId="2" applyNumberFormat="1" applyFont="1" applyFill="1" applyBorder="1" applyAlignment="1">
      <alignment horizontal="right" vertical="center"/>
    </xf>
    <xf numFmtId="10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9" fontId="4" fillId="4" borderId="1" xfId="2" applyFont="1" applyFill="1" applyBorder="1" applyAlignment="1">
      <alignment horizontal="right" vertical="center"/>
    </xf>
    <xf numFmtId="9" fontId="5" fillId="0" borderId="2" xfId="2" applyFont="1" applyBorder="1" applyAlignment="1">
      <alignment horizontal="right" vertical="center"/>
    </xf>
    <xf numFmtId="9" fontId="5" fillId="0" borderId="1" xfId="2" applyFont="1" applyBorder="1" applyAlignment="1">
      <alignment horizontal="right" vertical="center"/>
    </xf>
    <xf numFmtId="9" fontId="4" fillId="5" borderId="1" xfId="2" applyFont="1" applyFill="1" applyBorder="1" applyAlignment="1">
      <alignment horizontal="right" vertical="center"/>
    </xf>
    <xf numFmtId="9" fontId="4" fillId="3" borderId="1" xfId="2" applyFont="1" applyFill="1" applyBorder="1" applyAlignment="1">
      <alignment horizontal="right" vertical="center"/>
    </xf>
    <xf numFmtId="9" fontId="5" fillId="0" borderId="1" xfId="2" applyFont="1" applyBorder="1" applyAlignment="1">
      <alignment horizontal="right" vertical="center" wrapText="1"/>
    </xf>
    <xf numFmtId="9" fontId="5" fillId="0" borderId="1" xfId="2" applyFont="1" applyFill="1" applyBorder="1" applyAlignment="1">
      <alignment horizontal="right" vertical="center" wrapText="1"/>
    </xf>
    <xf numFmtId="9" fontId="5" fillId="6" borderId="1" xfId="2" applyFont="1" applyFill="1" applyBorder="1" applyAlignment="1">
      <alignment horizontal="right" vertical="center" wrapText="1"/>
    </xf>
    <xf numFmtId="9" fontId="5" fillId="0" borderId="1" xfId="2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44" fontId="5" fillId="0" borderId="0" xfId="0" applyNumberFormat="1" applyFo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4"/>
  <sheetViews>
    <sheetView showGridLines="0" tabSelected="1" workbookViewId="0"/>
  </sheetViews>
  <sheetFormatPr baseColWidth="10" defaultColWidth="11.44140625" defaultRowHeight="14.4" x14ac:dyDescent="0.3"/>
  <cols>
    <col min="1" max="1" width="36.44140625" style="1" customWidth="1"/>
    <col min="2" max="2" width="24.5546875" style="1" bestFit="1" customWidth="1"/>
    <col min="3" max="3" width="22.6640625" style="1" bestFit="1" customWidth="1"/>
    <col min="4" max="4" width="11.33203125" style="1" customWidth="1"/>
    <col min="5" max="5" width="28" style="1" customWidth="1"/>
    <col min="6" max="6" width="12.44140625" style="42" customWidth="1"/>
    <col min="7" max="7" width="21.5546875" style="1" customWidth="1"/>
    <col min="8" max="8" width="13.109375" style="42" customWidth="1"/>
    <col min="9" max="9" width="22.44140625" style="1" customWidth="1"/>
    <col min="10" max="10" width="11.44140625" style="42" customWidth="1"/>
    <col min="11" max="11" width="21.44140625" style="1" customWidth="1"/>
    <col min="12" max="12" width="11.44140625" style="42"/>
    <col min="13" max="16384" width="11.44140625" style="1"/>
  </cols>
  <sheetData>
    <row r="3" spans="1:12" s="2" customFormat="1" ht="19.5" customHeight="1" x14ac:dyDescent="0.3">
      <c r="A3" s="52" t="s">
        <v>0</v>
      </c>
      <c r="B3" s="52"/>
      <c r="C3" s="52"/>
      <c r="E3" s="53" t="s">
        <v>1</v>
      </c>
      <c r="F3" s="53"/>
      <c r="G3" s="53"/>
      <c r="H3" s="53"/>
      <c r="I3" s="53"/>
      <c r="J3" s="53"/>
      <c r="K3" s="53"/>
      <c r="L3" s="53"/>
    </row>
    <row r="4" spans="1:12" s="2" customFormat="1" ht="46.5" customHeight="1" x14ac:dyDescent="0.3">
      <c r="A4" s="3" t="s">
        <v>2</v>
      </c>
      <c r="B4" s="3" t="s">
        <v>3</v>
      </c>
      <c r="C4" s="3" t="s">
        <v>4</v>
      </c>
      <c r="E4" s="27" t="s">
        <v>5</v>
      </c>
      <c r="F4" s="28" t="s">
        <v>6</v>
      </c>
      <c r="G4" s="27" t="s">
        <v>7</v>
      </c>
      <c r="H4" s="28" t="s">
        <v>6</v>
      </c>
      <c r="I4" s="27" t="s">
        <v>8</v>
      </c>
      <c r="J4" s="28" t="s">
        <v>6</v>
      </c>
      <c r="K4" s="27" t="s">
        <v>9</v>
      </c>
      <c r="L4" s="28" t="s">
        <v>6</v>
      </c>
    </row>
    <row r="5" spans="1:12" s="5" customFormat="1" ht="30.75" customHeight="1" x14ac:dyDescent="0.3">
      <c r="A5" s="25" t="s">
        <v>10</v>
      </c>
      <c r="B5" s="26">
        <f>B6+B9</f>
        <v>261004165</v>
      </c>
      <c r="C5" s="26">
        <f>C6+C9</f>
        <v>145844164</v>
      </c>
      <c r="D5" s="4"/>
      <c r="E5" s="26">
        <f t="shared" ref="E5:K5" si="0">E6+E9</f>
        <v>1494893.5851063831</v>
      </c>
      <c r="F5" s="29">
        <f>E5/C5</f>
        <v>1.0249937632789908E-2</v>
      </c>
      <c r="G5" s="26">
        <f t="shared" si="0"/>
        <v>996595.72340425523</v>
      </c>
      <c r="H5" s="29">
        <f>G5/C5</f>
        <v>6.8332917551932708E-3</v>
      </c>
      <c r="I5" s="26">
        <f t="shared" si="0"/>
        <v>498297.86170212761</v>
      </c>
      <c r="J5" s="29">
        <f>I5/C5</f>
        <v>3.4166458775966354E-3</v>
      </c>
      <c r="K5" s="26">
        <f t="shared" si="0"/>
        <v>142854376.82978722</v>
      </c>
      <c r="L5" s="29">
        <f>K5/C5</f>
        <v>0.97950012473442016</v>
      </c>
    </row>
    <row r="6" spans="1:12" s="5" customFormat="1" ht="28.8" x14ac:dyDescent="0.3">
      <c r="A6" s="6" t="s">
        <v>11</v>
      </c>
      <c r="B6" s="7">
        <f>B7+B8</f>
        <v>137000000</v>
      </c>
      <c r="C6" s="7">
        <f>C7+C8</f>
        <v>46839999</v>
      </c>
      <c r="D6" s="4"/>
      <c r="E6" s="7">
        <f t="shared" ref="E6:K6" si="1">E7+E8</f>
        <v>1494893.5851063831</v>
      </c>
      <c r="F6" s="30">
        <f t="shared" ref="F6:F69" si="2">E6/C6</f>
        <v>3.1914893617021281E-2</v>
      </c>
      <c r="G6" s="7">
        <f t="shared" si="1"/>
        <v>996595.72340425523</v>
      </c>
      <c r="H6" s="43">
        <f t="shared" ref="H6:H69" si="3">G6/C6</f>
        <v>2.1276595744680851E-2</v>
      </c>
      <c r="I6" s="7">
        <f t="shared" si="1"/>
        <v>498297.86170212761</v>
      </c>
      <c r="J6" s="30">
        <f t="shared" ref="J6:J69" si="4">I6/C6</f>
        <v>1.0638297872340425E-2</v>
      </c>
      <c r="K6" s="7">
        <f t="shared" si="1"/>
        <v>43850211.829787232</v>
      </c>
      <c r="L6" s="30">
        <f t="shared" ref="L6:L69" si="5">K6/C6</f>
        <v>0.93617021276595735</v>
      </c>
    </row>
    <row r="7" spans="1:12" s="5" customFormat="1" ht="14.25" customHeight="1" x14ac:dyDescent="0.3">
      <c r="A7" s="8" t="s">
        <v>12</v>
      </c>
      <c r="B7" s="9">
        <v>70000000</v>
      </c>
      <c r="C7" s="9">
        <v>28973333</v>
      </c>
      <c r="D7" s="4"/>
      <c r="E7" s="10">
        <f>3*28973333/94</f>
        <v>924680.84042553196</v>
      </c>
      <c r="F7" s="31">
        <f t="shared" si="2"/>
        <v>3.1914893617021281E-2</v>
      </c>
      <c r="G7" s="10">
        <f>2*28973333/94</f>
        <v>616453.89361702127</v>
      </c>
      <c r="H7" s="44">
        <f t="shared" si="3"/>
        <v>2.1276595744680851E-2</v>
      </c>
      <c r="I7" s="10">
        <f>1*28973333/94</f>
        <v>308226.94680851063</v>
      </c>
      <c r="J7" s="31">
        <f t="shared" si="4"/>
        <v>1.0638297872340425E-2</v>
      </c>
      <c r="K7" s="10">
        <f>88*28973333/94</f>
        <v>27123971.319148935</v>
      </c>
      <c r="L7" s="31">
        <f t="shared" si="5"/>
        <v>0.93617021276595747</v>
      </c>
    </row>
    <row r="8" spans="1:12" s="5" customFormat="1" ht="14.25" customHeight="1" x14ac:dyDescent="0.3">
      <c r="A8" s="8" t="s">
        <v>13</v>
      </c>
      <c r="B8" s="9">
        <v>67000000</v>
      </c>
      <c r="C8" s="9">
        <v>17866666</v>
      </c>
      <c r="D8" s="4"/>
      <c r="E8" s="11">
        <f>3*17866666/94</f>
        <v>570212.74468085112</v>
      </c>
      <c r="F8" s="32">
        <f t="shared" si="2"/>
        <v>3.1914893617021281E-2</v>
      </c>
      <c r="G8" s="11">
        <f>2*17866666/94</f>
        <v>380141.82978723402</v>
      </c>
      <c r="H8" s="45">
        <f t="shared" si="3"/>
        <v>2.1276595744680851E-2</v>
      </c>
      <c r="I8" s="11">
        <f>1*17866666/94</f>
        <v>190070.91489361701</v>
      </c>
      <c r="J8" s="32">
        <f t="shared" si="4"/>
        <v>1.0638297872340425E-2</v>
      </c>
      <c r="K8" s="11">
        <f>88*17866666/94</f>
        <v>16726240.510638298</v>
      </c>
      <c r="L8" s="32">
        <f t="shared" si="5"/>
        <v>0.93617021276595747</v>
      </c>
    </row>
    <row r="9" spans="1:12" s="5" customFormat="1" ht="28.8" x14ac:dyDescent="0.3">
      <c r="A9" s="12" t="s">
        <v>14</v>
      </c>
      <c r="B9" s="13">
        <f>B10+B11</f>
        <v>124004165</v>
      </c>
      <c r="C9" s="13">
        <f>C10+C11</f>
        <v>99004165</v>
      </c>
      <c r="D9" s="4"/>
      <c r="E9" s="13">
        <f t="shared" ref="E9:K9" si="6">E10+E11</f>
        <v>0</v>
      </c>
      <c r="F9" s="33"/>
      <c r="G9" s="13">
        <f t="shared" si="6"/>
        <v>0</v>
      </c>
      <c r="H9" s="46">
        <f t="shared" si="3"/>
        <v>0</v>
      </c>
      <c r="I9" s="13">
        <f t="shared" si="6"/>
        <v>0</v>
      </c>
      <c r="J9" s="33">
        <f t="shared" si="4"/>
        <v>0</v>
      </c>
      <c r="K9" s="13">
        <f t="shared" si="6"/>
        <v>99004165</v>
      </c>
      <c r="L9" s="33">
        <f t="shared" si="5"/>
        <v>1</v>
      </c>
    </row>
    <row r="10" spans="1:12" s="5" customFormat="1" ht="14.25" customHeight="1" x14ac:dyDescent="0.3">
      <c r="A10" s="8" t="s">
        <v>12</v>
      </c>
      <c r="B10" s="9">
        <v>25000000</v>
      </c>
      <c r="C10" s="9">
        <v>0</v>
      </c>
      <c r="D10" s="4"/>
      <c r="E10" s="11"/>
      <c r="F10" s="32"/>
      <c r="G10" s="11"/>
      <c r="H10" s="45"/>
      <c r="I10" s="11"/>
      <c r="J10" s="32"/>
      <c r="K10" s="11"/>
      <c r="L10" s="32"/>
    </row>
    <row r="11" spans="1:12" s="5" customFormat="1" ht="14.25" customHeight="1" x14ac:dyDescent="0.3">
      <c r="A11" s="8" t="s">
        <v>13</v>
      </c>
      <c r="B11" s="9">
        <v>99004165</v>
      </c>
      <c r="C11" s="9">
        <v>99004165</v>
      </c>
      <c r="D11" s="4"/>
      <c r="E11" s="11"/>
      <c r="F11" s="32"/>
      <c r="G11" s="11"/>
      <c r="H11" s="45"/>
      <c r="I11" s="11"/>
      <c r="J11" s="32">
        <f t="shared" si="4"/>
        <v>0</v>
      </c>
      <c r="K11" s="11">
        <v>99004165</v>
      </c>
      <c r="L11" s="32">
        <f t="shared" si="5"/>
        <v>1</v>
      </c>
    </row>
    <row r="12" spans="1:12" s="5" customFormat="1" x14ac:dyDescent="0.3">
      <c r="A12" s="25" t="s">
        <v>15</v>
      </c>
      <c r="B12" s="26">
        <f>B13</f>
        <v>204814218.74000001</v>
      </c>
      <c r="C12" s="26">
        <f>C13</f>
        <v>46725000</v>
      </c>
      <c r="D12" s="4"/>
      <c r="E12" s="26">
        <f>E13</f>
        <v>0</v>
      </c>
      <c r="F12" s="29">
        <f t="shared" si="2"/>
        <v>0</v>
      </c>
      <c r="G12" s="26">
        <f>G13</f>
        <v>3919882.5503355702</v>
      </c>
      <c r="H12" s="47">
        <f t="shared" si="3"/>
        <v>8.3892617449664419E-2</v>
      </c>
      <c r="I12" s="26">
        <f>I13</f>
        <v>31359060.402684562</v>
      </c>
      <c r="J12" s="29">
        <f t="shared" si="4"/>
        <v>0.67114093959731536</v>
      </c>
      <c r="K12" s="26">
        <f>K13</f>
        <v>11446057.046979865</v>
      </c>
      <c r="L12" s="29">
        <f t="shared" si="5"/>
        <v>0.24496644295302011</v>
      </c>
    </row>
    <row r="13" spans="1:12" s="5" customFormat="1" ht="14.25" customHeight="1" x14ac:dyDescent="0.3">
      <c r="A13" s="6" t="s">
        <v>16</v>
      </c>
      <c r="B13" s="7">
        <f>B14+B15</f>
        <v>204814218.74000001</v>
      </c>
      <c r="C13" s="7">
        <f>C14+C15</f>
        <v>46725000</v>
      </c>
      <c r="D13" s="4"/>
      <c r="E13" s="7">
        <f t="shared" ref="E13:K13" si="7">E14+E15</f>
        <v>0</v>
      </c>
      <c r="F13" s="30"/>
      <c r="G13" s="7">
        <f t="shared" si="7"/>
        <v>3919882.5503355702</v>
      </c>
      <c r="H13" s="43">
        <f t="shared" si="3"/>
        <v>8.3892617449664419E-2</v>
      </c>
      <c r="I13" s="7">
        <f t="shared" si="7"/>
        <v>31359060.402684562</v>
      </c>
      <c r="J13" s="30">
        <f t="shared" si="4"/>
        <v>0.67114093959731536</v>
      </c>
      <c r="K13" s="7">
        <f t="shared" si="7"/>
        <v>11446057.046979865</v>
      </c>
      <c r="L13" s="30">
        <f t="shared" si="5"/>
        <v>0.24496644295302011</v>
      </c>
    </row>
    <row r="14" spans="1:12" s="5" customFormat="1" ht="14.25" customHeight="1" x14ac:dyDescent="0.3">
      <c r="A14" s="8" t="s">
        <v>12</v>
      </c>
      <c r="B14" s="9">
        <v>34643208.740000002</v>
      </c>
      <c r="C14" s="9">
        <v>0</v>
      </c>
      <c r="D14" s="4"/>
      <c r="E14" s="11"/>
      <c r="F14" s="32"/>
      <c r="G14" s="11"/>
      <c r="H14" s="45"/>
      <c r="I14" s="11"/>
      <c r="J14" s="32"/>
      <c r="K14" s="11"/>
      <c r="L14" s="32"/>
    </row>
    <row r="15" spans="1:12" s="5" customFormat="1" ht="14.25" customHeight="1" x14ac:dyDescent="0.3">
      <c r="A15" s="8" t="s">
        <v>13</v>
      </c>
      <c r="B15" s="9">
        <v>170171010</v>
      </c>
      <c r="C15" s="9">
        <v>46725000</v>
      </c>
      <c r="D15" s="4"/>
      <c r="E15" s="14"/>
      <c r="F15" s="34"/>
      <c r="G15" s="14">
        <f>(C15*50)/596</f>
        <v>3919882.5503355702</v>
      </c>
      <c r="H15" s="48">
        <f t="shared" si="3"/>
        <v>8.3892617449664419E-2</v>
      </c>
      <c r="I15" s="14">
        <f>(C15*400)/596</f>
        <v>31359060.402684562</v>
      </c>
      <c r="J15" s="34">
        <f t="shared" si="4"/>
        <v>0.67114093959731536</v>
      </c>
      <c r="K15" s="14">
        <f>(C15*146)/596</f>
        <v>11446057.046979865</v>
      </c>
      <c r="L15" s="34">
        <f t="shared" si="5"/>
        <v>0.24496644295302011</v>
      </c>
    </row>
    <row r="16" spans="1:12" s="5" customFormat="1" ht="14.25" customHeight="1" x14ac:dyDescent="0.3">
      <c r="A16" s="25" t="s">
        <v>17</v>
      </c>
      <c r="B16" s="26">
        <f>B17+B20+B22+B24+B26+B28+B30+B32+B34+B37+B42+B45+B49+B51+B53+B57+B59+B61+B63+B65+B67+B70+B73+B75+B77+B79+B81+B83+B85+B87+B89+B91</f>
        <v>173968751855.62</v>
      </c>
      <c r="C16" s="26">
        <f>C17+C20+C22+C24+C26+C28+C30+C32+C34+C37+C42+C45+C49+C51+C53+C57+C59+C61+C63+C65+C67+C70+C73+C75+C77+C79+C81+C83+C85+C87+C89+C91</f>
        <v>171098618483.97</v>
      </c>
      <c r="D16" s="4"/>
      <c r="E16" s="26">
        <f t="shared" ref="E16:K16" si="8">E17+E20+E22+E24+E26+E28+E30+E32+E34+E37+E42+E45+E49+E51+E53+E57+E59+E61+E63+E65+E67+E70+E73+E75+E77+E79+E81+E83+E85+E87+E89+E91</f>
        <v>12971462153.594908</v>
      </c>
      <c r="F16" s="29">
        <f t="shared" si="2"/>
        <v>7.5812781356911926E-2</v>
      </c>
      <c r="G16" s="26">
        <f t="shared" si="8"/>
        <v>72752224805.108002</v>
      </c>
      <c r="H16" s="47">
        <f t="shared" si="3"/>
        <v>0.4252063836034074</v>
      </c>
      <c r="I16" s="26">
        <f t="shared" si="8"/>
        <v>74783444655.672958</v>
      </c>
      <c r="J16" s="29">
        <f t="shared" si="4"/>
        <v>0.43707801569817656</v>
      </c>
      <c r="K16" s="26">
        <f t="shared" si="8"/>
        <v>10591486869.594122</v>
      </c>
      <c r="L16" s="29">
        <f t="shared" si="5"/>
        <v>6.1902819341504059E-2</v>
      </c>
    </row>
    <row r="17" spans="1:12" s="5" customFormat="1" ht="14.25" customHeight="1" x14ac:dyDescent="0.3">
      <c r="A17" s="6" t="s">
        <v>18</v>
      </c>
      <c r="B17" s="7">
        <f>B18+B19</f>
        <v>121993332</v>
      </c>
      <c r="C17" s="7">
        <f>C18+C19</f>
        <v>113953332</v>
      </c>
      <c r="D17" s="4"/>
      <c r="E17" s="7">
        <f t="shared" ref="E17:K17" si="9">E18+E19</f>
        <v>9673606.0555717107</v>
      </c>
      <c r="F17" s="30">
        <f t="shared" si="2"/>
        <v>8.489094514210177E-2</v>
      </c>
      <c r="G17" s="7">
        <f t="shared" si="9"/>
        <v>51398752.075399861</v>
      </c>
      <c r="H17" s="43">
        <f t="shared" si="3"/>
        <v>0.45105089226701911</v>
      </c>
      <c r="I17" s="7">
        <f t="shared" si="9"/>
        <v>52880973.869028419</v>
      </c>
      <c r="J17" s="30">
        <f t="shared" si="4"/>
        <v>0.46405816259087906</v>
      </c>
      <c r="K17" s="7">
        <f t="shared" si="9"/>
        <v>0</v>
      </c>
      <c r="L17" s="30">
        <f t="shared" si="5"/>
        <v>0</v>
      </c>
    </row>
    <row r="18" spans="1:12" s="17" customFormat="1" ht="14.25" customHeight="1" x14ac:dyDescent="0.3">
      <c r="A18" s="8" t="s">
        <v>12</v>
      </c>
      <c r="B18" s="9">
        <v>17500000</v>
      </c>
      <c r="C18" s="9">
        <v>17500000</v>
      </c>
      <c r="D18" s="4"/>
      <c r="E18" s="15">
        <f>(C18/37825)*3211</f>
        <v>1485591.5399867811</v>
      </c>
      <c r="F18" s="35">
        <f t="shared" si="2"/>
        <v>8.489094514210177E-2</v>
      </c>
      <c r="G18" s="15">
        <f>(C18/37825)*17061</f>
        <v>7893390.614672835</v>
      </c>
      <c r="H18" s="49">
        <f t="shared" si="3"/>
        <v>0.45105089226701917</v>
      </c>
      <c r="I18" s="15">
        <f>(C18/37825)*17553</f>
        <v>8121017.8453403832</v>
      </c>
      <c r="J18" s="35">
        <f t="shared" si="4"/>
        <v>0.46405816259087906</v>
      </c>
      <c r="K18" s="16"/>
      <c r="L18" s="35">
        <f t="shared" si="5"/>
        <v>0</v>
      </c>
    </row>
    <row r="19" spans="1:12" s="17" customFormat="1" ht="14.25" customHeight="1" x14ac:dyDescent="0.3">
      <c r="A19" s="8" t="s">
        <v>13</v>
      </c>
      <c r="B19" s="9">
        <v>104493332</v>
      </c>
      <c r="C19" s="9">
        <v>96453332</v>
      </c>
      <c r="D19" s="4"/>
      <c r="E19" s="15">
        <f>(C19/37825)*3211</f>
        <v>8188014.5155849298</v>
      </c>
      <c r="F19" s="35">
        <f t="shared" si="2"/>
        <v>8.489094514210177E-2</v>
      </c>
      <c r="G19" s="15">
        <f>(C19/37825)*17061</f>
        <v>43505361.460727029</v>
      </c>
      <c r="H19" s="49">
        <f t="shared" si="3"/>
        <v>0.45105089226701911</v>
      </c>
      <c r="I19" s="15">
        <f>(C19/37825)*17553</f>
        <v>44759956.023688033</v>
      </c>
      <c r="J19" s="35">
        <f t="shared" si="4"/>
        <v>0.46405816259087901</v>
      </c>
      <c r="K19" s="16"/>
      <c r="L19" s="35">
        <f t="shared" si="5"/>
        <v>0</v>
      </c>
    </row>
    <row r="20" spans="1:12" s="17" customFormat="1" ht="14.25" customHeight="1" x14ac:dyDescent="0.3">
      <c r="A20" s="6" t="s">
        <v>19</v>
      </c>
      <c r="B20" s="7">
        <f>B21</f>
        <v>44003600</v>
      </c>
      <c r="C20" s="7">
        <f>C21</f>
        <v>44003600</v>
      </c>
      <c r="D20" s="4"/>
      <c r="E20" s="7">
        <f t="shared" ref="E20:K20" si="10">E21</f>
        <v>3496289.7978373296</v>
      </c>
      <c r="F20" s="30">
        <f t="shared" si="2"/>
        <v>7.9454630935590034E-2</v>
      </c>
      <c r="G20" s="7">
        <f t="shared" si="10"/>
        <v>18576829.723108903</v>
      </c>
      <c r="H20" s="43">
        <f t="shared" si="3"/>
        <v>0.42216613465963926</v>
      </c>
      <c r="I20" s="7">
        <f t="shared" si="10"/>
        <v>19112542.765941653</v>
      </c>
      <c r="J20" s="30">
        <f t="shared" si="4"/>
        <v>0.43434043500853686</v>
      </c>
      <c r="K20" s="7">
        <f t="shared" si="10"/>
        <v>2817937.7131121173</v>
      </c>
      <c r="L20" s="30">
        <f t="shared" si="5"/>
        <v>6.4038799396233886E-2</v>
      </c>
    </row>
    <row r="21" spans="1:12" s="17" customFormat="1" ht="15.75" customHeight="1" x14ac:dyDescent="0.3">
      <c r="A21" s="8" t="s">
        <v>20</v>
      </c>
      <c r="B21" s="9">
        <v>44003600</v>
      </c>
      <c r="C21" s="9">
        <v>44003600</v>
      </c>
      <c r="D21" s="4"/>
      <c r="E21" s="15">
        <f>(C21/40413)*3211</f>
        <v>3496289.7978373296</v>
      </c>
      <c r="F21" s="35">
        <f t="shared" si="2"/>
        <v>7.9454630935590034E-2</v>
      </c>
      <c r="G21" s="15">
        <f>(C21/40413)*17061</f>
        <v>18576829.723108903</v>
      </c>
      <c r="H21" s="49">
        <f t="shared" si="3"/>
        <v>0.42216613465963926</v>
      </c>
      <c r="I21" s="15">
        <f>(C21/40413)*17553</f>
        <v>19112542.765941653</v>
      </c>
      <c r="J21" s="35">
        <f t="shared" si="4"/>
        <v>0.43434043500853686</v>
      </c>
      <c r="K21" s="15">
        <f>(C21/40413)*2588</f>
        <v>2817937.7131121173</v>
      </c>
      <c r="L21" s="35">
        <f t="shared" si="5"/>
        <v>6.4038799396233886E-2</v>
      </c>
    </row>
    <row r="22" spans="1:12" s="17" customFormat="1" ht="14.25" customHeight="1" x14ac:dyDescent="0.3">
      <c r="A22" s="6" t="s">
        <v>21</v>
      </c>
      <c r="B22" s="7">
        <f>B23</f>
        <v>7340625996</v>
      </c>
      <c r="C22" s="7">
        <f>C23</f>
        <v>7340625996</v>
      </c>
      <c r="D22" s="4"/>
      <c r="E22" s="7">
        <f t="shared" ref="E22:K22" si="11">E23</f>
        <v>583246729.34837794</v>
      </c>
      <c r="F22" s="30">
        <f t="shared" si="2"/>
        <v>7.945463093559002E-2</v>
      </c>
      <c r="G22" s="7">
        <f t="shared" si="11"/>
        <v>3098963702.7133842</v>
      </c>
      <c r="H22" s="43">
        <f t="shared" si="3"/>
        <v>0.4221661346596392</v>
      </c>
      <c r="I22" s="7">
        <f t="shared" si="11"/>
        <v>3188330688.3376141</v>
      </c>
      <c r="J22" s="30">
        <f t="shared" si="4"/>
        <v>0.43434043500853686</v>
      </c>
      <c r="K22" s="7">
        <f t="shared" si="11"/>
        <v>470084875.60062355</v>
      </c>
      <c r="L22" s="30">
        <f t="shared" si="5"/>
        <v>6.4038799396233886E-2</v>
      </c>
    </row>
    <row r="23" spans="1:12" s="17" customFormat="1" ht="13.5" customHeight="1" x14ac:dyDescent="0.3">
      <c r="A23" s="8" t="s">
        <v>20</v>
      </c>
      <c r="B23" s="9">
        <v>7340625996</v>
      </c>
      <c r="C23" s="9">
        <v>7340625996</v>
      </c>
      <c r="D23" s="4"/>
      <c r="E23" s="15">
        <f>(C23/40413)*3211</f>
        <v>583246729.34837794</v>
      </c>
      <c r="F23" s="35">
        <f t="shared" si="2"/>
        <v>7.945463093559002E-2</v>
      </c>
      <c r="G23" s="15">
        <f>(C23/40413)*17061</f>
        <v>3098963702.7133842</v>
      </c>
      <c r="H23" s="49">
        <f t="shared" si="3"/>
        <v>0.4221661346596392</v>
      </c>
      <c r="I23" s="15">
        <f>(C23/40413)*17553</f>
        <v>3188330688.3376141</v>
      </c>
      <c r="J23" s="35">
        <f t="shared" si="4"/>
        <v>0.43434043500853686</v>
      </c>
      <c r="K23" s="15">
        <f>(C23/40413)*2588</f>
        <v>470084875.60062355</v>
      </c>
      <c r="L23" s="35">
        <f t="shared" si="5"/>
        <v>6.4038799396233886E-2</v>
      </c>
    </row>
    <row r="24" spans="1:12" s="17" customFormat="1" ht="14.25" customHeight="1" x14ac:dyDescent="0.3">
      <c r="A24" s="6" t="s">
        <v>22</v>
      </c>
      <c r="B24" s="7">
        <f>B25</f>
        <v>8258258650</v>
      </c>
      <c r="C24" s="7">
        <f>C25</f>
        <v>8258258650</v>
      </c>
      <c r="D24" s="4"/>
      <c r="E24" s="7">
        <f t="shared" ref="E24:K24" si="12">E25</f>
        <v>656156893.20639396</v>
      </c>
      <c r="F24" s="30">
        <f t="shared" si="2"/>
        <v>7.9454630935590034E-2</v>
      </c>
      <c r="G24" s="7">
        <f t="shared" si="12"/>
        <v>3486357133.2900305</v>
      </c>
      <c r="H24" s="43">
        <f t="shared" si="3"/>
        <v>0.4221661346596392</v>
      </c>
      <c r="I24" s="7">
        <f t="shared" si="12"/>
        <v>3586895654.4540124</v>
      </c>
      <c r="J24" s="30">
        <f t="shared" si="4"/>
        <v>0.43434043500853686</v>
      </c>
      <c r="K24" s="7">
        <f t="shared" si="12"/>
        <v>528848969.04956323</v>
      </c>
      <c r="L24" s="30">
        <f t="shared" si="5"/>
        <v>6.4038799396233886E-2</v>
      </c>
    </row>
    <row r="25" spans="1:12" s="17" customFormat="1" ht="15.75" customHeight="1" x14ac:dyDescent="0.3">
      <c r="A25" s="8" t="s">
        <v>20</v>
      </c>
      <c r="B25" s="9">
        <v>8258258650</v>
      </c>
      <c r="C25" s="9">
        <v>8258258650</v>
      </c>
      <c r="D25" s="4"/>
      <c r="E25" s="15">
        <f>(C25/40413)*3211</f>
        <v>656156893.20639396</v>
      </c>
      <c r="F25" s="35">
        <f t="shared" si="2"/>
        <v>7.9454630935590034E-2</v>
      </c>
      <c r="G25" s="15">
        <f>(C25/40413)*17061</f>
        <v>3486357133.2900305</v>
      </c>
      <c r="H25" s="49">
        <f t="shared" si="3"/>
        <v>0.4221661346596392</v>
      </c>
      <c r="I25" s="15">
        <f>(C25/40413)*17553</f>
        <v>3586895654.4540124</v>
      </c>
      <c r="J25" s="35">
        <f t="shared" si="4"/>
        <v>0.43434043500853686</v>
      </c>
      <c r="K25" s="15">
        <f>(C25/40413)*2588</f>
        <v>528848969.04956323</v>
      </c>
      <c r="L25" s="35">
        <f t="shared" si="5"/>
        <v>6.4038799396233886E-2</v>
      </c>
    </row>
    <row r="26" spans="1:12" s="17" customFormat="1" ht="14.25" customHeight="1" x14ac:dyDescent="0.3">
      <c r="A26" s="6" t="s">
        <v>23</v>
      </c>
      <c r="B26" s="7">
        <f>B27</f>
        <v>1081283000</v>
      </c>
      <c r="C26" s="7">
        <f>C27</f>
        <v>1081283000</v>
      </c>
      <c r="D26" s="4"/>
      <c r="E26" s="7">
        <f t="shared" ref="E26:K26" si="13">E27</f>
        <v>85912941.701927602</v>
      </c>
      <c r="F26" s="30">
        <f t="shared" si="2"/>
        <v>7.9454630935590034E-2</v>
      </c>
      <c r="G26" s="7">
        <f t="shared" si="13"/>
        <v>456481064.5831787</v>
      </c>
      <c r="H26" s="43">
        <f t="shared" si="3"/>
        <v>0.42216613465963926</v>
      </c>
      <c r="I26" s="7">
        <f t="shared" si="13"/>
        <v>469644928.58733577</v>
      </c>
      <c r="J26" s="30">
        <f t="shared" si="4"/>
        <v>0.43434043500853686</v>
      </c>
      <c r="K26" s="7">
        <f t="shared" si="13"/>
        <v>69244065.127557963</v>
      </c>
      <c r="L26" s="30">
        <f t="shared" si="5"/>
        <v>6.4038799396233886E-2</v>
      </c>
    </row>
    <row r="27" spans="1:12" s="17" customFormat="1" ht="18.75" customHeight="1" x14ac:dyDescent="0.3">
      <c r="A27" s="8" t="s">
        <v>20</v>
      </c>
      <c r="B27" s="9">
        <v>1081283000</v>
      </c>
      <c r="C27" s="9">
        <v>1081283000</v>
      </c>
      <c r="D27" s="4"/>
      <c r="E27" s="15">
        <f>(C27/40413)*3211</f>
        <v>85912941.701927602</v>
      </c>
      <c r="F27" s="35">
        <f t="shared" si="2"/>
        <v>7.9454630935590034E-2</v>
      </c>
      <c r="G27" s="15">
        <f>(C27/40413)*17061</f>
        <v>456481064.5831787</v>
      </c>
      <c r="H27" s="49">
        <f t="shared" si="3"/>
        <v>0.42216613465963926</v>
      </c>
      <c r="I27" s="15">
        <f>(C27/40413)*17553</f>
        <v>469644928.58733577</v>
      </c>
      <c r="J27" s="35">
        <f t="shared" si="4"/>
        <v>0.43434043500853686</v>
      </c>
      <c r="K27" s="15">
        <f>(C27/40413)*2588</f>
        <v>69244065.127557963</v>
      </c>
      <c r="L27" s="35">
        <f t="shared" si="5"/>
        <v>6.4038799396233886E-2</v>
      </c>
    </row>
    <row r="28" spans="1:12" s="17" customFormat="1" ht="14.25" customHeight="1" x14ac:dyDescent="0.3">
      <c r="A28" s="6" t="s">
        <v>24</v>
      </c>
      <c r="B28" s="7">
        <f>B29</f>
        <v>740875400</v>
      </c>
      <c r="C28" s="7">
        <f>C29</f>
        <v>740875400</v>
      </c>
      <c r="D28" s="4"/>
      <c r="E28" s="7">
        <f t="shared" ref="E28:K28" si="14">E29</f>
        <v>58865981.476257637</v>
      </c>
      <c r="F28" s="30">
        <f t="shared" si="2"/>
        <v>7.9454630935590034E-2</v>
      </c>
      <c r="G28" s="7">
        <f t="shared" si="14"/>
        <v>312772503.88241404</v>
      </c>
      <c r="H28" s="43">
        <f t="shared" si="3"/>
        <v>0.4221661346596392</v>
      </c>
      <c r="I28" s="7">
        <f t="shared" si="14"/>
        <v>321792143.52312374</v>
      </c>
      <c r="J28" s="30">
        <f t="shared" si="4"/>
        <v>0.43434043500853686</v>
      </c>
      <c r="K28" s="7">
        <f t="shared" si="14"/>
        <v>47444771.118204534</v>
      </c>
      <c r="L28" s="30">
        <f t="shared" si="5"/>
        <v>6.4038799396233886E-2</v>
      </c>
    </row>
    <row r="29" spans="1:12" s="17" customFormat="1" ht="16.5" customHeight="1" x14ac:dyDescent="0.3">
      <c r="A29" s="8" t="s">
        <v>20</v>
      </c>
      <c r="B29" s="9">
        <v>740875400</v>
      </c>
      <c r="C29" s="9">
        <v>740875400</v>
      </c>
      <c r="D29" s="4"/>
      <c r="E29" s="15">
        <f>(C29/40413)*3211</f>
        <v>58865981.476257637</v>
      </c>
      <c r="F29" s="35">
        <f t="shared" si="2"/>
        <v>7.9454630935590034E-2</v>
      </c>
      <c r="G29" s="15">
        <f>(C29/40413)*17061</f>
        <v>312772503.88241404</v>
      </c>
      <c r="H29" s="49">
        <f t="shared" si="3"/>
        <v>0.4221661346596392</v>
      </c>
      <c r="I29" s="15">
        <f>(C29/40413)*17553</f>
        <v>321792143.52312374</v>
      </c>
      <c r="J29" s="35">
        <f t="shared" si="4"/>
        <v>0.43434043500853686</v>
      </c>
      <c r="K29" s="15">
        <f>(C29/40413)*2588</f>
        <v>47444771.118204534</v>
      </c>
      <c r="L29" s="35">
        <f t="shared" si="5"/>
        <v>6.4038799396233886E-2</v>
      </c>
    </row>
    <row r="30" spans="1:12" s="17" customFormat="1" ht="14.25" customHeight="1" x14ac:dyDescent="0.3">
      <c r="A30" s="6" t="s">
        <v>25</v>
      </c>
      <c r="B30" s="7">
        <f>B31</f>
        <v>254589945</v>
      </c>
      <c r="C30" s="7">
        <f>C31</f>
        <v>254589945</v>
      </c>
      <c r="D30" s="4"/>
      <c r="E30" s="7">
        <f t="shared" ref="E30:K30" si="15">E31</f>
        <v>20228350.119887166</v>
      </c>
      <c r="F30" s="30">
        <f t="shared" si="2"/>
        <v>7.9454630935590034E-2</v>
      </c>
      <c r="G30" s="7">
        <f t="shared" si="15"/>
        <v>107479253.00386015</v>
      </c>
      <c r="H30" s="43">
        <f t="shared" si="3"/>
        <v>0.42216613465963926</v>
      </c>
      <c r="I30" s="7">
        <f t="shared" si="15"/>
        <v>110578707.46009947</v>
      </c>
      <c r="J30" s="30">
        <f t="shared" si="4"/>
        <v>0.43434043500853686</v>
      </c>
      <c r="K30" s="7">
        <f t="shared" si="15"/>
        <v>16303634.416153219</v>
      </c>
      <c r="L30" s="30">
        <f t="shared" si="5"/>
        <v>6.4038799396233886E-2</v>
      </c>
    </row>
    <row r="31" spans="1:12" s="17" customFormat="1" ht="18" customHeight="1" x14ac:dyDescent="0.3">
      <c r="A31" s="8" t="s">
        <v>20</v>
      </c>
      <c r="B31" s="9">
        <v>254589945</v>
      </c>
      <c r="C31" s="9">
        <v>254589945</v>
      </c>
      <c r="D31" s="4"/>
      <c r="E31" s="15">
        <f>(C31/40413)*3211</f>
        <v>20228350.119887166</v>
      </c>
      <c r="F31" s="35">
        <f t="shared" si="2"/>
        <v>7.9454630935590034E-2</v>
      </c>
      <c r="G31" s="15">
        <f>(C31/40413)*17061</f>
        <v>107479253.00386015</v>
      </c>
      <c r="H31" s="49">
        <f t="shared" si="3"/>
        <v>0.42216613465963926</v>
      </c>
      <c r="I31" s="15">
        <f>(C31/40413)*17553</f>
        <v>110578707.46009947</v>
      </c>
      <c r="J31" s="35">
        <f t="shared" si="4"/>
        <v>0.43434043500853686</v>
      </c>
      <c r="K31" s="15">
        <f>(C31/40413)*2588</f>
        <v>16303634.416153219</v>
      </c>
      <c r="L31" s="35">
        <f t="shared" si="5"/>
        <v>6.4038799396233886E-2</v>
      </c>
    </row>
    <row r="32" spans="1:12" s="17" customFormat="1" ht="14.25" customHeight="1" x14ac:dyDescent="0.3">
      <c r="A32" s="6" t="s">
        <v>26</v>
      </c>
      <c r="B32" s="7">
        <f>B33</f>
        <v>4429039000</v>
      </c>
      <c r="C32" s="7">
        <f>C33</f>
        <v>4429039000</v>
      </c>
      <c r="D32" s="4"/>
      <c r="E32" s="7">
        <f t="shared" ref="E32:K32" si="16">E33</f>
        <v>351907659.14433479</v>
      </c>
      <c r="F32" s="30">
        <f t="shared" si="2"/>
        <v>7.9454630935590048E-2</v>
      </c>
      <c r="G32" s="7">
        <f t="shared" si="16"/>
        <v>1869790274.8867939</v>
      </c>
      <c r="H32" s="43">
        <f t="shared" si="3"/>
        <v>0.4221661346596392</v>
      </c>
      <c r="I32" s="7">
        <f t="shared" si="16"/>
        <v>1923710725.9297752</v>
      </c>
      <c r="J32" s="30">
        <f t="shared" si="4"/>
        <v>0.43434043500853692</v>
      </c>
      <c r="K32" s="7">
        <f t="shared" si="16"/>
        <v>283630340.03909636</v>
      </c>
      <c r="L32" s="30">
        <f t="shared" si="5"/>
        <v>6.4038799396233886E-2</v>
      </c>
    </row>
    <row r="33" spans="1:12" s="17" customFormat="1" ht="18.75" customHeight="1" x14ac:dyDescent="0.3">
      <c r="A33" s="8" t="s">
        <v>20</v>
      </c>
      <c r="B33" s="9">
        <v>4429039000</v>
      </c>
      <c r="C33" s="9">
        <v>4429039000</v>
      </c>
      <c r="D33" s="4"/>
      <c r="E33" s="15">
        <f>(C33/40413)*3211</f>
        <v>351907659.14433479</v>
      </c>
      <c r="F33" s="35">
        <f t="shared" si="2"/>
        <v>7.9454630935590048E-2</v>
      </c>
      <c r="G33" s="15">
        <f>(C33/40413)*17061</f>
        <v>1869790274.8867939</v>
      </c>
      <c r="H33" s="49">
        <f t="shared" si="3"/>
        <v>0.4221661346596392</v>
      </c>
      <c r="I33" s="15">
        <f>(C33/40413)*17553</f>
        <v>1923710725.9297752</v>
      </c>
      <c r="J33" s="35">
        <f t="shared" si="4"/>
        <v>0.43434043500853692</v>
      </c>
      <c r="K33" s="15">
        <f>(C33/40413)*2588</f>
        <v>283630340.03909636</v>
      </c>
      <c r="L33" s="35">
        <f t="shared" si="5"/>
        <v>6.4038799396233886E-2</v>
      </c>
    </row>
    <row r="34" spans="1:12" s="5" customFormat="1" ht="14.25" customHeight="1" x14ac:dyDescent="0.3">
      <c r="A34" s="6" t="s">
        <v>27</v>
      </c>
      <c r="B34" s="7">
        <f>SUM(B35:B36)</f>
        <v>47527333</v>
      </c>
      <c r="C34" s="7">
        <f>SUM(C35:C36)</f>
        <v>37526666</v>
      </c>
      <c r="D34" s="4"/>
      <c r="E34" s="7">
        <f t="shared" ref="E34:K34" si="17">SUM(E35:E36)</f>
        <v>3185674.1447719764</v>
      </c>
      <c r="F34" s="30">
        <f t="shared" si="2"/>
        <v>8.4890945142101784E-2</v>
      </c>
      <c r="G34" s="7">
        <f t="shared" si="17"/>
        <v>16926436.183106411</v>
      </c>
      <c r="H34" s="43">
        <f t="shared" si="3"/>
        <v>0.45105089226701917</v>
      </c>
      <c r="I34" s="7">
        <f t="shared" si="17"/>
        <v>17414555.672121614</v>
      </c>
      <c r="J34" s="30">
        <f t="shared" si="4"/>
        <v>0.46405816259087906</v>
      </c>
      <c r="K34" s="7">
        <f t="shared" si="17"/>
        <v>0</v>
      </c>
      <c r="L34" s="30">
        <f t="shared" si="5"/>
        <v>0</v>
      </c>
    </row>
    <row r="35" spans="1:12" s="17" customFormat="1" ht="14.25" customHeight="1" x14ac:dyDescent="0.3">
      <c r="A35" s="8" t="s">
        <v>12</v>
      </c>
      <c r="B35" s="9">
        <v>19334000</v>
      </c>
      <c r="C35" s="9">
        <v>9333333</v>
      </c>
      <c r="D35" s="4"/>
      <c r="E35" s="15">
        <f>($C35/37825)*3211</f>
        <v>792315.45969596831</v>
      </c>
      <c r="F35" s="35">
        <f t="shared" si="2"/>
        <v>8.4890945142101784E-2</v>
      </c>
      <c r="G35" s="15">
        <f>(C35/37825)*17061</f>
        <v>4209808.1774752149</v>
      </c>
      <c r="H35" s="49">
        <f t="shared" si="3"/>
        <v>0.45105089226701917</v>
      </c>
      <c r="I35" s="15">
        <f>(C35/37825)*17553</f>
        <v>4331209.3628288172</v>
      </c>
      <c r="J35" s="35">
        <f t="shared" si="4"/>
        <v>0.46405816259087906</v>
      </c>
      <c r="K35" s="15"/>
      <c r="L35" s="35">
        <f t="shared" si="5"/>
        <v>0</v>
      </c>
    </row>
    <row r="36" spans="1:12" s="17" customFormat="1" ht="14.25" customHeight="1" x14ac:dyDescent="0.3">
      <c r="A36" s="8" t="s">
        <v>13</v>
      </c>
      <c r="B36" s="9">
        <v>28193333</v>
      </c>
      <c r="C36" s="9">
        <v>28193333</v>
      </c>
      <c r="D36" s="4"/>
      <c r="E36" s="15">
        <f>($C36/37825)*3211</f>
        <v>2393358.6850760081</v>
      </c>
      <c r="F36" s="35">
        <f t="shared" si="2"/>
        <v>8.4890945142101784E-2</v>
      </c>
      <c r="G36" s="15">
        <f>(C36/37825)*17061</f>
        <v>12716628.005631195</v>
      </c>
      <c r="H36" s="49">
        <f t="shared" si="3"/>
        <v>0.45105089226701911</v>
      </c>
      <c r="I36" s="15">
        <f>(C36/37825)*17553</f>
        <v>13083346.309292795</v>
      </c>
      <c r="J36" s="35">
        <f t="shared" si="4"/>
        <v>0.46405816259087901</v>
      </c>
      <c r="K36" s="9"/>
      <c r="L36" s="35">
        <f t="shared" si="5"/>
        <v>0</v>
      </c>
    </row>
    <row r="37" spans="1:12" s="5" customFormat="1" ht="14.25" customHeight="1" x14ac:dyDescent="0.3">
      <c r="A37" s="6" t="s">
        <v>28</v>
      </c>
      <c r="B37" s="7">
        <f>SUM(B38:B41)</f>
        <v>14922923260.25</v>
      </c>
      <c r="C37" s="7">
        <f>SUM(C38:C41)</f>
        <v>13479680795</v>
      </c>
      <c r="D37" s="4"/>
      <c r="E37" s="7">
        <f t="shared" ref="E37:K37" si="18">SUM(E38:E41)</f>
        <v>478023085.15827692</v>
      </c>
      <c r="F37" s="30">
        <f t="shared" si="2"/>
        <v>3.5462492949802596E-2</v>
      </c>
      <c r="G37" s="7">
        <f t="shared" si="18"/>
        <v>6229980784.8013601</v>
      </c>
      <c r="H37" s="43">
        <f t="shared" si="3"/>
        <v>0.46217569091934568</v>
      </c>
      <c r="I37" s="7">
        <f t="shared" si="18"/>
        <v>6255640075.6547871</v>
      </c>
      <c r="J37" s="30">
        <f t="shared" si="4"/>
        <v>0.46407924421883812</v>
      </c>
      <c r="K37" s="7">
        <f t="shared" si="18"/>
        <v>516036849.38557529</v>
      </c>
      <c r="L37" s="30">
        <f t="shared" si="5"/>
        <v>3.8282571912013535E-2</v>
      </c>
    </row>
    <row r="38" spans="1:12" s="17" customFormat="1" ht="28.8" x14ac:dyDescent="0.3">
      <c r="A38" s="8" t="s">
        <v>29</v>
      </c>
      <c r="B38" s="9">
        <v>14208283356.25</v>
      </c>
      <c r="C38" s="9">
        <v>12797117693.4</v>
      </c>
      <c r="D38" s="4"/>
      <c r="E38" s="18">
        <f>(C38/28368)*1006</f>
        <v>453817695.97999156</v>
      </c>
      <c r="F38" s="36">
        <f t="shared" si="2"/>
        <v>3.5462492949802596E-2</v>
      </c>
      <c r="G38" s="18">
        <f>(C38/28368)*13111</f>
        <v>5914516711.7233286</v>
      </c>
      <c r="H38" s="50">
        <f t="shared" si="3"/>
        <v>0.46217569091934574</v>
      </c>
      <c r="I38" s="18">
        <f>(C38/28368)*13165</f>
        <v>5938876707.332593</v>
      </c>
      <c r="J38" s="36">
        <f t="shared" si="4"/>
        <v>0.46407924421883812</v>
      </c>
      <c r="K38" s="18">
        <f>(C38/28368)*1086</f>
        <v>489906578.36408627</v>
      </c>
      <c r="L38" s="36">
        <f t="shared" si="5"/>
        <v>3.8282571912013535E-2</v>
      </c>
    </row>
    <row r="39" spans="1:12" s="17" customFormat="1" ht="14.25" customHeight="1" x14ac:dyDescent="0.3">
      <c r="A39" s="8" t="s">
        <v>12</v>
      </c>
      <c r="B39" s="9">
        <v>34205332.039999999</v>
      </c>
      <c r="C39" s="9">
        <v>3881886.6</v>
      </c>
      <c r="D39" s="4"/>
      <c r="E39" s="18">
        <f t="shared" ref="E39:E41" si="19">(C39/28368)*1006</f>
        <v>137661.37618443317</v>
      </c>
      <c r="F39" s="36">
        <f t="shared" si="2"/>
        <v>3.5462492949802596E-2</v>
      </c>
      <c r="G39" s="18">
        <f t="shared" ref="G39:G41" si="20">(C39/28368)*13111</f>
        <v>1794113.62142555</v>
      </c>
      <c r="H39" s="50">
        <f t="shared" si="3"/>
        <v>0.46217569091934574</v>
      </c>
      <c r="I39" s="18">
        <f t="shared" ref="I39:I41" si="21">(C39/28368)*13165</f>
        <v>1801502.9994712353</v>
      </c>
      <c r="J39" s="36">
        <f t="shared" si="4"/>
        <v>0.46407924421883817</v>
      </c>
      <c r="K39" s="18">
        <f t="shared" ref="K39:K41" si="22">(C39/28368)*1086</f>
        <v>148608.60291878175</v>
      </c>
      <c r="L39" s="36">
        <f t="shared" si="5"/>
        <v>3.8282571912013542E-2</v>
      </c>
    </row>
    <row r="40" spans="1:12" s="17" customFormat="1" ht="14.25" customHeight="1" x14ac:dyDescent="0.3">
      <c r="A40" s="8" t="s">
        <v>13</v>
      </c>
      <c r="B40" s="9">
        <v>286083149.95999998</v>
      </c>
      <c r="C40" s="9">
        <v>284329793</v>
      </c>
      <c r="D40" s="4"/>
      <c r="E40" s="18">
        <f t="shared" si="19"/>
        <v>10083043.279681332</v>
      </c>
      <c r="F40" s="36">
        <f t="shared" si="2"/>
        <v>3.5462492949802596E-2</v>
      </c>
      <c r="G40" s="18">
        <f t="shared" si="20"/>
        <v>131410318.52872956</v>
      </c>
      <c r="H40" s="50">
        <f t="shared" si="3"/>
        <v>0.46217569091934574</v>
      </c>
      <c r="I40" s="18">
        <f t="shared" si="21"/>
        <v>131951555.44433869</v>
      </c>
      <c r="J40" s="36">
        <f t="shared" si="4"/>
        <v>0.46407924421883812</v>
      </c>
      <c r="K40" s="18">
        <f t="shared" si="22"/>
        <v>10884875.747250423</v>
      </c>
      <c r="L40" s="36">
        <f t="shared" si="5"/>
        <v>3.8282571912013535E-2</v>
      </c>
    </row>
    <row r="41" spans="1:12" s="17" customFormat="1" x14ac:dyDescent="0.3">
      <c r="A41" s="8" t="s">
        <v>20</v>
      </c>
      <c r="B41" s="9">
        <v>394351422</v>
      </c>
      <c r="C41" s="9">
        <v>394351422</v>
      </c>
      <c r="D41" s="4"/>
      <c r="E41" s="18">
        <f t="shared" si="19"/>
        <v>13984684.522419628</v>
      </c>
      <c r="F41" s="36">
        <f t="shared" si="2"/>
        <v>3.5462492949802596E-2</v>
      </c>
      <c r="G41" s="18">
        <f t="shared" si="20"/>
        <v>182259640.9278765</v>
      </c>
      <c r="H41" s="50">
        <f t="shared" si="3"/>
        <v>0.46217569091934579</v>
      </c>
      <c r="I41" s="18">
        <f t="shared" si="21"/>
        <v>183010309.87838411</v>
      </c>
      <c r="J41" s="36">
        <f t="shared" si="4"/>
        <v>0.46407924421883817</v>
      </c>
      <c r="K41" s="18">
        <f t="shared" si="22"/>
        <v>15096786.671319798</v>
      </c>
      <c r="L41" s="36">
        <f t="shared" si="5"/>
        <v>3.8282571912013535E-2</v>
      </c>
    </row>
    <row r="42" spans="1:12" s="17" customFormat="1" ht="14.25" customHeight="1" x14ac:dyDescent="0.3">
      <c r="A42" s="6" t="s">
        <v>30</v>
      </c>
      <c r="B42" s="7">
        <f>B43+B44</f>
        <v>1291293075</v>
      </c>
      <c r="C42" s="7">
        <f>C43+C44</f>
        <v>686226089</v>
      </c>
      <c r="D42" s="4"/>
      <c r="E42" s="7">
        <f t="shared" ref="E42:K42" si="23">E43+E44</f>
        <v>54523840.639868364</v>
      </c>
      <c r="F42" s="30">
        <f t="shared" si="2"/>
        <v>7.9454630935590034E-2</v>
      </c>
      <c r="G42" s="7">
        <f t="shared" si="23"/>
        <v>289701415.49573159</v>
      </c>
      <c r="H42" s="43">
        <f t="shared" si="3"/>
        <v>0.42216613465963926</v>
      </c>
      <c r="I42" s="7">
        <f t="shared" si="23"/>
        <v>298055738.01046693</v>
      </c>
      <c r="J42" s="30">
        <f t="shared" si="4"/>
        <v>0.43434043500853686</v>
      </c>
      <c r="K42" s="7">
        <f t="shared" si="23"/>
        <v>43945094.853933141</v>
      </c>
      <c r="L42" s="30">
        <f t="shared" si="5"/>
        <v>6.4038799396233886E-2</v>
      </c>
    </row>
    <row r="43" spans="1:12" s="17" customFormat="1" ht="14.25" customHeight="1" x14ac:dyDescent="0.3">
      <c r="A43" s="8" t="s">
        <v>12</v>
      </c>
      <c r="B43" s="9">
        <v>679223083</v>
      </c>
      <c r="C43" s="9">
        <v>679076783</v>
      </c>
      <c r="D43" s="4"/>
      <c r="E43" s="15">
        <f t="shared" ref="E43:E44" si="24">(C43/40413)*3211</f>
        <v>53955795.170192763</v>
      </c>
      <c r="F43" s="35">
        <f t="shared" si="2"/>
        <v>7.9454630935590034E-2</v>
      </c>
      <c r="G43" s="15">
        <f t="shared" ref="G43:G44" si="25">(C43/40413)*17061</f>
        <v>286683220.61621261</v>
      </c>
      <c r="H43" s="49">
        <f t="shared" si="3"/>
        <v>0.4221661346596392</v>
      </c>
      <c r="I43" s="15">
        <f t="shared" ref="I43:I44" si="26">(C43/40413)*17553</f>
        <v>294950505.33241779</v>
      </c>
      <c r="J43" s="35">
        <f t="shared" si="4"/>
        <v>0.43434043500853686</v>
      </c>
      <c r="K43" s="15">
        <f t="shared" ref="K43:K44" si="27">(C43/40413)*2588</f>
        <v>43487261.881176852</v>
      </c>
      <c r="L43" s="35">
        <f t="shared" si="5"/>
        <v>6.4038799396233886E-2</v>
      </c>
    </row>
    <row r="44" spans="1:12" s="17" customFormat="1" ht="14.25" customHeight="1" x14ac:dyDescent="0.3">
      <c r="A44" s="8" t="s">
        <v>13</v>
      </c>
      <c r="B44" s="9">
        <v>612069992</v>
      </c>
      <c r="C44" s="9">
        <v>7149306</v>
      </c>
      <c r="D44" s="4"/>
      <c r="E44" s="15">
        <f t="shared" si="24"/>
        <v>568045.46967559948</v>
      </c>
      <c r="F44" s="35">
        <f t="shared" si="2"/>
        <v>7.9454630935590034E-2</v>
      </c>
      <c r="G44" s="15">
        <f t="shared" si="25"/>
        <v>3018194.8795189667</v>
      </c>
      <c r="H44" s="49">
        <f t="shared" si="3"/>
        <v>0.4221661346596392</v>
      </c>
      <c r="I44" s="15">
        <f t="shared" si="26"/>
        <v>3105232.6780491425</v>
      </c>
      <c r="J44" s="35">
        <f t="shared" si="4"/>
        <v>0.43434043500853686</v>
      </c>
      <c r="K44" s="15">
        <f t="shared" si="27"/>
        <v>457832.97275629127</v>
      </c>
      <c r="L44" s="35">
        <f t="shared" si="5"/>
        <v>6.4038799396233886E-2</v>
      </c>
    </row>
    <row r="45" spans="1:12" s="17" customFormat="1" ht="14.25" customHeight="1" x14ac:dyDescent="0.3">
      <c r="A45" s="6" t="s">
        <v>31</v>
      </c>
      <c r="B45" s="7">
        <f>B46+B47</f>
        <v>4248059708.1800003</v>
      </c>
      <c r="C45" s="7">
        <f>C46+C47</f>
        <v>3955651121</v>
      </c>
      <c r="D45" s="4"/>
      <c r="E45" s="7">
        <f t="shared" ref="E45:K45" si="28">E46+E47</f>
        <v>314294799.92900801</v>
      </c>
      <c r="F45" s="30">
        <f t="shared" si="2"/>
        <v>7.9454630935590034E-2</v>
      </c>
      <c r="G45" s="7">
        <f t="shared" si="28"/>
        <v>1669941943.8146391</v>
      </c>
      <c r="H45" s="43">
        <f t="shared" si="3"/>
        <v>0.42216613465963926</v>
      </c>
      <c r="I45" s="7">
        <f t="shared" si="28"/>
        <v>1718099228.6371465</v>
      </c>
      <c r="J45" s="30">
        <f t="shared" si="4"/>
        <v>0.43434043500853686</v>
      </c>
      <c r="K45" s="7">
        <f t="shared" si="28"/>
        <v>253315148.61920673</v>
      </c>
      <c r="L45" s="30">
        <f t="shared" si="5"/>
        <v>6.40387993962339E-2</v>
      </c>
    </row>
    <row r="46" spans="1:12" s="17" customFormat="1" ht="14.25" customHeight="1" x14ac:dyDescent="0.3">
      <c r="A46" s="8" t="s">
        <v>12</v>
      </c>
      <c r="B46" s="9">
        <v>1293421650.1800001</v>
      </c>
      <c r="C46" s="9">
        <v>1002578266</v>
      </c>
      <c r="D46" s="4"/>
      <c r="E46" s="15">
        <f t="shared" ref="E46:E47" si="29">(C46/40413)*3211</f>
        <v>79659486.109073818</v>
      </c>
      <c r="F46" s="35">
        <f t="shared" si="2"/>
        <v>7.9454630935590034E-2</v>
      </c>
      <c r="G46" s="15">
        <f t="shared" ref="G46:G47" si="30">(C46/40413)*17061</f>
        <v>423254591.2509836</v>
      </c>
      <c r="H46" s="49">
        <f t="shared" si="3"/>
        <v>0.4221661346596392</v>
      </c>
      <c r="I46" s="15">
        <f t="shared" ref="I46:I47" si="31">(C46/40413)*17553</f>
        <v>435460280.18454456</v>
      </c>
      <c r="J46" s="35">
        <f t="shared" si="4"/>
        <v>0.43434043500853686</v>
      </c>
      <c r="K46" s="15">
        <f t="shared" ref="K46:K47" si="32">(C46/40413)*2588</f>
        <v>64203908.455398016</v>
      </c>
      <c r="L46" s="35">
        <f t="shared" si="5"/>
        <v>6.4038799396233886E-2</v>
      </c>
    </row>
    <row r="47" spans="1:12" s="17" customFormat="1" ht="14.25" customHeight="1" x14ac:dyDescent="0.3">
      <c r="A47" s="8" t="s">
        <v>13</v>
      </c>
      <c r="B47" s="9">
        <v>2954638058</v>
      </c>
      <c r="C47" s="9">
        <v>2953072855</v>
      </c>
      <c r="D47" s="4"/>
      <c r="E47" s="15">
        <f t="shared" si="29"/>
        <v>234635313.81993419</v>
      </c>
      <c r="F47" s="35">
        <f t="shared" si="2"/>
        <v>7.9454630935590034E-2</v>
      </c>
      <c r="G47" s="15">
        <f t="shared" si="30"/>
        <v>1246687352.5636554</v>
      </c>
      <c r="H47" s="49">
        <f t="shared" si="3"/>
        <v>0.42216613465963926</v>
      </c>
      <c r="I47" s="15">
        <f t="shared" si="31"/>
        <v>1282638948.4526019</v>
      </c>
      <c r="J47" s="35">
        <f t="shared" si="4"/>
        <v>0.43434043500853686</v>
      </c>
      <c r="K47" s="15">
        <f t="shared" si="32"/>
        <v>189111240.1638087</v>
      </c>
      <c r="L47" s="35">
        <f t="shared" si="5"/>
        <v>6.40387993962339E-2</v>
      </c>
    </row>
    <row r="48" spans="1:12" s="17" customFormat="1" ht="14.25" customHeight="1" x14ac:dyDescent="0.3">
      <c r="A48" s="8" t="s">
        <v>20</v>
      </c>
      <c r="B48" s="9">
        <v>0</v>
      </c>
      <c r="C48" s="9">
        <v>0</v>
      </c>
      <c r="D48" s="4"/>
      <c r="E48" s="9"/>
      <c r="F48" s="37"/>
      <c r="G48" s="9"/>
      <c r="H48" s="51"/>
      <c r="I48" s="9"/>
      <c r="J48" s="37"/>
      <c r="K48" s="9"/>
      <c r="L48" s="37" t="e">
        <f t="shared" si="5"/>
        <v>#DIV/0!</v>
      </c>
    </row>
    <row r="49" spans="1:12" s="17" customFormat="1" ht="14.25" customHeight="1" x14ac:dyDescent="0.3">
      <c r="A49" s="6" t="s">
        <v>32</v>
      </c>
      <c r="B49" s="7">
        <f>B50</f>
        <v>281237757</v>
      </c>
      <c r="C49" s="7">
        <f>C50</f>
        <v>249564275</v>
      </c>
      <c r="D49" s="4"/>
      <c r="E49" s="7">
        <f t="shared" ref="E49:K49" si="33">E50</f>
        <v>19829037.364833098</v>
      </c>
      <c r="F49" s="30">
        <f t="shared" si="2"/>
        <v>7.9454630935590034E-2</v>
      </c>
      <c r="G49" s="7">
        <f t="shared" si="33"/>
        <v>105357585.32588522</v>
      </c>
      <c r="H49" s="43">
        <f t="shared" si="3"/>
        <v>0.42216613465963915</v>
      </c>
      <c r="I49" s="7">
        <f t="shared" si="33"/>
        <v>108395855.76609011</v>
      </c>
      <c r="J49" s="30">
        <f t="shared" si="4"/>
        <v>0.43434043500853681</v>
      </c>
      <c r="K49" s="7">
        <f t="shared" si="33"/>
        <v>15981796.543191547</v>
      </c>
      <c r="L49" s="30">
        <f t="shared" si="5"/>
        <v>6.4038799396233886E-2</v>
      </c>
    </row>
    <row r="50" spans="1:12" s="17" customFormat="1" ht="14.25" customHeight="1" x14ac:dyDescent="0.3">
      <c r="A50" s="8" t="s">
        <v>20</v>
      </c>
      <c r="B50" s="9">
        <v>281237757</v>
      </c>
      <c r="C50" s="9">
        <v>249564275</v>
      </c>
      <c r="D50" s="4"/>
      <c r="E50" s="15">
        <f t="shared" ref="E50" si="34">(C50/40413)*3211</f>
        <v>19829037.364833098</v>
      </c>
      <c r="F50" s="35">
        <f t="shared" si="2"/>
        <v>7.9454630935590034E-2</v>
      </c>
      <c r="G50" s="15">
        <f t="shared" ref="G50" si="35">(C50/40413)*17061</f>
        <v>105357585.32588522</v>
      </c>
      <c r="H50" s="49">
        <f t="shared" si="3"/>
        <v>0.42216613465963915</v>
      </c>
      <c r="I50" s="15">
        <f t="shared" ref="I50" si="36">(C50/40413)*17553</f>
        <v>108395855.76609011</v>
      </c>
      <c r="J50" s="35">
        <f t="shared" si="4"/>
        <v>0.43434043500853681</v>
      </c>
      <c r="K50" s="15">
        <f t="shared" ref="K50" si="37">(C50/40413)*2588</f>
        <v>15981796.543191547</v>
      </c>
      <c r="L50" s="35">
        <f t="shared" si="5"/>
        <v>6.4038799396233886E-2</v>
      </c>
    </row>
    <row r="51" spans="1:12" s="5" customFormat="1" ht="14.25" customHeight="1" x14ac:dyDescent="0.3">
      <c r="A51" s="6" t="s">
        <v>33</v>
      </c>
      <c r="B51" s="7">
        <f>B52</f>
        <v>17345593</v>
      </c>
      <c r="C51" s="7">
        <f>C52</f>
        <v>17338504</v>
      </c>
      <c r="D51" s="4"/>
      <c r="E51" s="7">
        <f t="shared" ref="E51:K51" si="38">E52</f>
        <v>1950099.0022271716</v>
      </c>
      <c r="F51" s="30">
        <f t="shared" si="2"/>
        <v>0.11247216035634744</v>
      </c>
      <c r="G51" s="7">
        <f t="shared" si="38"/>
        <v>8592020.3563474398</v>
      </c>
      <c r="H51" s="43">
        <f t="shared" si="3"/>
        <v>0.49554565701559028</v>
      </c>
      <c r="I51" s="7">
        <f t="shared" si="38"/>
        <v>6796384.6414253898</v>
      </c>
      <c r="J51" s="30">
        <f t="shared" si="4"/>
        <v>0.39198218262806234</v>
      </c>
      <c r="K51" s="7">
        <f t="shared" si="38"/>
        <v>0</v>
      </c>
      <c r="L51" s="30">
        <f t="shared" si="5"/>
        <v>0</v>
      </c>
    </row>
    <row r="52" spans="1:12" s="17" customFormat="1" ht="14.25" customHeight="1" x14ac:dyDescent="0.3">
      <c r="A52" s="8" t="s">
        <v>20</v>
      </c>
      <c r="B52" s="9">
        <v>17345593</v>
      </c>
      <c r="C52" s="9">
        <v>17338504</v>
      </c>
      <c r="D52" s="4"/>
      <c r="E52" s="18">
        <f>(C52/898)*101</f>
        <v>1950099.0022271716</v>
      </c>
      <c r="F52" s="36">
        <f t="shared" si="2"/>
        <v>0.11247216035634744</v>
      </c>
      <c r="G52" s="18">
        <f>(C52/898)*445</f>
        <v>8592020.3563474398</v>
      </c>
      <c r="H52" s="50">
        <f t="shared" si="3"/>
        <v>0.49554565701559028</v>
      </c>
      <c r="I52" s="18">
        <f>(C52/898)*352</f>
        <v>6796384.6414253898</v>
      </c>
      <c r="J52" s="36">
        <f t="shared" si="4"/>
        <v>0.39198218262806234</v>
      </c>
      <c r="K52" s="18"/>
      <c r="L52" s="36">
        <f t="shared" si="5"/>
        <v>0</v>
      </c>
    </row>
    <row r="53" spans="1:12" s="5" customFormat="1" ht="42" customHeight="1" x14ac:dyDescent="0.3">
      <c r="A53" s="6" t="s">
        <v>34</v>
      </c>
      <c r="B53" s="7">
        <f>SUM(B54:B56)</f>
        <v>346223160.18000001</v>
      </c>
      <c r="C53" s="7">
        <f>SUM(C54:C56)</f>
        <v>332384502.87</v>
      </c>
      <c r="D53" s="4"/>
      <c r="E53" s="7">
        <f t="shared" ref="E53:K53" si="39">SUM(E54:E56)</f>
        <v>27024729.449650396</v>
      </c>
      <c r="F53" s="30">
        <f t="shared" si="2"/>
        <v>8.1305624107932989E-2</v>
      </c>
      <c r="G53" s="7">
        <f t="shared" si="39"/>
        <v>141688818.82023856</v>
      </c>
      <c r="H53" s="43">
        <f t="shared" si="3"/>
        <v>0.42627985840740279</v>
      </c>
      <c r="I53" s="7">
        <f t="shared" si="39"/>
        <v>143578735.12589332</v>
      </c>
      <c r="J53" s="30">
        <f t="shared" si="4"/>
        <v>0.43196579228619714</v>
      </c>
      <c r="K53" s="7">
        <f t="shared" si="39"/>
        <v>20092219.474217702</v>
      </c>
      <c r="L53" s="30">
        <f t="shared" si="5"/>
        <v>6.0448725198467015E-2</v>
      </c>
    </row>
    <row r="54" spans="1:12" s="17" customFormat="1" ht="14.25" customHeight="1" x14ac:dyDescent="0.3">
      <c r="A54" s="8" t="s">
        <v>12</v>
      </c>
      <c r="B54" s="9">
        <v>287276586.69999999</v>
      </c>
      <c r="C54" s="9">
        <v>287276586</v>
      </c>
      <c r="D54" s="4"/>
      <c r="E54" s="15">
        <f t="shared" ref="E54:E55" si="40">(C54/40413)*3211</f>
        <v>22825455.11706629</v>
      </c>
      <c r="F54" s="35">
        <f t="shared" si="2"/>
        <v>7.9454630935590034E-2</v>
      </c>
      <c r="G54" s="15">
        <f t="shared" ref="G54:G55" si="41">(C54/40413)*17061</f>
        <v>121278445.88983743</v>
      </c>
      <c r="H54" s="49">
        <f t="shared" si="3"/>
        <v>0.4221661346596392</v>
      </c>
      <c r="I54" s="15">
        <f t="shared" ref="I54:I55" si="42">(C54/40413)*17553</f>
        <v>124775837.33100735</v>
      </c>
      <c r="J54" s="35">
        <f t="shared" si="4"/>
        <v>0.43434043500853686</v>
      </c>
      <c r="K54" s="15">
        <f t="shared" ref="K54:K55" si="43">(C54/40413)*2588</f>
        <v>18396847.662088931</v>
      </c>
      <c r="L54" s="35">
        <f t="shared" si="5"/>
        <v>6.4038799396233886E-2</v>
      </c>
    </row>
    <row r="55" spans="1:12" s="17" customFormat="1" ht="14.25" customHeight="1" x14ac:dyDescent="0.3">
      <c r="A55" s="8" t="s">
        <v>13</v>
      </c>
      <c r="B55" s="9">
        <v>26474135</v>
      </c>
      <c r="C55" s="9">
        <v>26474134.870000001</v>
      </c>
      <c r="D55" s="4"/>
      <c r="E55" s="15">
        <f t="shared" si="40"/>
        <v>2103492.615434885</v>
      </c>
      <c r="F55" s="35">
        <f t="shared" si="2"/>
        <v>7.9454630935590034E-2</v>
      </c>
      <c r="G55" s="15">
        <f t="shared" si="41"/>
        <v>11176483.186525872</v>
      </c>
      <c r="H55" s="49">
        <f t="shared" si="3"/>
        <v>0.42216613465963926</v>
      </c>
      <c r="I55" s="15">
        <f t="shared" si="42"/>
        <v>11498787.255910475</v>
      </c>
      <c r="J55" s="35">
        <f t="shared" si="4"/>
        <v>0.43434043500853686</v>
      </c>
      <c r="K55" s="15">
        <f t="shared" si="43"/>
        <v>1695371.8121287706</v>
      </c>
      <c r="L55" s="35">
        <f t="shared" si="5"/>
        <v>6.4038799396233886E-2</v>
      </c>
    </row>
    <row r="56" spans="1:12" s="17" customFormat="1" ht="16.5" customHeight="1" x14ac:dyDescent="0.3">
      <c r="A56" s="8" t="s">
        <v>20</v>
      </c>
      <c r="B56" s="9">
        <v>32472438.48</v>
      </c>
      <c r="C56" s="9">
        <v>18633782</v>
      </c>
      <c r="D56" s="4"/>
      <c r="E56" s="18">
        <f>(C56/898)*101</f>
        <v>2095781.7171492206</v>
      </c>
      <c r="F56" s="36">
        <f t="shared" si="2"/>
        <v>0.11247216035634745</v>
      </c>
      <c r="G56" s="18">
        <f>(C56/898)*445</f>
        <v>9233889.7438752782</v>
      </c>
      <c r="H56" s="50">
        <f t="shared" si="3"/>
        <v>0.49554565701559017</v>
      </c>
      <c r="I56" s="18">
        <f>(C56/898)*352</f>
        <v>7304110.5389755014</v>
      </c>
      <c r="J56" s="36">
        <f t="shared" si="4"/>
        <v>0.39198218262806239</v>
      </c>
      <c r="K56" s="15"/>
      <c r="L56" s="36">
        <f t="shared" si="5"/>
        <v>0</v>
      </c>
    </row>
    <row r="57" spans="1:12" s="17" customFormat="1" ht="14.25" customHeight="1" x14ac:dyDescent="0.3">
      <c r="A57" s="6" t="s">
        <v>35</v>
      </c>
      <c r="B57" s="7">
        <f>B58</f>
        <v>4401000</v>
      </c>
      <c r="C57" s="7">
        <f>C58</f>
        <v>4401000</v>
      </c>
      <c r="D57" s="4"/>
      <c r="E57" s="7">
        <f t="shared" ref="E57:K57" si="44">E58</f>
        <v>349679.83074753173</v>
      </c>
      <c r="F57" s="30">
        <f t="shared" si="2"/>
        <v>7.9454630935590034E-2</v>
      </c>
      <c r="G57" s="7">
        <f t="shared" si="44"/>
        <v>1857953.1586370722</v>
      </c>
      <c r="H57" s="43">
        <f t="shared" si="3"/>
        <v>0.4221661346596392</v>
      </c>
      <c r="I57" s="7">
        <f t="shared" si="44"/>
        <v>1911532.2544725707</v>
      </c>
      <c r="J57" s="30">
        <f t="shared" si="4"/>
        <v>0.43434043500853686</v>
      </c>
      <c r="K57" s="7">
        <f t="shared" si="44"/>
        <v>281834.75614282535</v>
      </c>
      <c r="L57" s="30">
        <f t="shared" si="5"/>
        <v>6.4038799396233886E-2</v>
      </c>
    </row>
    <row r="58" spans="1:12" s="17" customFormat="1" ht="14.25" customHeight="1" x14ac:dyDescent="0.3">
      <c r="A58" s="8" t="s">
        <v>20</v>
      </c>
      <c r="B58" s="9">
        <v>4401000</v>
      </c>
      <c r="C58" s="9">
        <v>4401000</v>
      </c>
      <c r="D58" s="4"/>
      <c r="E58" s="15">
        <f>(C58/40413)*3211</f>
        <v>349679.83074753173</v>
      </c>
      <c r="F58" s="35">
        <f t="shared" si="2"/>
        <v>7.9454630935590034E-2</v>
      </c>
      <c r="G58" s="15">
        <f>(C58/40413)*17061</f>
        <v>1857953.1586370722</v>
      </c>
      <c r="H58" s="49">
        <f t="shared" si="3"/>
        <v>0.4221661346596392</v>
      </c>
      <c r="I58" s="15">
        <f>(C58/40413)*17553</f>
        <v>1911532.2544725707</v>
      </c>
      <c r="J58" s="35">
        <f t="shared" si="4"/>
        <v>0.43434043500853686</v>
      </c>
      <c r="K58" s="15">
        <f>(C58/40413)*2588</f>
        <v>281834.75614282535</v>
      </c>
      <c r="L58" s="35">
        <f t="shared" si="5"/>
        <v>6.4038799396233886E-2</v>
      </c>
    </row>
    <row r="59" spans="1:12" s="17" customFormat="1" ht="14.25" customHeight="1" x14ac:dyDescent="0.3">
      <c r="A59" s="6" t="s">
        <v>36</v>
      </c>
      <c r="B59" s="7">
        <f>B60</f>
        <v>5441632</v>
      </c>
      <c r="C59" s="7">
        <f>C60</f>
        <v>5441632</v>
      </c>
      <c r="D59" s="4"/>
      <c r="E59" s="7">
        <f t="shared" ref="E59:K59" si="45">E60</f>
        <v>432362.86224729667</v>
      </c>
      <c r="F59" s="30">
        <f t="shared" si="2"/>
        <v>7.9454630935590034E-2</v>
      </c>
      <c r="G59" s="7">
        <f t="shared" si="45"/>
        <v>2297272.7476802021</v>
      </c>
      <c r="H59" s="43">
        <f t="shared" si="3"/>
        <v>0.42216613465963926</v>
      </c>
      <c r="I59" s="7">
        <f t="shared" si="45"/>
        <v>2363520.8100363747</v>
      </c>
      <c r="J59" s="30">
        <f t="shared" si="4"/>
        <v>0.43434043500853692</v>
      </c>
      <c r="K59" s="7">
        <f t="shared" si="45"/>
        <v>348475.58003612701</v>
      </c>
      <c r="L59" s="30">
        <f t="shared" si="5"/>
        <v>6.4038799396233886E-2</v>
      </c>
    </row>
    <row r="60" spans="1:12" s="17" customFormat="1" ht="14.25" customHeight="1" x14ac:dyDescent="0.3">
      <c r="A60" s="8" t="s">
        <v>20</v>
      </c>
      <c r="B60" s="9">
        <v>5441632</v>
      </c>
      <c r="C60" s="9">
        <v>5441632</v>
      </c>
      <c r="D60" s="4"/>
      <c r="E60" s="15">
        <f>(C60/40413)*3211</f>
        <v>432362.86224729667</v>
      </c>
      <c r="F60" s="35">
        <f t="shared" si="2"/>
        <v>7.9454630935590034E-2</v>
      </c>
      <c r="G60" s="15">
        <f>(C60/40413)*17061</f>
        <v>2297272.7476802021</v>
      </c>
      <c r="H60" s="49">
        <f t="shared" si="3"/>
        <v>0.42216613465963926</v>
      </c>
      <c r="I60" s="15">
        <f>(C60/40413)*17553</f>
        <v>2363520.8100363747</v>
      </c>
      <c r="J60" s="35">
        <f t="shared" si="4"/>
        <v>0.43434043500853692</v>
      </c>
      <c r="K60" s="15">
        <f>(C60/40413)*2588</f>
        <v>348475.58003612701</v>
      </c>
      <c r="L60" s="35">
        <f t="shared" si="5"/>
        <v>6.4038799396233886E-2</v>
      </c>
    </row>
    <row r="61" spans="1:12" s="17" customFormat="1" ht="14.25" customHeight="1" x14ac:dyDescent="0.3">
      <c r="A61" s="6" t="s">
        <v>37</v>
      </c>
      <c r="B61" s="7">
        <f>B62</f>
        <v>555233500</v>
      </c>
      <c r="C61" s="7">
        <f>C62</f>
        <v>555233500</v>
      </c>
      <c r="D61" s="4"/>
      <c r="E61" s="7">
        <f t="shared" ref="E61:K61" si="46">E62</f>
        <v>44115872.825575933</v>
      </c>
      <c r="F61" s="30">
        <f t="shared" si="2"/>
        <v>7.9454630935590034E-2</v>
      </c>
      <c r="G61" s="7">
        <f t="shared" si="46"/>
        <v>234400780.52854282</v>
      </c>
      <c r="H61" s="43">
        <f t="shared" si="3"/>
        <v>0.42216613465963926</v>
      </c>
      <c r="I61" s="7">
        <f t="shared" si="46"/>
        <v>241160359.92131245</v>
      </c>
      <c r="J61" s="30">
        <f t="shared" si="4"/>
        <v>0.43434043500853686</v>
      </c>
      <c r="K61" s="7">
        <f t="shared" si="46"/>
        <v>35556486.724568829</v>
      </c>
      <c r="L61" s="30">
        <f t="shared" si="5"/>
        <v>6.4038799396233886E-2</v>
      </c>
    </row>
    <row r="62" spans="1:12" s="17" customFormat="1" ht="14.25" customHeight="1" x14ac:dyDescent="0.3">
      <c r="A62" s="8" t="s">
        <v>20</v>
      </c>
      <c r="B62" s="9">
        <v>555233500</v>
      </c>
      <c r="C62" s="9">
        <v>555233500</v>
      </c>
      <c r="D62" s="4"/>
      <c r="E62" s="15">
        <f>(C62/40413)*3211</f>
        <v>44115872.825575933</v>
      </c>
      <c r="F62" s="35">
        <f t="shared" si="2"/>
        <v>7.9454630935590034E-2</v>
      </c>
      <c r="G62" s="15">
        <f>(C62/40413)*17061</f>
        <v>234400780.52854282</v>
      </c>
      <c r="H62" s="49">
        <f t="shared" si="3"/>
        <v>0.42216613465963926</v>
      </c>
      <c r="I62" s="15">
        <f>(C62/40413)*17553</f>
        <v>241160359.92131245</v>
      </c>
      <c r="J62" s="35">
        <f t="shared" si="4"/>
        <v>0.43434043500853686</v>
      </c>
      <c r="K62" s="15">
        <f>(C62/40413)*2588</f>
        <v>35556486.724568829</v>
      </c>
      <c r="L62" s="35">
        <f t="shared" si="5"/>
        <v>6.4038799396233886E-2</v>
      </c>
    </row>
    <row r="63" spans="1:12" s="17" customFormat="1" ht="14.25" customHeight="1" x14ac:dyDescent="0.3">
      <c r="A63" s="6" t="s">
        <v>38</v>
      </c>
      <c r="B63" s="7">
        <f>B64</f>
        <v>3322533700</v>
      </c>
      <c r="C63" s="7">
        <f>C64</f>
        <v>3322533700</v>
      </c>
      <c r="D63" s="4"/>
      <c r="E63" s="7">
        <f t="shared" ref="E63:K63" si="47">E64</f>
        <v>263990688.90456042</v>
      </c>
      <c r="F63" s="30">
        <f t="shared" si="2"/>
        <v>7.9454630935590034E-2</v>
      </c>
      <c r="G63" s="7">
        <f t="shared" si="47"/>
        <v>1402661209.4053893</v>
      </c>
      <c r="H63" s="43">
        <f t="shared" si="3"/>
        <v>0.4221661346596392</v>
      </c>
      <c r="I63" s="7">
        <f t="shared" si="47"/>
        <v>1443110732.5885236</v>
      </c>
      <c r="J63" s="30">
        <f t="shared" si="4"/>
        <v>0.43434043500853692</v>
      </c>
      <c r="K63" s="7">
        <f t="shared" si="47"/>
        <v>212771069.10152674</v>
      </c>
      <c r="L63" s="30">
        <f t="shared" si="5"/>
        <v>6.4038799396233886E-2</v>
      </c>
    </row>
    <row r="64" spans="1:12" s="17" customFormat="1" ht="14.25" customHeight="1" x14ac:dyDescent="0.3">
      <c r="A64" s="8" t="s">
        <v>20</v>
      </c>
      <c r="B64" s="9">
        <v>3322533700</v>
      </c>
      <c r="C64" s="9">
        <v>3322533700</v>
      </c>
      <c r="D64" s="4"/>
      <c r="E64" s="15">
        <f>(C64/40413)*3211</f>
        <v>263990688.90456042</v>
      </c>
      <c r="F64" s="35">
        <f t="shared" si="2"/>
        <v>7.9454630935590034E-2</v>
      </c>
      <c r="G64" s="15">
        <f>(C64/40413)*17061</f>
        <v>1402661209.4053893</v>
      </c>
      <c r="H64" s="49">
        <f t="shared" si="3"/>
        <v>0.4221661346596392</v>
      </c>
      <c r="I64" s="15">
        <f>(C64/40413)*17553</f>
        <v>1443110732.5885236</v>
      </c>
      <c r="J64" s="35">
        <f t="shared" si="4"/>
        <v>0.43434043500853692</v>
      </c>
      <c r="K64" s="15">
        <f>(C64/40413)*2588</f>
        <v>212771069.10152674</v>
      </c>
      <c r="L64" s="35">
        <f t="shared" si="5"/>
        <v>6.4038799396233886E-2</v>
      </c>
    </row>
    <row r="65" spans="1:12" s="17" customFormat="1" ht="14.25" customHeight="1" x14ac:dyDescent="0.3">
      <c r="A65" s="6" t="s">
        <v>39</v>
      </c>
      <c r="B65" s="7">
        <f>B66</f>
        <v>1108631700</v>
      </c>
      <c r="C65" s="7">
        <f>C66</f>
        <v>1108631700</v>
      </c>
      <c r="D65" s="4"/>
      <c r="E65" s="7">
        <f t="shared" ref="E65:K65" si="48">E66</f>
        <v>88085922.56699577</v>
      </c>
      <c r="F65" s="30">
        <f t="shared" si="2"/>
        <v>7.9454630935590034E-2</v>
      </c>
      <c r="G65" s="7">
        <f t="shared" si="48"/>
        <v>468026759.55014473</v>
      </c>
      <c r="H65" s="43">
        <f t="shared" si="3"/>
        <v>0.4221661346596392</v>
      </c>
      <c r="I65" s="7">
        <f t="shared" si="48"/>
        <v>481523574.84225368</v>
      </c>
      <c r="J65" s="30">
        <f t="shared" si="4"/>
        <v>0.43434043500853681</v>
      </c>
      <c r="K65" s="7">
        <f t="shared" si="48"/>
        <v>70995443.040605739</v>
      </c>
      <c r="L65" s="30">
        <f t="shared" si="5"/>
        <v>6.4038799396233873E-2</v>
      </c>
    </row>
    <row r="66" spans="1:12" s="17" customFormat="1" ht="14.25" customHeight="1" x14ac:dyDescent="0.3">
      <c r="A66" s="8" t="s">
        <v>20</v>
      </c>
      <c r="B66" s="9">
        <v>1108631700</v>
      </c>
      <c r="C66" s="9">
        <v>1108631700</v>
      </c>
      <c r="D66" s="4"/>
      <c r="E66" s="15">
        <f>(C66/40413)*3211</f>
        <v>88085922.56699577</v>
      </c>
      <c r="F66" s="35">
        <f t="shared" si="2"/>
        <v>7.9454630935590034E-2</v>
      </c>
      <c r="G66" s="15">
        <f>(C66/40413)*17061</f>
        <v>468026759.55014473</v>
      </c>
      <c r="H66" s="49">
        <f t="shared" si="3"/>
        <v>0.4221661346596392</v>
      </c>
      <c r="I66" s="15">
        <f>(C66/40413)*17553</f>
        <v>481523574.84225368</v>
      </c>
      <c r="J66" s="35">
        <f t="shared" si="4"/>
        <v>0.43434043500853681</v>
      </c>
      <c r="K66" s="15">
        <f>(C66/40413)*2588</f>
        <v>70995443.040605739</v>
      </c>
      <c r="L66" s="35">
        <f t="shared" si="5"/>
        <v>6.4038799396233873E-2</v>
      </c>
    </row>
    <row r="67" spans="1:12" s="5" customFormat="1" ht="14.25" customHeight="1" x14ac:dyDescent="0.3">
      <c r="A67" s="6" t="s">
        <v>40</v>
      </c>
      <c r="B67" s="7">
        <f>SUM(B68:B69)</f>
        <v>487332361.06999999</v>
      </c>
      <c r="C67" s="7">
        <f>SUM(C68:C69)</f>
        <v>483269948</v>
      </c>
      <c r="D67" s="4"/>
      <c r="E67" s="7">
        <f t="shared" ref="E67:K67" si="49">SUM(E68:E69)</f>
        <v>17137957.123801466</v>
      </c>
      <c r="F67" s="30">
        <f t="shared" si="2"/>
        <v>3.5462492949802596E-2</v>
      </c>
      <c r="G67" s="7">
        <f t="shared" si="49"/>
        <v>223355622.11745626</v>
      </c>
      <c r="H67" s="43">
        <f t="shared" si="3"/>
        <v>0.46217569091934568</v>
      </c>
      <c r="I67" s="7">
        <f t="shared" si="49"/>
        <v>224275552.22151721</v>
      </c>
      <c r="J67" s="30">
        <f t="shared" si="4"/>
        <v>0.46407924421883812</v>
      </c>
      <c r="K67" s="7">
        <f t="shared" si="49"/>
        <v>18500816.537225042</v>
      </c>
      <c r="L67" s="30">
        <f t="shared" si="5"/>
        <v>3.8282571912013535E-2</v>
      </c>
    </row>
    <row r="68" spans="1:12" s="17" customFormat="1" ht="14.25" customHeight="1" x14ac:dyDescent="0.3">
      <c r="A68" s="8" t="s">
        <v>29</v>
      </c>
      <c r="B68" s="9">
        <v>310098935.19</v>
      </c>
      <c r="C68" s="9">
        <v>310098935.19</v>
      </c>
      <c r="D68" s="4"/>
      <c r="E68" s="18">
        <f>(C68/28368)*1006</f>
        <v>10996881.302916666</v>
      </c>
      <c r="F68" s="36">
        <f t="shared" si="2"/>
        <v>3.5462492949802596E-2</v>
      </c>
      <c r="G68" s="18">
        <f>(C68/28368)*13111</f>
        <v>143320189.62479165</v>
      </c>
      <c r="H68" s="50">
        <f t="shared" si="3"/>
        <v>0.46217569091934568</v>
      </c>
      <c r="I68" s="18">
        <f>(C68/28368)*13165</f>
        <v>143910479.47604164</v>
      </c>
      <c r="J68" s="36">
        <f t="shared" si="4"/>
        <v>0.46407924421883806</v>
      </c>
      <c r="K68" s="18">
        <f>(C68/28368)*1086</f>
        <v>11871384.786249999</v>
      </c>
      <c r="L68" s="36">
        <f t="shared" si="5"/>
        <v>3.8282571912013535E-2</v>
      </c>
    </row>
    <row r="69" spans="1:12" s="17" customFormat="1" ht="14.25" customHeight="1" x14ac:dyDescent="0.3">
      <c r="A69" s="8" t="s">
        <v>12</v>
      </c>
      <c r="B69" s="9">
        <v>177233425.88</v>
      </c>
      <c r="C69" s="9">
        <v>173171012.81</v>
      </c>
      <c r="D69" s="4"/>
      <c r="E69" s="18">
        <f>(C69/28368)*1006</f>
        <v>6141075.8208847996</v>
      </c>
      <c r="F69" s="36">
        <f t="shared" si="2"/>
        <v>3.5462492949802596E-2</v>
      </c>
      <c r="G69" s="18">
        <f>(C69/28368)*13111</f>
        <v>80035432.49266462</v>
      </c>
      <c r="H69" s="50">
        <f t="shared" si="3"/>
        <v>0.46217569091934574</v>
      </c>
      <c r="I69" s="18">
        <f>(C69/28368)*13165</f>
        <v>80365072.745475546</v>
      </c>
      <c r="J69" s="36">
        <f t="shared" si="4"/>
        <v>0.46407924421883817</v>
      </c>
      <c r="K69" s="18">
        <f>(C69/28368)*1086</f>
        <v>6629431.7509750426</v>
      </c>
      <c r="L69" s="36">
        <f t="shared" si="5"/>
        <v>3.8282571912013535E-2</v>
      </c>
    </row>
    <row r="70" spans="1:12" s="5" customFormat="1" ht="14.25" customHeight="1" x14ac:dyDescent="0.3">
      <c r="A70" s="6" t="s">
        <v>41</v>
      </c>
      <c r="B70" s="7">
        <f>SUM(B71:B72)</f>
        <v>647234337</v>
      </c>
      <c r="C70" s="7">
        <f>SUM(C71:C72)</f>
        <v>329330132.10000002</v>
      </c>
      <c r="D70" s="4"/>
      <c r="E70" s="7">
        <f t="shared" ref="E70:K70" si="50">SUM(E71:E72)</f>
        <v>15300219.362065729</v>
      </c>
      <c r="F70" s="30">
        <f t="shared" ref="F70:F122" si="51">E70/C70</f>
        <v>4.6458607551342637E-2</v>
      </c>
      <c r="G70" s="7">
        <f t="shared" si="50"/>
        <v>93547867.528802097</v>
      </c>
      <c r="H70" s="43">
        <f t="shared" ref="H70:H124" si="52">G70/C70</f>
        <v>0.2840549904507268</v>
      </c>
      <c r="I70" s="7">
        <f t="shared" si="50"/>
        <v>193218220.51891917</v>
      </c>
      <c r="J70" s="30">
        <f t="shared" ref="J70:J124" si="53">I70/C70</f>
        <v>0.58670070450841427</v>
      </c>
      <c r="K70" s="7">
        <f t="shared" si="50"/>
        <v>27263824.69021298</v>
      </c>
      <c r="L70" s="30">
        <f t="shared" ref="L70:L124" si="54">K70/C70</f>
        <v>8.2785697489516114E-2</v>
      </c>
    </row>
    <row r="71" spans="1:12" s="17" customFormat="1" ht="14.25" customHeight="1" x14ac:dyDescent="0.3">
      <c r="A71" s="8" t="s">
        <v>12</v>
      </c>
      <c r="B71" s="9">
        <v>216682555.38999999</v>
      </c>
      <c r="C71" s="9">
        <v>151081807.09999999</v>
      </c>
      <c r="D71" s="4"/>
      <c r="E71" s="15">
        <f>(C71*4.71)/100</f>
        <v>7115953.1144099999</v>
      </c>
      <c r="F71" s="35">
        <f t="shared" si="51"/>
        <v>4.7100000000000003E-2</v>
      </c>
      <c r="G71" s="15">
        <f>(C71*28.71)/100</f>
        <v>43375586.818409994</v>
      </c>
      <c r="H71" s="49">
        <f t="shared" si="52"/>
        <v>0.28709999999999997</v>
      </c>
      <c r="I71" s="15">
        <f>(C71*58.65)/100</f>
        <v>88609479.864149988</v>
      </c>
      <c r="J71" s="35">
        <f t="shared" si="53"/>
        <v>0.58649999999999991</v>
      </c>
      <c r="K71" s="15">
        <f>(C71*7.93)/100</f>
        <v>11980787.303029999</v>
      </c>
      <c r="L71" s="35">
        <f t="shared" si="54"/>
        <v>7.9299999999999995E-2</v>
      </c>
    </row>
    <row r="72" spans="1:12" s="17" customFormat="1" ht="14.25" customHeight="1" x14ac:dyDescent="0.3">
      <c r="A72" s="8" t="s">
        <v>13</v>
      </c>
      <c r="B72" s="9">
        <v>430551781.61000001</v>
      </c>
      <c r="C72" s="9">
        <v>178248325</v>
      </c>
      <c r="D72" s="4"/>
      <c r="E72" s="9">
        <v>8184266.2476557288</v>
      </c>
      <c r="F72" s="37">
        <f t="shared" si="51"/>
        <v>4.5914968612780674E-2</v>
      </c>
      <c r="G72" s="9">
        <v>50172280.710392103</v>
      </c>
      <c r="H72" s="51">
        <f t="shared" si="52"/>
        <v>0.28147406552287157</v>
      </c>
      <c r="I72" s="9">
        <v>104608740.65476918</v>
      </c>
      <c r="J72" s="37">
        <f t="shared" si="53"/>
        <v>0.58687081999098267</v>
      </c>
      <c r="K72" s="9">
        <v>15283037.387182981</v>
      </c>
      <c r="L72" s="37">
        <f t="shared" si="54"/>
        <v>8.5740145873365037E-2</v>
      </c>
    </row>
    <row r="73" spans="1:12" s="17" customFormat="1" ht="14.25" customHeight="1" x14ac:dyDescent="0.3">
      <c r="A73" s="6" t="s">
        <v>42</v>
      </c>
      <c r="B73" s="7">
        <f>B74</f>
        <v>123769488.94</v>
      </c>
      <c r="C73" s="7">
        <f>C74</f>
        <v>0</v>
      </c>
      <c r="D73" s="4"/>
      <c r="E73" s="7"/>
      <c r="F73" s="38"/>
      <c r="G73" s="7"/>
      <c r="H73" s="43"/>
      <c r="I73" s="7"/>
      <c r="J73" s="30"/>
      <c r="K73" s="7"/>
      <c r="L73" s="30" t="e">
        <f t="shared" si="54"/>
        <v>#DIV/0!</v>
      </c>
    </row>
    <row r="74" spans="1:12" s="17" customFormat="1" ht="14.25" customHeight="1" x14ac:dyDescent="0.3">
      <c r="A74" s="8" t="s">
        <v>20</v>
      </c>
      <c r="B74" s="9">
        <v>123769488.94</v>
      </c>
      <c r="C74" s="9">
        <v>0</v>
      </c>
      <c r="D74" s="4"/>
      <c r="E74" s="18"/>
      <c r="F74" s="36"/>
      <c r="G74" s="18"/>
      <c r="H74" s="50"/>
      <c r="I74" s="18"/>
      <c r="J74" s="36"/>
      <c r="K74" s="18"/>
      <c r="L74" s="36" t="e">
        <f t="shared" si="54"/>
        <v>#DIV/0!</v>
      </c>
    </row>
    <row r="75" spans="1:12" s="17" customFormat="1" ht="14.25" customHeight="1" x14ac:dyDescent="0.3">
      <c r="A75" s="6" t="s">
        <v>43</v>
      </c>
      <c r="B75" s="7">
        <f>B76</f>
        <v>10670751828</v>
      </c>
      <c r="C75" s="7">
        <f>C76</f>
        <v>10670751828</v>
      </c>
      <c r="D75" s="4"/>
      <c r="E75" s="7">
        <f t="shared" ref="E75:K75" si="55">E76</f>
        <v>847840648.29901266</v>
      </c>
      <c r="F75" s="30">
        <f t="shared" si="51"/>
        <v>7.9454630935590034E-2</v>
      </c>
      <c r="G75" s="7">
        <f t="shared" si="55"/>
        <v>4504830053.139039</v>
      </c>
      <c r="H75" s="43">
        <f t="shared" si="52"/>
        <v>0.4221661346596392</v>
      </c>
      <c r="I75" s="7">
        <f t="shared" si="55"/>
        <v>4634738990.8416595</v>
      </c>
      <c r="J75" s="30">
        <f t="shared" si="53"/>
        <v>0.43434043500853681</v>
      </c>
      <c r="K75" s="7">
        <f t="shared" si="55"/>
        <v>683342135.72028804</v>
      </c>
      <c r="L75" s="30">
        <f t="shared" si="54"/>
        <v>6.4038799396233886E-2</v>
      </c>
    </row>
    <row r="76" spans="1:12" s="17" customFormat="1" ht="14.25" customHeight="1" x14ac:dyDescent="0.3">
      <c r="A76" s="8" t="s">
        <v>20</v>
      </c>
      <c r="B76" s="9">
        <v>10670751828</v>
      </c>
      <c r="C76" s="9">
        <v>10670751828</v>
      </c>
      <c r="D76" s="4"/>
      <c r="E76" s="15">
        <f>(C76/40413)*3211</f>
        <v>847840648.29901266</v>
      </c>
      <c r="F76" s="35">
        <f t="shared" si="51"/>
        <v>7.9454630935590034E-2</v>
      </c>
      <c r="G76" s="15">
        <f>(C76/40413)*17061</f>
        <v>4504830053.139039</v>
      </c>
      <c r="H76" s="49">
        <f t="shared" si="52"/>
        <v>0.4221661346596392</v>
      </c>
      <c r="I76" s="15">
        <f>(C76/40413)*17553</f>
        <v>4634738990.8416595</v>
      </c>
      <c r="J76" s="35">
        <f t="shared" si="53"/>
        <v>0.43434043500853681</v>
      </c>
      <c r="K76" s="15">
        <f>(C76/40413)*2588</f>
        <v>683342135.72028804</v>
      </c>
      <c r="L76" s="35">
        <f t="shared" si="54"/>
        <v>6.4038799396233886E-2</v>
      </c>
    </row>
    <row r="77" spans="1:12" s="17" customFormat="1" ht="14.25" customHeight="1" x14ac:dyDescent="0.3">
      <c r="A77" s="6" t="s">
        <v>44</v>
      </c>
      <c r="B77" s="7">
        <f>B78</f>
        <v>12411413114</v>
      </c>
      <c r="C77" s="7">
        <f>C78</f>
        <v>12411413114</v>
      </c>
      <c r="D77" s="4"/>
      <c r="E77" s="7">
        <f t="shared" ref="E77:K77" si="56">E78</f>
        <v>986144248.36201227</v>
      </c>
      <c r="F77" s="30">
        <f t="shared" si="51"/>
        <v>7.9454630935590034E-2</v>
      </c>
      <c r="G77" s="7">
        <f t="shared" si="56"/>
        <v>5239678300.0013371</v>
      </c>
      <c r="H77" s="43">
        <f t="shared" si="52"/>
        <v>0.42216613465963931</v>
      </c>
      <c r="I77" s="7">
        <f t="shared" si="56"/>
        <v>5390778571.0054197</v>
      </c>
      <c r="J77" s="30">
        <f t="shared" si="53"/>
        <v>0.43434043500853692</v>
      </c>
      <c r="K77" s="7">
        <f t="shared" si="56"/>
        <v>794811994.63123262</v>
      </c>
      <c r="L77" s="30">
        <f t="shared" si="54"/>
        <v>6.4038799396233886E-2</v>
      </c>
    </row>
    <row r="78" spans="1:12" s="17" customFormat="1" ht="14.25" customHeight="1" x14ac:dyDescent="0.3">
      <c r="A78" s="8" t="s">
        <v>20</v>
      </c>
      <c r="B78" s="9">
        <v>12411413114</v>
      </c>
      <c r="C78" s="9">
        <v>12411413114</v>
      </c>
      <c r="D78" s="4"/>
      <c r="E78" s="15">
        <f>(C78/40413)*3211</f>
        <v>986144248.36201227</v>
      </c>
      <c r="F78" s="35">
        <f t="shared" si="51"/>
        <v>7.9454630935590034E-2</v>
      </c>
      <c r="G78" s="15">
        <f>(C78/40413)*17061</f>
        <v>5239678300.0013371</v>
      </c>
      <c r="H78" s="49">
        <f t="shared" si="52"/>
        <v>0.42216613465963931</v>
      </c>
      <c r="I78" s="15">
        <f>(C78/40413)*17553</f>
        <v>5390778571.0054197</v>
      </c>
      <c r="J78" s="35">
        <f t="shared" si="53"/>
        <v>0.43434043500853692</v>
      </c>
      <c r="K78" s="15">
        <f>(C78/40413)*2588</f>
        <v>794811994.63123262</v>
      </c>
      <c r="L78" s="35">
        <f t="shared" si="54"/>
        <v>6.4038799396233886E-2</v>
      </c>
    </row>
    <row r="79" spans="1:12" s="17" customFormat="1" ht="14.25" customHeight="1" x14ac:dyDescent="0.3">
      <c r="A79" s="6" t="s">
        <v>45</v>
      </c>
      <c r="B79" s="7">
        <f>B80</f>
        <v>900185640</v>
      </c>
      <c r="C79" s="7">
        <f>C80</f>
        <v>900185640</v>
      </c>
      <c r="D79" s="4"/>
      <c r="E79" s="7">
        <f t="shared" ref="E79:K79" si="57">E80</f>
        <v>71523917.799717918</v>
      </c>
      <c r="F79" s="30">
        <f t="shared" si="51"/>
        <v>7.9454630935590034E-2</v>
      </c>
      <c r="G79" s="7">
        <f t="shared" si="57"/>
        <v>380027892.11491352</v>
      </c>
      <c r="H79" s="43">
        <f t="shared" si="52"/>
        <v>0.42216613465963926</v>
      </c>
      <c r="I79" s="7">
        <f t="shared" si="57"/>
        <v>390987022.46603817</v>
      </c>
      <c r="J79" s="30">
        <f t="shared" si="53"/>
        <v>0.43434043500853686</v>
      </c>
      <c r="K79" s="7">
        <f t="shared" si="57"/>
        <v>57646807.619330414</v>
      </c>
      <c r="L79" s="30">
        <f t="shared" si="54"/>
        <v>6.4038799396233886E-2</v>
      </c>
    </row>
    <row r="80" spans="1:12" s="17" customFormat="1" ht="14.25" customHeight="1" x14ac:dyDescent="0.3">
      <c r="A80" s="8" t="s">
        <v>20</v>
      </c>
      <c r="B80" s="9">
        <v>900185640</v>
      </c>
      <c r="C80" s="9">
        <v>900185640</v>
      </c>
      <c r="D80" s="4"/>
      <c r="E80" s="15">
        <f>(C80/40413)*3211</f>
        <v>71523917.799717918</v>
      </c>
      <c r="F80" s="35">
        <f t="shared" si="51"/>
        <v>7.9454630935590034E-2</v>
      </c>
      <c r="G80" s="15">
        <f>(C80/40413)*17061</f>
        <v>380027892.11491352</v>
      </c>
      <c r="H80" s="49">
        <f t="shared" si="52"/>
        <v>0.42216613465963926</v>
      </c>
      <c r="I80" s="15">
        <f>(C80/40413)*17553</f>
        <v>390987022.46603817</v>
      </c>
      <c r="J80" s="35">
        <f t="shared" si="53"/>
        <v>0.43434043500853686</v>
      </c>
      <c r="K80" s="15">
        <f>(C80/40413)*2588</f>
        <v>57646807.619330414</v>
      </c>
      <c r="L80" s="35">
        <f t="shared" si="54"/>
        <v>6.4038799396233886E-2</v>
      </c>
    </row>
    <row r="81" spans="1:12" s="17" customFormat="1" ht="14.25" customHeight="1" x14ac:dyDescent="0.3">
      <c r="A81" s="6" t="s">
        <v>46</v>
      </c>
      <c r="B81" s="7">
        <f>B82</f>
        <v>91860458297</v>
      </c>
      <c r="C81" s="7">
        <f>C82</f>
        <v>91851660164</v>
      </c>
      <c r="D81" s="4"/>
      <c r="E81" s="7">
        <f t="shared" ref="E81:K81" si="58">E82</f>
        <v>7298039759.1518564</v>
      </c>
      <c r="F81" s="30">
        <f t="shared" si="51"/>
        <v>7.945463093559002E-2</v>
      </c>
      <c r="G81" s="7">
        <f t="shared" si="58"/>
        <v>38776660333.506638</v>
      </c>
      <c r="H81" s="43">
        <f t="shared" si="52"/>
        <v>0.42216613465963915</v>
      </c>
      <c r="I81" s="7">
        <f t="shared" si="58"/>
        <v>39894890031.888054</v>
      </c>
      <c r="J81" s="30">
        <f t="shared" si="53"/>
        <v>0.43434043500853686</v>
      </c>
      <c r="K81" s="7">
        <f t="shared" si="58"/>
        <v>5882070039.4534426</v>
      </c>
      <c r="L81" s="30">
        <f t="shared" si="54"/>
        <v>6.4038799396233873E-2</v>
      </c>
    </row>
    <row r="82" spans="1:12" s="17" customFormat="1" ht="14.25" customHeight="1" x14ac:dyDescent="0.3">
      <c r="A82" s="8" t="s">
        <v>20</v>
      </c>
      <c r="B82" s="9">
        <v>91860458297</v>
      </c>
      <c r="C82" s="9">
        <v>91851660164</v>
      </c>
      <c r="D82" s="4"/>
      <c r="E82" s="15">
        <f>(C82/40413)*3211</f>
        <v>7298039759.1518564</v>
      </c>
      <c r="F82" s="35">
        <f t="shared" si="51"/>
        <v>7.945463093559002E-2</v>
      </c>
      <c r="G82" s="15">
        <f>(C82/40413)*17061</f>
        <v>38776660333.506638</v>
      </c>
      <c r="H82" s="49">
        <f t="shared" si="52"/>
        <v>0.42216613465963915</v>
      </c>
      <c r="I82" s="15">
        <f>(C82/40413)*17553</f>
        <v>39894890031.888054</v>
      </c>
      <c r="J82" s="35">
        <f t="shared" si="53"/>
        <v>0.43434043500853686</v>
      </c>
      <c r="K82" s="15">
        <f>(C82/40413)*2588</f>
        <v>5882070039.4534426</v>
      </c>
      <c r="L82" s="35">
        <f t="shared" si="54"/>
        <v>6.4038799396233873E-2</v>
      </c>
    </row>
    <row r="83" spans="1:12" s="17" customFormat="1" ht="14.25" customHeight="1" x14ac:dyDescent="0.3">
      <c r="A83" s="6" t="s">
        <v>47</v>
      </c>
      <c r="B83" s="7">
        <f>B84</f>
        <v>6645869536</v>
      </c>
      <c r="C83" s="7">
        <f>C84</f>
        <v>6645869536</v>
      </c>
      <c r="D83" s="4"/>
      <c r="E83" s="7">
        <f t="shared" ref="E83:K83" si="59">E84</f>
        <v>528045111.22896093</v>
      </c>
      <c r="F83" s="30">
        <f t="shared" si="51"/>
        <v>7.945463093559002E-2</v>
      </c>
      <c r="G83" s="7">
        <f t="shared" si="59"/>
        <v>2805661053.4653697</v>
      </c>
      <c r="H83" s="43">
        <f t="shared" si="52"/>
        <v>0.42216613465963915</v>
      </c>
      <c r="I83" s="7">
        <f t="shared" si="59"/>
        <v>2886569865.2762227</v>
      </c>
      <c r="J83" s="30">
        <f t="shared" si="53"/>
        <v>0.43434043500853681</v>
      </c>
      <c r="K83" s="7">
        <f t="shared" si="59"/>
        <v>425593506.02944595</v>
      </c>
      <c r="L83" s="30">
        <f t="shared" si="54"/>
        <v>6.4038799396233886E-2</v>
      </c>
    </row>
    <row r="84" spans="1:12" s="17" customFormat="1" ht="14.25" customHeight="1" x14ac:dyDescent="0.3">
      <c r="A84" s="8" t="s">
        <v>20</v>
      </c>
      <c r="B84" s="9">
        <v>6645869536</v>
      </c>
      <c r="C84" s="9">
        <v>6645869536</v>
      </c>
      <c r="D84" s="4"/>
      <c r="E84" s="15">
        <f>(C84/40413)*3211</f>
        <v>528045111.22896093</v>
      </c>
      <c r="F84" s="35">
        <f t="shared" si="51"/>
        <v>7.945463093559002E-2</v>
      </c>
      <c r="G84" s="15">
        <f>(C84/40413)*17061</f>
        <v>2805661053.4653697</v>
      </c>
      <c r="H84" s="49">
        <f t="shared" si="52"/>
        <v>0.42216613465963915</v>
      </c>
      <c r="I84" s="15">
        <f>(C84/40413)*17553</f>
        <v>2886569865.2762227</v>
      </c>
      <c r="J84" s="35">
        <f t="shared" si="53"/>
        <v>0.43434043500853681</v>
      </c>
      <c r="K84" s="15">
        <f>(C84/40413)*2588</f>
        <v>425593506.02944595</v>
      </c>
      <c r="L84" s="35">
        <f t="shared" si="54"/>
        <v>6.4038799396233886E-2</v>
      </c>
    </row>
    <row r="85" spans="1:12" s="17" customFormat="1" ht="14.25" customHeight="1" x14ac:dyDescent="0.3">
      <c r="A85" s="6" t="s">
        <v>48</v>
      </c>
      <c r="B85" s="7">
        <f>B86</f>
        <v>555233500</v>
      </c>
      <c r="C85" s="7">
        <f>C86</f>
        <v>555233500</v>
      </c>
      <c r="D85" s="4"/>
      <c r="E85" s="7">
        <f t="shared" ref="E85:K85" si="60">E86</f>
        <v>44115872.825575933</v>
      </c>
      <c r="F85" s="30">
        <f t="shared" si="51"/>
        <v>7.9454630935590034E-2</v>
      </c>
      <c r="G85" s="7">
        <f t="shared" si="60"/>
        <v>234400780.52854282</v>
      </c>
      <c r="H85" s="43">
        <f t="shared" si="52"/>
        <v>0.42216613465963926</v>
      </c>
      <c r="I85" s="7">
        <f t="shared" si="60"/>
        <v>241160359.92131245</v>
      </c>
      <c r="J85" s="30">
        <f t="shared" si="53"/>
        <v>0.43434043500853686</v>
      </c>
      <c r="K85" s="7">
        <f t="shared" si="60"/>
        <v>35556486.724568829</v>
      </c>
      <c r="L85" s="30">
        <f t="shared" si="54"/>
        <v>6.4038799396233886E-2</v>
      </c>
    </row>
    <row r="86" spans="1:12" s="17" customFormat="1" ht="14.25" customHeight="1" x14ac:dyDescent="0.3">
      <c r="A86" s="8" t="s">
        <v>20</v>
      </c>
      <c r="B86" s="9">
        <v>555233500</v>
      </c>
      <c r="C86" s="9">
        <v>555233500</v>
      </c>
      <c r="D86" s="4"/>
      <c r="E86" s="15">
        <f>(C86/40413)*3211</f>
        <v>44115872.825575933</v>
      </c>
      <c r="F86" s="35">
        <f t="shared" si="51"/>
        <v>7.9454630935590034E-2</v>
      </c>
      <c r="G86" s="15">
        <f>(C86/40413)*17061</f>
        <v>234400780.52854282</v>
      </c>
      <c r="H86" s="49">
        <f t="shared" si="52"/>
        <v>0.42216613465963926</v>
      </c>
      <c r="I86" s="15">
        <f>(C86/40413)*17553</f>
        <v>241160359.92131245</v>
      </c>
      <c r="J86" s="35">
        <f t="shared" si="53"/>
        <v>0.43434043500853686</v>
      </c>
      <c r="K86" s="15">
        <f>(C86/40413)*2588</f>
        <v>35556486.724568829</v>
      </c>
      <c r="L86" s="35">
        <f t="shared" si="54"/>
        <v>6.4038799396233886E-2</v>
      </c>
    </row>
    <row r="87" spans="1:12" s="17" customFormat="1" ht="14.25" customHeight="1" x14ac:dyDescent="0.3">
      <c r="A87" s="6" t="s">
        <v>49</v>
      </c>
      <c r="B87" s="7">
        <f>B88</f>
        <v>1244983412</v>
      </c>
      <c r="C87" s="7">
        <f>C88</f>
        <v>1233662214</v>
      </c>
      <c r="D87" s="4"/>
      <c r="E87" s="7">
        <f t="shared" ref="E87:K87" si="61">E88</f>
        <v>98020175.912552893</v>
      </c>
      <c r="F87" s="30">
        <f t="shared" si="51"/>
        <v>7.9454630935590034E-2</v>
      </c>
      <c r="G87" s="7">
        <f t="shared" si="61"/>
        <v>520810408.36003268</v>
      </c>
      <c r="H87" s="43">
        <f t="shared" si="52"/>
        <v>0.42216613465963926</v>
      </c>
      <c r="I87" s="7">
        <f t="shared" si="61"/>
        <v>535829382.68235469</v>
      </c>
      <c r="J87" s="30">
        <f t="shared" si="53"/>
        <v>0.43434043500853686</v>
      </c>
      <c r="K87" s="7">
        <f t="shared" si="61"/>
        <v>79002247.045059755</v>
      </c>
      <c r="L87" s="30">
        <f t="shared" si="54"/>
        <v>6.4038799396233886E-2</v>
      </c>
    </row>
    <row r="88" spans="1:12" s="17" customFormat="1" ht="14.25" customHeight="1" x14ac:dyDescent="0.3">
      <c r="A88" s="8" t="s">
        <v>20</v>
      </c>
      <c r="B88" s="9">
        <v>1244983412</v>
      </c>
      <c r="C88" s="9">
        <v>1233662214</v>
      </c>
      <c r="D88" s="4"/>
      <c r="E88" s="15">
        <f>(C88/40413)*3211</f>
        <v>98020175.912552893</v>
      </c>
      <c r="F88" s="35">
        <f t="shared" si="51"/>
        <v>7.9454630935590034E-2</v>
      </c>
      <c r="G88" s="15">
        <f>(C88/40413)*17061</f>
        <v>520810408.36003268</v>
      </c>
      <c r="H88" s="49">
        <f t="shared" si="52"/>
        <v>0.42216613465963926</v>
      </c>
      <c r="I88" s="15">
        <f>(C88/40413)*17553</f>
        <v>535829382.68235469</v>
      </c>
      <c r="J88" s="35">
        <f t="shared" si="53"/>
        <v>0.43434043500853686</v>
      </c>
      <c r="K88" s="15">
        <f>(C88/40413)*2588</f>
        <v>79002247.045059755</v>
      </c>
      <c r="L88" s="35">
        <f t="shared" si="54"/>
        <v>6.4038799396233886E-2</v>
      </c>
    </row>
    <row r="89" spans="1:12" s="5" customFormat="1" ht="14.25" customHeight="1" x14ac:dyDescent="0.3">
      <c r="A89" s="6" t="s">
        <v>50</v>
      </c>
      <c r="B89" s="7">
        <v>0</v>
      </c>
      <c r="C89" s="7">
        <v>0</v>
      </c>
      <c r="D89" s="4"/>
      <c r="E89" s="11"/>
      <c r="F89" s="32"/>
      <c r="G89" s="11"/>
      <c r="H89" s="45"/>
      <c r="I89" s="11"/>
      <c r="J89" s="32"/>
      <c r="K89" s="11"/>
      <c r="L89" s="32"/>
    </row>
    <row r="90" spans="1:12" s="5" customFormat="1" ht="14.25" customHeight="1" x14ac:dyDescent="0.3">
      <c r="A90" s="19" t="s">
        <v>13</v>
      </c>
      <c r="B90" s="11">
        <v>0</v>
      </c>
      <c r="C90" s="11">
        <v>0</v>
      </c>
      <c r="D90" s="4"/>
      <c r="E90" s="11"/>
      <c r="F90" s="32"/>
      <c r="G90" s="11"/>
      <c r="H90" s="45"/>
      <c r="I90" s="11"/>
      <c r="J90" s="32"/>
      <c r="K90" s="11"/>
      <c r="L90" s="32"/>
    </row>
    <row r="91" spans="1:12" s="5" customFormat="1" ht="14.25" customHeight="1" x14ac:dyDescent="0.3">
      <c r="A91" s="6" t="s">
        <v>51</v>
      </c>
      <c r="B91" s="7">
        <v>0</v>
      </c>
      <c r="C91" s="7">
        <v>0</v>
      </c>
      <c r="D91" s="4"/>
      <c r="E91" s="11"/>
      <c r="F91" s="32"/>
      <c r="G91" s="11"/>
      <c r="H91" s="45"/>
      <c r="I91" s="11"/>
      <c r="J91" s="32"/>
      <c r="K91" s="11"/>
      <c r="L91" s="32"/>
    </row>
    <row r="92" spans="1:12" s="5" customFormat="1" ht="14.25" customHeight="1" x14ac:dyDescent="0.3">
      <c r="A92" s="19" t="s">
        <v>20</v>
      </c>
      <c r="B92" s="11">
        <v>0</v>
      </c>
      <c r="C92" s="11">
        <v>0</v>
      </c>
      <c r="D92" s="4"/>
      <c r="E92" s="11"/>
      <c r="F92" s="32"/>
      <c r="G92" s="11"/>
      <c r="H92" s="45"/>
      <c r="I92" s="11"/>
      <c r="J92" s="32"/>
      <c r="K92" s="11"/>
      <c r="L92" s="32"/>
    </row>
    <row r="93" spans="1:12" s="5" customFormat="1" ht="14.25" customHeight="1" x14ac:dyDescent="0.3">
      <c r="A93" s="25" t="s">
        <v>52</v>
      </c>
      <c r="B93" s="26">
        <f>B94</f>
        <v>112308400</v>
      </c>
      <c r="C93" s="26">
        <f>C94</f>
        <v>30393333</v>
      </c>
      <c r="D93" s="4"/>
      <c r="E93" s="26">
        <f t="shared" ref="E93:K93" si="62">E94</f>
        <v>2211833.9454542254</v>
      </c>
      <c r="F93" s="29">
        <f t="shared" si="51"/>
        <v>7.277365550708853E-2</v>
      </c>
      <c r="G93" s="26">
        <f t="shared" si="62"/>
        <v>3109818.845492145</v>
      </c>
      <c r="H93" s="47">
        <f t="shared" si="52"/>
        <v>0.10231911207277415</v>
      </c>
      <c r="I93" s="26">
        <f t="shared" si="62"/>
        <v>3963041.0442349385</v>
      </c>
      <c r="J93" s="29">
        <f t="shared" si="53"/>
        <v>0.13039178836473572</v>
      </c>
      <c r="K93" s="26">
        <f t="shared" si="62"/>
        <v>21108639.164818693</v>
      </c>
      <c r="L93" s="29">
        <f t="shared" si="54"/>
        <v>0.69451544405540167</v>
      </c>
    </row>
    <row r="94" spans="1:12" s="5" customFormat="1" ht="14.25" customHeight="1" x14ac:dyDescent="0.3">
      <c r="A94" s="6" t="s">
        <v>53</v>
      </c>
      <c r="B94" s="7">
        <f>B95+B96</f>
        <v>112308400</v>
      </c>
      <c r="C94" s="7">
        <f>C95+C96</f>
        <v>30393333</v>
      </c>
      <c r="D94" s="4"/>
      <c r="E94" s="7">
        <f t="shared" ref="E94:K94" si="63">E95+E96</f>
        <v>2211833.9454542254</v>
      </c>
      <c r="F94" s="30">
        <f t="shared" si="51"/>
        <v>7.277365550708853E-2</v>
      </c>
      <c r="G94" s="7">
        <f t="shared" si="63"/>
        <v>3109818.845492145</v>
      </c>
      <c r="H94" s="43">
        <f t="shared" si="52"/>
        <v>0.10231911207277415</v>
      </c>
      <c r="I94" s="7">
        <f t="shared" si="63"/>
        <v>3963041.0442349385</v>
      </c>
      <c r="J94" s="30">
        <f t="shared" si="53"/>
        <v>0.13039178836473572</v>
      </c>
      <c r="K94" s="7">
        <f t="shared" si="63"/>
        <v>21108639.164818693</v>
      </c>
      <c r="L94" s="30">
        <f t="shared" si="54"/>
        <v>0.69451544405540167</v>
      </c>
    </row>
    <row r="95" spans="1:12" s="5" customFormat="1" ht="14.25" customHeight="1" x14ac:dyDescent="0.3">
      <c r="A95" s="8" t="s">
        <v>12</v>
      </c>
      <c r="B95" s="9">
        <v>29128400</v>
      </c>
      <c r="C95" s="9">
        <v>10393333</v>
      </c>
      <c r="D95" s="4"/>
      <c r="E95" s="14">
        <f>(10393333/174615)*13036</f>
        <v>775921.2495375541</v>
      </c>
      <c r="F95" s="34">
        <f t="shared" si="51"/>
        <v>7.4655671047733588E-2</v>
      </c>
      <c r="G95" s="14">
        <f>(10393333/174615)*13243</f>
        <v>788242.18377000839</v>
      </c>
      <c r="H95" s="48">
        <f t="shared" si="52"/>
        <v>7.5841136213956425E-2</v>
      </c>
      <c r="I95" s="14">
        <f>(10393333/174615)*14643</f>
        <v>871572.1737479599</v>
      </c>
      <c r="J95" s="34">
        <f t="shared" si="53"/>
        <v>8.3858775019328244E-2</v>
      </c>
      <c r="K95" s="14">
        <f>(10393333/174615)*133693</f>
        <v>7957597.3929444784</v>
      </c>
      <c r="L95" s="34">
        <f t="shared" si="54"/>
        <v>0.76564441771898184</v>
      </c>
    </row>
    <row r="96" spans="1:12" s="5" customFormat="1" ht="14.25" customHeight="1" x14ac:dyDescent="0.3">
      <c r="A96" s="8" t="s">
        <v>13</v>
      </c>
      <c r="B96" s="9">
        <v>83180000</v>
      </c>
      <c r="C96" s="9">
        <v>20000000</v>
      </c>
      <c r="D96" s="4"/>
      <c r="E96" s="14">
        <f>((17000000/174615)*13036)+((3000000/5019)*279)</f>
        <v>1435912.6959166713</v>
      </c>
      <c r="F96" s="34">
        <f t="shared" si="51"/>
        <v>7.1795634795833563E-2</v>
      </c>
      <c r="G96" s="14">
        <f>((17000000/174615)*13243)+((3000000/5019)*1727)</f>
        <v>2321576.6617221367</v>
      </c>
      <c r="H96" s="48">
        <f t="shared" si="52"/>
        <v>0.11607883308610684</v>
      </c>
      <c r="I96" s="14">
        <f>((17000000/174615)*14643)+((3000000/5019)*2787)</f>
        <v>3091468.8704869784</v>
      </c>
      <c r="J96" s="34">
        <f t="shared" si="53"/>
        <v>0.15457344352434893</v>
      </c>
      <c r="K96" s="14">
        <f>((17000000/174615)*133693)+((3000000/5019)*226)</f>
        <v>13151041.771874214</v>
      </c>
      <c r="L96" s="34">
        <f t="shared" si="54"/>
        <v>0.65755208859371073</v>
      </c>
    </row>
    <row r="97" spans="1:12" s="5" customFormat="1" ht="14.25" customHeight="1" x14ac:dyDescent="0.3">
      <c r="A97" s="25" t="s">
        <v>54</v>
      </c>
      <c r="B97" s="26">
        <f>B98+B101+B103+B106+B109+B114+B119+B121</f>
        <v>10124469285.590214</v>
      </c>
      <c r="C97" s="26">
        <f>C98+C101+C103+C106+C109+C114+C119+C121</f>
        <v>9271056414.1975555</v>
      </c>
      <c r="D97" s="4"/>
      <c r="E97" s="26">
        <f>E98+E101+E103+E106+E109+E114+E119+E121</f>
        <v>754169201.70011497</v>
      </c>
      <c r="F97" s="29">
        <f t="shared" si="51"/>
        <v>8.1346630632641997E-2</v>
      </c>
      <c r="G97" s="26">
        <f>G98+G101+G103+G106+G109+G114+G119+G121</f>
        <v>666466568.10710013</v>
      </c>
      <c r="H97" s="47">
        <f t="shared" si="52"/>
        <v>7.1886798907456043E-2</v>
      </c>
      <c r="I97" s="26">
        <f>I98+I101+I103+I106+I109+I114+I119+I121</f>
        <v>743936671.36274958</v>
      </c>
      <c r="J97" s="29">
        <f t="shared" si="53"/>
        <v>8.0242923581340331E-2</v>
      </c>
      <c r="K97" s="26">
        <f>K98+K101+K103+K106+K109+K114+K119+K121</f>
        <v>7106483973.0275936</v>
      </c>
      <c r="L97" s="29">
        <f t="shared" si="54"/>
        <v>0.76652364687856189</v>
      </c>
    </row>
    <row r="98" spans="1:12" s="5" customFormat="1" ht="14.25" customHeight="1" x14ac:dyDescent="0.3">
      <c r="A98" s="6" t="s">
        <v>55</v>
      </c>
      <c r="B98" s="7">
        <f>B99+B100</f>
        <v>6189032667.5885372</v>
      </c>
      <c r="C98" s="7">
        <f>C99+C100</f>
        <v>6185275506.7853975</v>
      </c>
      <c r="D98" s="4"/>
      <c r="E98" s="7">
        <f t="shared" ref="E98:K98" si="64">E99+E100</f>
        <v>503151322.01159924</v>
      </c>
      <c r="F98" s="30">
        <f t="shared" si="51"/>
        <v>8.1346630632641997E-2</v>
      </c>
      <c r="G98" s="7">
        <f t="shared" si="64"/>
        <v>444639656.54349518</v>
      </c>
      <c r="H98" s="43">
        <f t="shared" si="52"/>
        <v>7.1886798907456043E-2</v>
      </c>
      <c r="I98" s="7">
        <f t="shared" si="64"/>
        <v>496324589.82051677</v>
      </c>
      <c r="J98" s="30">
        <f t="shared" si="53"/>
        <v>8.0242923581340331E-2</v>
      </c>
      <c r="K98" s="7">
        <f t="shared" si="64"/>
        <v>4741159938.4097872</v>
      </c>
      <c r="L98" s="30">
        <f t="shared" si="54"/>
        <v>0.76652364687856178</v>
      </c>
    </row>
    <row r="99" spans="1:12" s="17" customFormat="1" ht="14.25" customHeight="1" x14ac:dyDescent="0.3">
      <c r="A99" s="8" t="s">
        <v>12</v>
      </c>
      <c r="B99" s="9">
        <v>26414242.723655298</v>
      </c>
      <c r="C99" s="9">
        <v>22657081.920515765</v>
      </c>
      <c r="D99" s="4"/>
      <c r="E99" s="20">
        <f>(C99*45180)/555401</f>
        <v>1843077.274201707</v>
      </c>
      <c r="F99" s="34">
        <f t="shared" si="51"/>
        <v>8.1346630632641997E-2</v>
      </c>
      <c r="G99" s="20">
        <f>(C99*39926)/555401</f>
        <v>1628745.0918498749</v>
      </c>
      <c r="H99" s="48">
        <f t="shared" si="52"/>
        <v>7.1886798907456056E-2</v>
      </c>
      <c r="I99" s="20">
        <f>(C99*44567)/555401</f>
        <v>1818070.4931241141</v>
      </c>
      <c r="J99" s="34">
        <f t="shared" si="53"/>
        <v>8.0242923581340331E-2</v>
      </c>
      <c r="K99" s="20">
        <f>(C99*425728)/555401</f>
        <v>17367189.061340071</v>
      </c>
      <c r="L99" s="34">
        <f t="shared" si="54"/>
        <v>0.76652364687856178</v>
      </c>
    </row>
    <row r="100" spans="1:12" s="17" customFormat="1" ht="14.25" customHeight="1" x14ac:dyDescent="0.3">
      <c r="A100" s="8" t="s">
        <v>13</v>
      </c>
      <c r="B100" s="9">
        <v>6162618424.8648815</v>
      </c>
      <c r="C100" s="9">
        <v>6162618424.8648815</v>
      </c>
      <c r="D100" s="4"/>
      <c r="E100" s="20">
        <f>(C100*45180)/555401</f>
        <v>501308244.73739755</v>
      </c>
      <c r="F100" s="34">
        <f t="shared" si="51"/>
        <v>8.1346630632641997E-2</v>
      </c>
      <c r="G100" s="20">
        <f>(C100*39926)/555401</f>
        <v>443010911.45164531</v>
      </c>
      <c r="H100" s="48">
        <f t="shared" si="52"/>
        <v>7.1886798907456056E-2</v>
      </c>
      <c r="I100" s="20">
        <f>(C100*44567)/555401</f>
        <v>494506519.32739264</v>
      </c>
      <c r="J100" s="34">
        <f t="shared" si="53"/>
        <v>8.0242923581340331E-2</v>
      </c>
      <c r="K100" s="20">
        <f>(C100*425728)/555401</f>
        <v>4723792749.3484468</v>
      </c>
      <c r="L100" s="34">
        <f t="shared" si="54"/>
        <v>0.76652364687856178</v>
      </c>
    </row>
    <row r="101" spans="1:12" s="5" customFormat="1" ht="14.25" customHeight="1" x14ac:dyDescent="0.3">
      <c r="A101" s="6" t="s">
        <v>56</v>
      </c>
      <c r="B101" s="7">
        <f>B102</f>
        <v>1618862.8882925326</v>
      </c>
      <c r="C101" s="7">
        <f>C102</f>
        <v>1606237.1262453157</v>
      </c>
      <c r="D101" s="4"/>
      <c r="E101" s="7">
        <f t="shared" ref="E101:K101" si="65">E102</f>
        <v>130661.97821711405</v>
      </c>
      <c r="F101" s="30">
        <f t="shared" si="51"/>
        <v>8.1346630632641997E-2</v>
      </c>
      <c r="G101" s="7">
        <f t="shared" si="65"/>
        <v>115467.24529208711</v>
      </c>
      <c r="H101" s="43">
        <f t="shared" si="52"/>
        <v>7.1886798907456056E-2</v>
      </c>
      <c r="I101" s="7">
        <f t="shared" si="65"/>
        <v>128889.16297481456</v>
      </c>
      <c r="J101" s="30">
        <f t="shared" si="53"/>
        <v>8.0242923581340331E-2</v>
      </c>
      <c r="K101" s="7">
        <f t="shared" si="65"/>
        <v>1231218.7397612999</v>
      </c>
      <c r="L101" s="30">
        <f t="shared" si="54"/>
        <v>0.76652364687856156</v>
      </c>
    </row>
    <row r="102" spans="1:12" s="17" customFormat="1" ht="14.25" customHeight="1" x14ac:dyDescent="0.3">
      <c r="A102" s="8" t="s">
        <v>12</v>
      </c>
      <c r="B102" s="9">
        <v>1618862.8882925326</v>
      </c>
      <c r="C102" s="9">
        <v>1606237.1262453157</v>
      </c>
      <c r="D102" s="4"/>
      <c r="E102" s="20">
        <f>(C102*45180)/555401</f>
        <v>130661.97821711405</v>
      </c>
      <c r="F102" s="34">
        <f t="shared" si="51"/>
        <v>8.1346630632641997E-2</v>
      </c>
      <c r="G102" s="20">
        <f>(C102*39926)/555401</f>
        <v>115467.24529208711</v>
      </c>
      <c r="H102" s="48">
        <f t="shared" si="52"/>
        <v>7.1886798907456056E-2</v>
      </c>
      <c r="I102" s="20">
        <f>(C102*44567)/555401</f>
        <v>128889.16297481456</v>
      </c>
      <c r="J102" s="34">
        <f t="shared" si="53"/>
        <v>8.0242923581340331E-2</v>
      </c>
      <c r="K102" s="20">
        <f>(C102*425728)/555401</f>
        <v>1231218.7397612999</v>
      </c>
      <c r="L102" s="34">
        <f t="shared" si="54"/>
        <v>0.76652364687856156</v>
      </c>
    </row>
    <row r="103" spans="1:12" s="5" customFormat="1" ht="14.25" customHeight="1" x14ac:dyDescent="0.3">
      <c r="A103" s="6" t="s">
        <v>57</v>
      </c>
      <c r="B103" s="7">
        <f>B104+B105</f>
        <v>19287798.303513478</v>
      </c>
      <c r="C103" s="7">
        <f>C104+C105</f>
        <v>0</v>
      </c>
      <c r="D103" s="4"/>
      <c r="E103" s="11"/>
      <c r="F103" s="32"/>
      <c r="G103" s="11"/>
      <c r="H103" s="45"/>
      <c r="I103" s="11"/>
      <c r="J103" s="32"/>
      <c r="K103" s="11"/>
      <c r="L103" s="32"/>
    </row>
    <row r="104" spans="1:12" s="5" customFormat="1" ht="14.25" customHeight="1" x14ac:dyDescent="0.3">
      <c r="A104" s="19" t="s">
        <v>12</v>
      </c>
      <c r="B104" s="11">
        <v>19287798.303513478</v>
      </c>
      <c r="C104" s="11">
        <v>0</v>
      </c>
      <c r="D104" s="4"/>
      <c r="E104" s="11"/>
      <c r="F104" s="32"/>
      <c r="G104" s="11"/>
      <c r="H104" s="45"/>
      <c r="I104" s="11"/>
      <c r="J104" s="32"/>
      <c r="K104" s="11"/>
      <c r="L104" s="32"/>
    </row>
    <row r="105" spans="1:12" s="5" customFormat="1" ht="14.25" customHeight="1" x14ac:dyDescent="0.3">
      <c r="A105" s="19" t="s">
        <v>20</v>
      </c>
      <c r="B105" s="11">
        <v>0</v>
      </c>
      <c r="C105" s="11">
        <v>0</v>
      </c>
      <c r="D105" s="4"/>
      <c r="E105" s="11"/>
      <c r="F105" s="32"/>
      <c r="G105" s="11"/>
      <c r="H105" s="45"/>
      <c r="I105" s="11"/>
      <c r="J105" s="32"/>
      <c r="K105" s="11"/>
      <c r="L105" s="32"/>
    </row>
    <row r="106" spans="1:12" s="5" customFormat="1" ht="14.25" customHeight="1" x14ac:dyDescent="0.3">
      <c r="A106" s="6" t="s">
        <v>58</v>
      </c>
      <c r="B106" s="7">
        <f>B107+B108</f>
        <v>435470000</v>
      </c>
      <c r="C106" s="7">
        <f>C107+C108</f>
        <v>277346655</v>
      </c>
      <c r="D106" s="4"/>
      <c r="E106" s="7">
        <f t="shared" ref="E106:K106" si="66">E107+E108</f>
        <v>22561215.901483793</v>
      </c>
      <c r="F106" s="30">
        <f t="shared" si="51"/>
        <v>8.1346630632641997E-2</v>
      </c>
      <c r="G106" s="7">
        <f t="shared" si="66"/>
        <v>19937563.21564059</v>
      </c>
      <c r="H106" s="43">
        <f t="shared" si="52"/>
        <v>7.1886798907456043E-2</v>
      </c>
      <c r="I106" s="7">
        <f t="shared" si="66"/>
        <v>22255106.442705359</v>
      </c>
      <c r="J106" s="30">
        <f t="shared" si="53"/>
        <v>8.0242923581340331E-2</v>
      </c>
      <c r="K106" s="7">
        <f t="shared" si="66"/>
        <v>212592769.44017026</v>
      </c>
      <c r="L106" s="30">
        <f t="shared" si="54"/>
        <v>0.76652364687856167</v>
      </c>
    </row>
    <row r="107" spans="1:12" s="5" customFormat="1" ht="14.25" customHeight="1" x14ac:dyDescent="0.3">
      <c r="A107" s="19" t="s">
        <v>12</v>
      </c>
      <c r="B107" s="11">
        <v>0</v>
      </c>
      <c r="C107" s="11">
        <v>0</v>
      </c>
      <c r="D107" s="4"/>
      <c r="E107" s="11"/>
      <c r="F107" s="32"/>
      <c r="G107" s="11"/>
      <c r="H107" s="45"/>
      <c r="I107" s="11"/>
      <c r="J107" s="32"/>
      <c r="K107" s="11"/>
      <c r="L107" s="32"/>
    </row>
    <row r="108" spans="1:12" s="5" customFormat="1" x14ac:dyDescent="0.3">
      <c r="A108" s="8" t="s">
        <v>20</v>
      </c>
      <c r="B108" s="9">
        <v>435470000</v>
      </c>
      <c r="C108" s="9">
        <v>277346655</v>
      </c>
      <c r="D108" s="4"/>
      <c r="E108" s="20">
        <f>(C108*45180)/555401</f>
        <v>22561215.901483793</v>
      </c>
      <c r="F108" s="34">
        <f t="shared" si="51"/>
        <v>8.1346630632641997E-2</v>
      </c>
      <c r="G108" s="20">
        <f>(C108*39926)/555401</f>
        <v>19937563.21564059</v>
      </c>
      <c r="H108" s="48">
        <f t="shared" si="52"/>
        <v>7.1886798907456043E-2</v>
      </c>
      <c r="I108" s="20">
        <f>(C108*44567)/555401</f>
        <v>22255106.442705359</v>
      </c>
      <c r="J108" s="34">
        <f t="shared" si="53"/>
        <v>8.0242923581340331E-2</v>
      </c>
      <c r="K108" s="20">
        <f>(C108*425728)/555401</f>
        <v>212592769.44017026</v>
      </c>
      <c r="L108" s="34">
        <f t="shared" si="54"/>
        <v>0.76652364687856167</v>
      </c>
    </row>
    <row r="109" spans="1:12" s="5" customFormat="1" x14ac:dyDescent="0.3">
      <c r="A109" s="6" t="s">
        <v>59</v>
      </c>
      <c r="B109" s="7">
        <f>SUM(B110:B113)</f>
        <v>440207795.70623553</v>
      </c>
      <c r="C109" s="7">
        <f>SUM(C110:C113)</f>
        <v>290740592.74387389</v>
      </c>
      <c r="D109" s="4"/>
      <c r="E109" s="7">
        <f t="shared" ref="E109:K109" si="67">E110+E111+E112</f>
        <v>23650767.607851304</v>
      </c>
      <c r="F109" s="30">
        <f t="shared" si="51"/>
        <v>8.1346630632641997E-2</v>
      </c>
      <c r="G109" s="7">
        <f t="shared" si="67"/>
        <v>20900410.52481344</v>
      </c>
      <c r="H109" s="43">
        <f t="shared" si="52"/>
        <v>7.1886798907456056E-2</v>
      </c>
      <c r="I109" s="7">
        <f t="shared" si="67"/>
        <v>23329875.165540263</v>
      </c>
      <c r="J109" s="30">
        <f t="shared" si="53"/>
        <v>8.0242923581340331E-2</v>
      </c>
      <c r="K109" s="7">
        <f t="shared" si="67"/>
        <v>222859539.44566888</v>
      </c>
      <c r="L109" s="30">
        <f t="shared" si="54"/>
        <v>0.76652364687856156</v>
      </c>
    </row>
    <row r="110" spans="1:12" s="5" customFormat="1" ht="28.8" x14ac:dyDescent="0.3">
      <c r="A110" s="19" t="s">
        <v>29</v>
      </c>
      <c r="B110" s="9">
        <v>335010344.70898306</v>
      </c>
      <c r="C110" s="9">
        <v>290740592.74387389</v>
      </c>
      <c r="D110" s="4"/>
      <c r="E110" s="20">
        <f>(C110*45180)/555401</f>
        <v>23650767.607851304</v>
      </c>
      <c r="F110" s="34">
        <f t="shared" si="51"/>
        <v>8.1346630632641997E-2</v>
      </c>
      <c r="G110" s="20">
        <f>(C110*39926)/555401</f>
        <v>20900410.52481344</v>
      </c>
      <c r="H110" s="48">
        <f t="shared" si="52"/>
        <v>7.1886798907456056E-2</v>
      </c>
      <c r="I110" s="20">
        <f>(C110*44567)/555401</f>
        <v>23329875.165540263</v>
      </c>
      <c r="J110" s="34">
        <f t="shared" si="53"/>
        <v>8.0242923581340331E-2</v>
      </c>
      <c r="K110" s="20">
        <f>(C110*425728)/555401</f>
        <v>222859539.44566888</v>
      </c>
      <c r="L110" s="34">
        <f t="shared" si="54"/>
        <v>0.76652364687856156</v>
      </c>
    </row>
    <row r="111" spans="1:12" s="5" customFormat="1" ht="14.25" customHeight="1" x14ac:dyDescent="0.3">
      <c r="A111" s="19" t="s">
        <v>12</v>
      </c>
      <c r="B111" s="9">
        <v>3828453.6088658879</v>
      </c>
      <c r="C111" s="9">
        <v>0</v>
      </c>
      <c r="D111" s="4"/>
      <c r="E111" s="11"/>
      <c r="F111" s="32"/>
      <c r="G111" s="11"/>
      <c r="H111" s="45"/>
      <c r="I111" s="11"/>
      <c r="J111" s="32"/>
      <c r="K111" s="11"/>
      <c r="L111" s="32"/>
    </row>
    <row r="112" spans="1:12" s="5" customFormat="1" ht="14.25" customHeight="1" x14ac:dyDescent="0.3">
      <c r="A112" s="19" t="s">
        <v>13</v>
      </c>
      <c r="B112" s="9">
        <v>101368997.38838652</v>
      </c>
      <c r="C112" s="9">
        <v>0</v>
      </c>
      <c r="D112" s="4"/>
      <c r="E112" s="11"/>
      <c r="F112" s="32"/>
      <c r="G112" s="11"/>
      <c r="H112" s="45"/>
      <c r="I112" s="11"/>
      <c r="J112" s="32"/>
      <c r="K112" s="11"/>
      <c r="L112" s="32"/>
    </row>
    <row r="113" spans="1:12" s="5" customFormat="1" ht="17.25" customHeight="1" x14ac:dyDescent="0.3">
      <c r="A113" s="19" t="s">
        <v>20</v>
      </c>
      <c r="B113" s="9">
        <v>0</v>
      </c>
      <c r="C113" s="9">
        <v>0</v>
      </c>
      <c r="D113" s="4"/>
      <c r="E113" s="11"/>
      <c r="F113" s="32"/>
      <c r="G113" s="11"/>
      <c r="H113" s="45"/>
      <c r="I113" s="11"/>
      <c r="J113" s="32"/>
      <c r="K113" s="11"/>
      <c r="L113" s="32"/>
    </row>
    <row r="114" spans="1:12" s="5" customFormat="1" ht="28.8" x14ac:dyDescent="0.3">
      <c r="A114" s="6" t="s">
        <v>60</v>
      </c>
      <c r="B114" s="7">
        <f>SUM(B115:B118)</f>
        <v>2541644177.574017</v>
      </c>
      <c r="C114" s="7">
        <f>SUM(C115:C118)</f>
        <v>2076666107.0124221</v>
      </c>
      <c r="D114" s="4"/>
      <c r="E114" s="7">
        <f t="shared" ref="E114:K114" si="68">SUM(E115:E118)</f>
        <v>168929790.75446612</v>
      </c>
      <c r="F114" s="30">
        <f t="shared" si="51"/>
        <v>8.1346630632642011E-2</v>
      </c>
      <c r="G114" s="7">
        <f>SUM(G115:G118)</f>
        <v>149284878.8327316</v>
      </c>
      <c r="H114" s="43">
        <f t="shared" si="52"/>
        <v>7.1886798907456056E-2</v>
      </c>
      <c r="I114" s="7">
        <f t="shared" si="68"/>
        <v>166637759.7289573</v>
      </c>
      <c r="J114" s="30">
        <f t="shared" si="53"/>
        <v>8.0242923581340331E-2</v>
      </c>
      <c r="K114" s="7">
        <f t="shared" si="68"/>
        <v>1591813677.6962674</v>
      </c>
      <c r="L114" s="30">
        <f t="shared" si="54"/>
        <v>0.76652364687856178</v>
      </c>
    </row>
    <row r="115" spans="1:12" s="5" customFormat="1" ht="28.8" x14ac:dyDescent="0.3">
      <c r="A115" s="19" t="s">
        <v>29</v>
      </c>
      <c r="B115" s="9">
        <v>1344465347.9348257</v>
      </c>
      <c r="C115" s="9">
        <v>1344465347.9348257</v>
      </c>
      <c r="D115" s="4"/>
      <c r="E115" s="20">
        <f t="shared" ref="E115:E118" si="69">(C115*45180)/555401</f>
        <v>109367726.05684078</v>
      </c>
      <c r="F115" s="34">
        <f t="shared" si="51"/>
        <v>8.1346630632641997E-2</v>
      </c>
      <c r="G115" s="20">
        <f t="shared" ref="G115:G118" si="70">(C115*39926)/555401</f>
        <v>96649310.105033755</v>
      </c>
      <c r="H115" s="48">
        <f t="shared" si="52"/>
        <v>7.1886798907456056E-2</v>
      </c>
      <c r="I115" s="20">
        <f t="shared" ref="I115:I118" si="71">(C115*44567)/555401</f>
        <v>107883830.17209435</v>
      </c>
      <c r="J115" s="34">
        <f t="shared" si="53"/>
        <v>8.0242923581340331E-2</v>
      </c>
      <c r="K115" s="20">
        <f t="shared" ref="K115:K118" si="72">(C115*425728)/555401</f>
        <v>1030564481.6008569</v>
      </c>
      <c r="L115" s="34">
        <f t="shared" si="54"/>
        <v>0.76652364687856167</v>
      </c>
    </row>
    <row r="116" spans="1:12" s="5" customFormat="1" ht="14.25" customHeight="1" x14ac:dyDescent="0.3">
      <c r="A116" s="8" t="s">
        <v>12</v>
      </c>
      <c r="B116" s="9">
        <v>204857472.36897716</v>
      </c>
      <c r="C116" s="9">
        <v>178907947.09864941</v>
      </c>
      <c r="D116" s="4"/>
      <c r="E116" s="20">
        <f t="shared" si="69"/>
        <v>14553558.689878089</v>
      </c>
      <c r="F116" s="34">
        <f t="shared" si="51"/>
        <v>8.1346630632641997E-2</v>
      </c>
      <c r="G116" s="20">
        <f t="shared" si="70"/>
        <v>12861119.616026396</v>
      </c>
      <c r="H116" s="48">
        <f t="shared" si="52"/>
        <v>7.1886798907456056E-2</v>
      </c>
      <c r="I116" s="20">
        <f t="shared" si="71"/>
        <v>14356096.727131404</v>
      </c>
      <c r="J116" s="34">
        <f t="shared" si="53"/>
        <v>8.0242923581340331E-2</v>
      </c>
      <c r="K116" s="20">
        <f t="shared" si="72"/>
        <v>137137172.06561351</v>
      </c>
      <c r="L116" s="34">
        <f t="shared" si="54"/>
        <v>0.76652364687856156</v>
      </c>
    </row>
    <row r="117" spans="1:12" s="5" customFormat="1" ht="14.25" customHeight="1" x14ac:dyDescent="0.3">
      <c r="A117" s="8" t="s">
        <v>13</v>
      </c>
      <c r="B117" s="9">
        <v>815390618.32728755</v>
      </c>
      <c r="C117" s="9">
        <v>383218850.64928389</v>
      </c>
      <c r="D117" s="4"/>
      <c r="E117" s="20">
        <f t="shared" si="69"/>
        <v>31173562.295232896</v>
      </c>
      <c r="F117" s="34">
        <f t="shared" si="51"/>
        <v>8.1346630632641997E-2</v>
      </c>
      <c r="G117" s="20">
        <f t="shared" si="70"/>
        <v>27548376.454171505</v>
      </c>
      <c r="H117" s="48">
        <f t="shared" si="52"/>
        <v>7.1886798907456056E-2</v>
      </c>
      <c r="I117" s="20">
        <f t="shared" si="71"/>
        <v>30750600.947579559</v>
      </c>
      <c r="J117" s="34">
        <f t="shared" si="53"/>
        <v>8.0242923581340331E-2</v>
      </c>
      <c r="K117" s="20">
        <f t="shared" si="72"/>
        <v>293746310.95229995</v>
      </c>
      <c r="L117" s="34">
        <f t="shared" si="54"/>
        <v>0.76652364687856167</v>
      </c>
    </row>
    <row r="118" spans="1:12" s="5" customFormat="1" x14ac:dyDescent="0.3">
      <c r="A118" s="8" t="s">
        <v>20</v>
      </c>
      <c r="B118" s="9">
        <v>176930738.942927</v>
      </c>
      <c r="C118" s="9">
        <v>170073961.32966301</v>
      </c>
      <c r="D118" s="4"/>
      <c r="E118" s="20">
        <f t="shared" si="69"/>
        <v>13834943.712514335</v>
      </c>
      <c r="F118" s="34">
        <f t="shared" si="51"/>
        <v>8.1346630632641997E-2</v>
      </c>
      <c r="G118" s="20">
        <f t="shared" si="70"/>
        <v>12226072.657499941</v>
      </c>
      <c r="H118" s="48">
        <f t="shared" si="52"/>
        <v>7.1886798907456043E-2</v>
      </c>
      <c r="I118" s="20">
        <f t="shared" si="71"/>
        <v>13647231.882151978</v>
      </c>
      <c r="J118" s="34">
        <f t="shared" si="53"/>
        <v>8.0242923581340317E-2</v>
      </c>
      <c r="K118" s="20">
        <f t="shared" si="72"/>
        <v>130365713.07749674</v>
      </c>
      <c r="L118" s="34">
        <f t="shared" si="54"/>
        <v>0.76652364687856156</v>
      </c>
    </row>
    <row r="119" spans="1:12" s="5" customFormat="1" ht="28.8" x14ac:dyDescent="0.3">
      <c r="A119" s="6" t="s">
        <v>61</v>
      </c>
      <c r="B119" s="7">
        <f>B120</f>
        <v>379207983.52961802</v>
      </c>
      <c r="C119" s="7">
        <f>C120</f>
        <v>379207983.52961761</v>
      </c>
      <c r="D119" s="4"/>
      <c r="E119" s="7">
        <f t="shared" ref="E119:K119" si="73">E120</f>
        <v>30847291.769132793</v>
      </c>
      <c r="F119" s="30">
        <f t="shared" si="51"/>
        <v>8.1346630632641997E-2</v>
      </c>
      <c r="G119" s="7">
        <f t="shared" si="73"/>
        <v>27260048.056095526</v>
      </c>
      <c r="H119" s="43">
        <f t="shared" si="52"/>
        <v>7.1886798907456043E-2</v>
      </c>
      <c r="I119" s="7">
        <f t="shared" si="73"/>
        <v>30428757.24380127</v>
      </c>
      <c r="J119" s="30">
        <f t="shared" si="53"/>
        <v>8.0242923581340331E-2</v>
      </c>
      <c r="K119" s="7">
        <f t="shared" si="73"/>
        <v>290671886.46058798</v>
      </c>
      <c r="L119" s="30">
        <f t="shared" si="54"/>
        <v>0.76652364687856156</v>
      </c>
    </row>
    <row r="120" spans="1:12" s="5" customFormat="1" x14ac:dyDescent="0.3">
      <c r="A120" s="8" t="s">
        <v>20</v>
      </c>
      <c r="B120" s="9">
        <v>379207983.52961802</v>
      </c>
      <c r="C120" s="9">
        <v>379207983.52961761</v>
      </c>
      <c r="D120" s="4"/>
      <c r="E120" s="20">
        <f>(C120*45180)/555401</f>
        <v>30847291.769132793</v>
      </c>
      <c r="F120" s="34">
        <f t="shared" si="51"/>
        <v>8.1346630632641997E-2</v>
      </c>
      <c r="G120" s="20">
        <f>(C120*39926)/555401</f>
        <v>27260048.056095526</v>
      </c>
      <c r="H120" s="48">
        <f t="shared" si="52"/>
        <v>7.1886798907456043E-2</v>
      </c>
      <c r="I120" s="20">
        <f>(C120*44567)/555401</f>
        <v>30428757.24380127</v>
      </c>
      <c r="J120" s="34">
        <f t="shared" si="53"/>
        <v>8.0242923581340331E-2</v>
      </c>
      <c r="K120" s="20">
        <f>(C120*425728)/555401</f>
        <v>290671886.46058798</v>
      </c>
      <c r="L120" s="34">
        <f t="shared" si="54"/>
        <v>0.76652364687856156</v>
      </c>
    </row>
    <row r="121" spans="1:12" s="5" customFormat="1" ht="28.8" x14ac:dyDescent="0.3">
      <c r="A121" s="6" t="s">
        <v>62</v>
      </c>
      <c r="B121" s="7">
        <f>B122</f>
        <v>118000000</v>
      </c>
      <c r="C121" s="7">
        <f>C122</f>
        <v>60213332</v>
      </c>
      <c r="D121" s="4"/>
      <c r="E121" s="7">
        <f t="shared" ref="E121:K121" si="74">E122</f>
        <v>4898151.6773646427</v>
      </c>
      <c r="F121" s="30">
        <f t="shared" si="51"/>
        <v>8.1346630632641997E-2</v>
      </c>
      <c r="G121" s="7">
        <f t="shared" si="74"/>
        <v>4328543.6890318887</v>
      </c>
      <c r="H121" s="43">
        <f t="shared" si="52"/>
        <v>7.1886798907456056E-2</v>
      </c>
      <c r="I121" s="7">
        <f t="shared" si="74"/>
        <v>4831693.7982538743</v>
      </c>
      <c r="J121" s="30">
        <f t="shared" si="53"/>
        <v>8.0242923581340331E-2</v>
      </c>
      <c r="K121" s="7">
        <f t="shared" si="74"/>
        <v>46154942.835349597</v>
      </c>
      <c r="L121" s="30">
        <f t="shared" si="54"/>
        <v>0.76652364687856167</v>
      </c>
    </row>
    <row r="122" spans="1:12" s="5" customFormat="1" ht="43.2" x14ac:dyDescent="0.3">
      <c r="A122" s="8" t="s">
        <v>63</v>
      </c>
      <c r="B122" s="11">
        <v>118000000</v>
      </c>
      <c r="C122" s="11">
        <v>60213332</v>
      </c>
      <c r="D122" s="4"/>
      <c r="E122" s="20">
        <f>(C122*45180)/555401</f>
        <v>4898151.6773646427</v>
      </c>
      <c r="F122" s="34">
        <f t="shared" si="51"/>
        <v>8.1346630632641997E-2</v>
      </c>
      <c r="G122" s="20">
        <f>(C122*39926)/555401</f>
        <v>4328543.6890318887</v>
      </c>
      <c r="H122" s="48">
        <f t="shared" si="52"/>
        <v>7.1886798907456056E-2</v>
      </c>
      <c r="I122" s="20">
        <f>(C122*44567)/555401</f>
        <v>4831693.7982538743</v>
      </c>
      <c r="J122" s="34">
        <f t="shared" si="53"/>
        <v>8.0242923581340331E-2</v>
      </c>
      <c r="K122" s="20">
        <f>(C122*425728)/555401</f>
        <v>46154942.835349597</v>
      </c>
      <c r="L122" s="34">
        <f t="shared" si="54"/>
        <v>0.76652364687856167</v>
      </c>
    </row>
    <row r="123" spans="1:12" s="5" customFormat="1" ht="14.25" customHeight="1" x14ac:dyDescent="0.3">
      <c r="A123" s="21"/>
      <c r="B123" s="9"/>
      <c r="C123" s="9"/>
      <c r="D123" s="4"/>
      <c r="E123" s="11"/>
      <c r="F123" s="32"/>
      <c r="G123" s="11"/>
      <c r="H123" s="45"/>
      <c r="I123" s="11"/>
      <c r="J123" s="32"/>
      <c r="K123" s="11"/>
      <c r="L123" s="32"/>
    </row>
    <row r="124" spans="1:12" s="5" customFormat="1" ht="14.25" customHeight="1" x14ac:dyDescent="0.3">
      <c r="A124" s="22" t="s">
        <v>64</v>
      </c>
      <c r="B124" s="23">
        <f>B97+B93+B16+B12+B5</f>
        <v>184671347924.9502</v>
      </c>
      <c r="C124" s="23">
        <f>C97+C93+C16+C12+C5</f>
        <v>180592637395.16754</v>
      </c>
      <c r="D124" s="4"/>
      <c r="E124" s="23">
        <f t="shared" ref="E124:K124" si="75">E97+E93+E16+E12+E5</f>
        <v>13729338082.825583</v>
      </c>
      <c r="F124" s="39">
        <f>E124/C124</f>
        <v>7.6023797430808018E-2</v>
      </c>
      <c r="G124" s="23">
        <f t="shared" si="75"/>
        <v>73426717670.334335</v>
      </c>
      <c r="H124" s="39">
        <f t="shared" si="52"/>
        <v>0.40658754824906918</v>
      </c>
      <c r="I124" s="23">
        <f t="shared" si="75"/>
        <v>75563201726.34433</v>
      </c>
      <c r="J124" s="39">
        <f t="shared" si="53"/>
        <v>0.41841795333549026</v>
      </c>
      <c r="K124" s="23">
        <f t="shared" si="75"/>
        <v>17873379915.6633</v>
      </c>
      <c r="L124" s="39">
        <f t="shared" si="54"/>
        <v>9.8970700984632565E-2</v>
      </c>
    </row>
    <row r="125" spans="1:12" x14ac:dyDescent="0.3">
      <c r="B125" s="24"/>
      <c r="C125" s="24"/>
      <c r="F125" s="40"/>
    </row>
    <row r="126" spans="1:12" x14ac:dyDescent="0.3">
      <c r="B126" s="24"/>
      <c r="C126" s="24"/>
      <c r="E126" s="24"/>
      <c r="F126" s="41"/>
    </row>
    <row r="127" spans="1:12" x14ac:dyDescent="0.3">
      <c r="B127" s="24"/>
      <c r="C127" s="24"/>
    </row>
    <row r="130" spans="5:7" x14ac:dyDescent="0.3">
      <c r="E130" s="54"/>
      <c r="G130" s="54"/>
    </row>
    <row r="134" spans="5:7" x14ac:dyDescent="0.3">
      <c r="E134" s="54"/>
    </row>
  </sheetData>
  <mergeCells count="2">
    <mergeCell ref="A3:C3"/>
    <mergeCell ref="E3:L3"/>
  </mergeCells>
  <pageMargins left="0.7" right="0.7" top="0.75" bottom="0.75" header="0.3" footer="0.3"/>
  <pageSetup paperSize="1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FUT SUIN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AUXPLANEACION03</dc:creator>
  <cp:lastModifiedBy>Raul camelo</cp:lastModifiedBy>
  <dcterms:created xsi:type="dcterms:W3CDTF">2023-06-30T14:12:01Z</dcterms:created>
  <dcterms:modified xsi:type="dcterms:W3CDTF">2023-06-30T21:45:11Z</dcterms:modified>
</cp:coreProperties>
</file>