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finitivo\"/>
    </mc:Choice>
  </mc:AlternateContent>
  <bookViews>
    <workbookView xWindow="-120" yWindow="-120" windowWidth="20736" windowHeight="11160"/>
  </bookViews>
  <sheets>
    <sheet name="2021" sheetId="2" r:id="rId1"/>
    <sheet name="Hoja1" sheetId="13" r:id="rId2"/>
    <sheet name="Hoja2" sheetId="10" r:id="rId3"/>
    <sheet name="Hoja3" sheetId="11" r:id="rId4"/>
  </sheets>
  <definedNames>
    <definedName name="_xlnm._FilterDatabase" localSheetId="0" hidden="1">'2021'!$B$5:$I$208</definedName>
    <definedName name="AMAZONAS">#REF!</definedName>
    <definedName name="ANTIOQUIA">#REF!</definedName>
    <definedName name="ARAUCA">#REF!</definedName>
    <definedName name="ATLÁNTICO">#REF!</definedName>
    <definedName name="BOGOTÁ">#REF!</definedName>
    <definedName name="BOLÍVAR">#REF!</definedName>
    <definedName name="BOYACÁ">#REF!</definedName>
    <definedName name="CALDAS">#REF!</definedName>
    <definedName name="CAQUETÁ">#REF!</definedName>
    <definedName name="CASANARE">#REF!</definedName>
    <definedName name="CAUCA">#REF!</definedName>
    <definedName name="CESAR">#REF!</definedName>
    <definedName name="CHOCÓ">#REF!</definedName>
    <definedName name="CÓRDOBA">#REF!</definedName>
    <definedName name="CUNDINAMARCA">#REF!</definedName>
    <definedName name="DEPARTAMENTO">#REF!</definedName>
    <definedName name="DEPTO">#REF!</definedName>
    <definedName name="GUAINÍA">#REF!</definedName>
    <definedName name="GUAVIARE">#REF!</definedName>
    <definedName name="HUILA">#REF!</definedName>
    <definedName name="LA_GUAJIRA">#REF!</definedName>
    <definedName name="MAGDALENA">#REF!</definedName>
    <definedName name="META">#REF!</definedName>
    <definedName name="NARIÑO">#REF!</definedName>
    <definedName name="NORTE_DE_SANTANDER">#REF!</definedName>
    <definedName name="PUTUMAYO">#REF!</definedName>
    <definedName name="QUINDÍO">#REF!</definedName>
    <definedName name="RISARALDA">#REF!</definedName>
    <definedName name="SAN_ANDRÉS">#REF!</definedName>
    <definedName name="SANTANDER">#REF!</definedName>
    <definedName name="SUCRE">#REF!</definedName>
    <definedName name="TOLIMA">#REF!</definedName>
    <definedName name="VALLE_DEL_CAUCA">#REF!</definedName>
    <definedName name="VAUPÉS">#REF!</definedName>
    <definedName name="VICHADA">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8" i="2" l="1"/>
  <c r="Q170" i="2"/>
  <c r="Q172" i="2"/>
  <c r="Q174" i="2"/>
  <c r="Q177" i="2"/>
  <c r="Q178" i="2"/>
  <c r="Q179" i="2"/>
  <c r="Q180" i="2"/>
  <c r="Q176" i="2"/>
  <c r="Q182" i="2"/>
  <c r="Q181" i="2"/>
  <c r="Q184" i="2"/>
  <c r="Q185" i="2"/>
  <c r="Q183" i="2"/>
  <c r="Q167" i="2"/>
  <c r="O168" i="2"/>
  <c r="O170" i="2"/>
  <c r="O172" i="2"/>
  <c r="O174" i="2"/>
  <c r="O177" i="2"/>
  <c r="O178" i="2"/>
  <c r="O179" i="2"/>
  <c r="O180" i="2"/>
  <c r="O176" i="2"/>
  <c r="O182" i="2"/>
  <c r="O181" i="2"/>
  <c r="O184" i="2"/>
  <c r="O185" i="2"/>
  <c r="O183" i="2"/>
  <c r="O167" i="2"/>
  <c r="M168" i="2"/>
  <c r="M170" i="2"/>
  <c r="M172" i="2"/>
  <c r="M174" i="2"/>
  <c r="M177" i="2"/>
  <c r="M178" i="2"/>
  <c r="M179" i="2"/>
  <c r="M180" i="2"/>
  <c r="M176" i="2"/>
  <c r="M182" i="2"/>
  <c r="M181" i="2"/>
  <c r="M184" i="2"/>
  <c r="M185" i="2"/>
  <c r="M183" i="2"/>
  <c r="M167" i="2"/>
  <c r="K168" i="2"/>
  <c r="K170" i="2"/>
  <c r="K172" i="2"/>
  <c r="K174" i="2"/>
  <c r="K177" i="2"/>
  <c r="K178" i="2"/>
  <c r="K179" i="2"/>
  <c r="K180" i="2"/>
  <c r="K176" i="2"/>
  <c r="K182" i="2"/>
  <c r="K181" i="2"/>
  <c r="K184" i="2"/>
  <c r="K185" i="2"/>
  <c r="K183" i="2"/>
  <c r="K167" i="2"/>
  <c r="K7" i="2"/>
  <c r="F10" i="2"/>
  <c r="K10" i="2"/>
  <c r="K9" i="2"/>
  <c r="K12" i="2"/>
  <c r="K15" i="2"/>
  <c r="F19" i="2"/>
  <c r="K19" i="2"/>
  <c r="K23" i="2"/>
  <c r="K24" i="2"/>
  <c r="K25" i="2"/>
  <c r="K18" i="2"/>
  <c r="K26" i="2"/>
  <c r="K29" i="2"/>
  <c r="K31" i="2"/>
  <c r="K33" i="2"/>
  <c r="K35" i="2"/>
  <c r="K37" i="2"/>
  <c r="K39" i="2"/>
  <c r="K42" i="2"/>
  <c r="K46" i="2"/>
  <c r="K48" i="2"/>
  <c r="K50" i="2"/>
  <c r="K52" i="2"/>
  <c r="K55" i="2"/>
  <c r="K57" i="2"/>
  <c r="K65" i="2"/>
  <c r="K66" i="2"/>
  <c r="K68" i="2"/>
  <c r="K67" i="2"/>
  <c r="K59" i="2"/>
  <c r="K69" i="2"/>
  <c r="K6" i="2"/>
  <c r="K72" i="2"/>
  <c r="K75" i="2"/>
  <c r="K77" i="2"/>
  <c r="K80" i="2"/>
  <c r="K83" i="2"/>
  <c r="K85" i="2"/>
  <c r="K71" i="2"/>
  <c r="K90" i="2"/>
  <c r="K88" i="2"/>
  <c r="K93" i="2"/>
  <c r="K91" i="2"/>
  <c r="K94" i="2"/>
  <c r="K96" i="2"/>
  <c r="K98" i="2"/>
  <c r="K102" i="2"/>
  <c r="K103" i="2"/>
  <c r="K104" i="2"/>
  <c r="K100" i="2"/>
  <c r="K107" i="2"/>
  <c r="K108" i="2"/>
  <c r="K109" i="2"/>
  <c r="K110" i="2"/>
  <c r="K111" i="2"/>
  <c r="K112" i="2"/>
  <c r="K113" i="2"/>
  <c r="K114" i="2"/>
  <c r="K105" i="2"/>
  <c r="K115" i="2"/>
  <c r="K117" i="2"/>
  <c r="K119" i="2"/>
  <c r="K121" i="2"/>
  <c r="K123" i="2"/>
  <c r="K125" i="2"/>
  <c r="K127" i="2"/>
  <c r="K130" i="2"/>
  <c r="K133" i="2"/>
  <c r="K135" i="2"/>
  <c r="K137" i="2"/>
  <c r="K144" i="2"/>
  <c r="K139" i="2"/>
  <c r="K145" i="2"/>
  <c r="K147" i="2"/>
  <c r="K149" i="2"/>
  <c r="K153" i="2"/>
  <c r="K151" i="2"/>
  <c r="K156" i="2"/>
  <c r="K154" i="2"/>
  <c r="K159" i="2"/>
  <c r="K157" i="2"/>
  <c r="K162" i="2"/>
  <c r="K163" i="2"/>
  <c r="K164" i="2"/>
  <c r="K160" i="2"/>
  <c r="K165" i="2"/>
  <c r="K87" i="2"/>
  <c r="K187" i="2"/>
  <c r="K186" i="2"/>
  <c r="K191" i="2"/>
  <c r="K190" i="2"/>
  <c r="K195" i="2"/>
  <c r="K196" i="2"/>
  <c r="K194" i="2"/>
  <c r="K198" i="2"/>
  <c r="K199" i="2"/>
  <c r="K200" i="2"/>
  <c r="K197" i="2"/>
  <c r="K202" i="2"/>
  <c r="K203" i="2"/>
  <c r="K204" i="2"/>
  <c r="K201" i="2"/>
  <c r="K207" i="2"/>
  <c r="K205" i="2"/>
  <c r="K193" i="2"/>
  <c r="K208" i="2"/>
  <c r="M7" i="2"/>
  <c r="M10" i="2"/>
  <c r="M9" i="2"/>
  <c r="M12" i="2"/>
  <c r="M15" i="2"/>
  <c r="M19" i="2"/>
  <c r="M23" i="2"/>
  <c r="M24" i="2"/>
  <c r="M25" i="2"/>
  <c r="M18" i="2"/>
  <c r="M26" i="2"/>
  <c r="M29" i="2"/>
  <c r="M31" i="2"/>
  <c r="M33" i="2"/>
  <c r="M35" i="2"/>
  <c r="M37" i="2"/>
  <c r="M41" i="2"/>
  <c r="M39" i="2"/>
  <c r="M42" i="2"/>
  <c r="M46" i="2"/>
  <c r="M48" i="2"/>
  <c r="M50" i="2"/>
  <c r="M52" i="2"/>
  <c r="M55" i="2"/>
  <c r="M57" i="2"/>
  <c r="M65" i="2"/>
  <c r="M66" i="2"/>
  <c r="M68" i="2"/>
  <c r="M67" i="2"/>
  <c r="M59" i="2"/>
  <c r="M69" i="2"/>
  <c r="M6" i="2"/>
  <c r="M72" i="2"/>
  <c r="M75" i="2"/>
  <c r="M77" i="2"/>
  <c r="M80" i="2"/>
  <c r="M83" i="2"/>
  <c r="M85" i="2"/>
  <c r="M71" i="2"/>
  <c r="M90" i="2"/>
  <c r="M88" i="2"/>
  <c r="M93" i="2"/>
  <c r="M91" i="2"/>
  <c r="M94" i="2"/>
  <c r="M96" i="2"/>
  <c r="M98" i="2"/>
  <c r="M102" i="2"/>
  <c r="M103" i="2"/>
  <c r="M104" i="2"/>
  <c r="M100" i="2"/>
  <c r="M107" i="2"/>
  <c r="M108" i="2"/>
  <c r="M109" i="2"/>
  <c r="M110" i="2"/>
  <c r="M111" i="2"/>
  <c r="M112" i="2"/>
  <c r="M113" i="2"/>
  <c r="M114" i="2"/>
  <c r="M105" i="2"/>
  <c r="M115" i="2"/>
  <c r="M117" i="2"/>
  <c r="M119" i="2"/>
  <c r="M121" i="2"/>
  <c r="M123" i="2"/>
  <c r="M125" i="2"/>
  <c r="M127" i="2"/>
  <c r="M130" i="2"/>
  <c r="M133" i="2"/>
  <c r="M135" i="2"/>
  <c r="M137" i="2"/>
  <c r="M144" i="2"/>
  <c r="M139" i="2"/>
  <c r="M145" i="2"/>
  <c r="M147" i="2"/>
  <c r="M149" i="2"/>
  <c r="M153" i="2"/>
  <c r="M151" i="2"/>
  <c r="M156" i="2"/>
  <c r="M154" i="2"/>
  <c r="M159" i="2"/>
  <c r="M157" i="2"/>
  <c r="M162" i="2"/>
  <c r="M163" i="2"/>
  <c r="M164" i="2"/>
  <c r="M160" i="2"/>
  <c r="M165" i="2"/>
  <c r="M87" i="2"/>
  <c r="M187" i="2"/>
  <c r="M186" i="2"/>
  <c r="M191" i="2"/>
  <c r="M190" i="2"/>
  <c r="M195" i="2"/>
  <c r="M196" i="2"/>
  <c r="M194" i="2"/>
  <c r="M198" i="2"/>
  <c r="M199" i="2"/>
  <c r="M200" i="2"/>
  <c r="M197" i="2"/>
  <c r="M202" i="2"/>
  <c r="M203" i="2"/>
  <c r="M204" i="2"/>
  <c r="M201" i="2"/>
  <c r="M207" i="2"/>
  <c r="M205" i="2"/>
  <c r="M193" i="2"/>
  <c r="M208" i="2"/>
  <c r="O7" i="2"/>
  <c r="O10" i="2"/>
  <c r="O9" i="2"/>
  <c r="O12" i="2"/>
  <c r="O15" i="2"/>
  <c r="O19" i="2"/>
  <c r="O23" i="2"/>
  <c r="O24" i="2"/>
  <c r="O25" i="2"/>
  <c r="O18" i="2"/>
  <c r="O26" i="2"/>
  <c r="O29" i="2"/>
  <c r="O31" i="2"/>
  <c r="O33" i="2"/>
  <c r="O35" i="2"/>
  <c r="O37" i="2"/>
  <c r="O41" i="2"/>
  <c r="O39" i="2"/>
  <c r="O42" i="2"/>
  <c r="O46" i="2"/>
  <c r="O48" i="2"/>
  <c r="O50" i="2"/>
  <c r="O52" i="2"/>
  <c r="O55" i="2"/>
  <c r="O57" i="2"/>
  <c r="O65" i="2"/>
  <c r="O66" i="2"/>
  <c r="O68" i="2"/>
  <c r="O67" i="2"/>
  <c r="O59" i="2"/>
  <c r="O69" i="2"/>
  <c r="O6" i="2"/>
  <c r="O72" i="2"/>
  <c r="O75" i="2"/>
  <c r="O77" i="2"/>
  <c r="O80" i="2"/>
  <c r="O83" i="2"/>
  <c r="O85" i="2"/>
  <c r="O71" i="2"/>
  <c r="O90" i="2"/>
  <c r="O88" i="2"/>
  <c r="O93" i="2"/>
  <c r="O91" i="2"/>
  <c r="O94" i="2"/>
  <c r="O96" i="2"/>
  <c r="O98" i="2"/>
  <c r="O102" i="2"/>
  <c r="O103" i="2"/>
  <c r="O104" i="2"/>
  <c r="O100" i="2"/>
  <c r="O107" i="2"/>
  <c r="O108" i="2"/>
  <c r="O109" i="2"/>
  <c r="O110" i="2"/>
  <c r="O111" i="2"/>
  <c r="O112" i="2"/>
  <c r="O113" i="2"/>
  <c r="O114" i="2"/>
  <c r="O105" i="2"/>
  <c r="O115" i="2"/>
  <c r="O117" i="2"/>
  <c r="O119" i="2"/>
  <c r="O121" i="2"/>
  <c r="O123" i="2"/>
  <c r="O125" i="2"/>
  <c r="O127" i="2"/>
  <c r="O130" i="2"/>
  <c r="O133" i="2"/>
  <c r="O135" i="2"/>
  <c r="O137" i="2"/>
  <c r="O144" i="2"/>
  <c r="O139" i="2"/>
  <c r="O145" i="2"/>
  <c r="O147" i="2"/>
  <c r="O149" i="2"/>
  <c r="O153" i="2"/>
  <c r="O151" i="2"/>
  <c r="O156" i="2"/>
  <c r="O154" i="2"/>
  <c r="O159" i="2"/>
  <c r="O157" i="2"/>
  <c r="O162" i="2"/>
  <c r="O163" i="2"/>
  <c r="O164" i="2"/>
  <c r="O160" i="2"/>
  <c r="O165" i="2"/>
  <c r="O87" i="2"/>
  <c r="O187" i="2"/>
  <c r="O186" i="2"/>
  <c r="O191" i="2"/>
  <c r="O190" i="2"/>
  <c r="O195" i="2"/>
  <c r="O196" i="2"/>
  <c r="O194" i="2"/>
  <c r="O198" i="2"/>
  <c r="O199" i="2"/>
  <c r="O200" i="2"/>
  <c r="O197" i="2"/>
  <c r="O202" i="2"/>
  <c r="O203" i="2"/>
  <c r="O204" i="2"/>
  <c r="O201" i="2"/>
  <c r="O207" i="2"/>
  <c r="O205" i="2"/>
  <c r="O193" i="2"/>
  <c r="O208" i="2"/>
  <c r="Q7" i="2"/>
  <c r="Q10" i="2"/>
  <c r="Q9" i="2"/>
  <c r="Q12" i="2"/>
  <c r="Q15" i="2"/>
  <c r="Q19" i="2"/>
  <c r="Q23" i="2"/>
  <c r="Q24" i="2"/>
  <c r="Q25" i="2"/>
  <c r="Q18" i="2"/>
  <c r="Q26" i="2"/>
  <c r="Q29" i="2"/>
  <c r="Q31" i="2"/>
  <c r="Q33" i="2"/>
  <c r="Q35" i="2"/>
  <c r="Q37" i="2"/>
  <c r="Q39" i="2"/>
  <c r="Q42" i="2"/>
  <c r="Q46" i="2"/>
  <c r="Q48" i="2"/>
  <c r="Q50" i="2"/>
  <c r="Q52" i="2"/>
  <c r="Q55" i="2"/>
  <c r="Q57" i="2"/>
  <c r="Q65" i="2"/>
  <c r="Q66" i="2"/>
  <c r="Q68" i="2"/>
  <c r="Q67" i="2"/>
  <c r="Q59" i="2"/>
  <c r="Q69" i="2"/>
  <c r="Q6" i="2"/>
  <c r="Q72" i="2"/>
  <c r="Q75" i="2"/>
  <c r="Q77" i="2"/>
  <c r="Q80" i="2"/>
  <c r="Q83" i="2"/>
  <c r="Q85" i="2"/>
  <c r="Q71" i="2"/>
  <c r="Q90" i="2"/>
  <c r="Q88" i="2"/>
  <c r="Q93" i="2"/>
  <c r="Q91" i="2"/>
  <c r="Q94" i="2"/>
  <c r="Q96" i="2"/>
  <c r="Q98" i="2"/>
  <c r="Q102" i="2"/>
  <c r="Q103" i="2"/>
  <c r="Q104" i="2"/>
  <c r="Q100" i="2"/>
  <c r="Q107" i="2"/>
  <c r="Q108" i="2"/>
  <c r="Q109" i="2"/>
  <c r="Q110" i="2"/>
  <c r="Q111" i="2"/>
  <c r="Q112" i="2"/>
  <c r="Q113" i="2"/>
  <c r="Q114" i="2"/>
  <c r="Q105" i="2"/>
  <c r="Q115" i="2"/>
  <c r="Q117" i="2"/>
  <c r="Q119" i="2"/>
  <c r="Q121" i="2"/>
  <c r="Q123" i="2"/>
  <c r="Q125" i="2"/>
  <c r="Q127" i="2"/>
  <c r="Q130" i="2"/>
  <c r="Q133" i="2"/>
  <c r="Q135" i="2"/>
  <c r="Q137" i="2"/>
  <c r="Q144" i="2"/>
  <c r="Q139" i="2"/>
  <c r="Q145" i="2"/>
  <c r="Q147" i="2"/>
  <c r="Q149" i="2"/>
  <c r="Q153" i="2"/>
  <c r="Q151" i="2"/>
  <c r="Q156" i="2"/>
  <c r="Q154" i="2"/>
  <c r="Q159" i="2"/>
  <c r="Q157" i="2"/>
  <c r="Q162" i="2"/>
  <c r="Q163" i="2"/>
  <c r="Q164" i="2"/>
  <c r="Q160" i="2"/>
  <c r="Q165" i="2"/>
  <c r="Q87" i="2"/>
  <c r="Q187" i="2"/>
  <c r="Q186" i="2"/>
  <c r="Q191" i="2"/>
  <c r="Q190" i="2"/>
  <c r="Q195" i="2"/>
  <c r="Q196" i="2"/>
  <c r="Q194" i="2"/>
  <c r="Q198" i="2"/>
  <c r="Q199" i="2"/>
  <c r="Q200" i="2"/>
  <c r="Q197" i="2"/>
  <c r="Q202" i="2"/>
  <c r="Q203" i="2"/>
  <c r="Q204" i="2"/>
  <c r="Q201" i="2"/>
  <c r="Q206" i="2"/>
  <c r="Q207" i="2"/>
  <c r="Q205" i="2"/>
  <c r="Q193" i="2"/>
  <c r="Q208" i="2"/>
  <c r="F7" i="2"/>
  <c r="F9" i="2"/>
  <c r="F12" i="2"/>
  <c r="F15" i="2"/>
  <c r="F18" i="2"/>
  <c r="F26" i="2"/>
  <c r="F29" i="2"/>
  <c r="F31" i="2"/>
  <c r="F33" i="2"/>
  <c r="F35" i="2"/>
  <c r="F37" i="2"/>
  <c r="F39" i="2"/>
  <c r="F42" i="2"/>
  <c r="F46" i="2"/>
  <c r="F48" i="2"/>
  <c r="F50" i="2"/>
  <c r="F52" i="2"/>
  <c r="F55" i="2"/>
  <c r="F57" i="2"/>
  <c r="F59" i="2"/>
  <c r="F69" i="2"/>
  <c r="F6" i="2"/>
  <c r="L6" i="2"/>
  <c r="E7" i="2"/>
  <c r="E10" i="2"/>
  <c r="E9" i="2"/>
  <c r="E12" i="2"/>
  <c r="E15" i="2"/>
  <c r="E19" i="2"/>
  <c r="E18" i="2"/>
  <c r="E26" i="2"/>
  <c r="E29" i="2"/>
  <c r="E31" i="2"/>
  <c r="E33" i="2"/>
  <c r="E35" i="2"/>
  <c r="E37" i="2"/>
  <c r="E39" i="2"/>
  <c r="E42" i="2"/>
  <c r="E46" i="2"/>
  <c r="E48" i="2"/>
  <c r="E50" i="2"/>
  <c r="E52" i="2"/>
  <c r="E55" i="2"/>
  <c r="E57" i="2"/>
  <c r="E59" i="2"/>
  <c r="E69" i="2"/>
  <c r="E6" i="2"/>
  <c r="G6" i="2"/>
  <c r="H168" i="2"/>
  <c r="H170" i="2"/>
  <c r="H172" i="2"/>
  <c r="H174" i="2"/>
  <c r="H176" i="2"/>
  <c r="H181" i="2"/>
  <c r="H183" i="2"/>
  <c r="H167" i="2"/>
  <c r="F168" i="2"/>
  <c r="F170" i="2"/>
  <c r="F172" i="2"/>
  <c r="F174" i="2"/>
  <c r="F176" i="2"/>
  <c r="F181" i="2"/>
  <c r="F183" i="2"/>
  <c r="F167" i="2"/>
  <c r="E168" i="2"/>
  <c r="E170" i="2"/>
  <c r="E172" i="2"/>
  <c r="E174" i="2"/>
  <c r="E176" i="2"/>
  <c r="E181" i="2"/>
  <c r="E183" i="2"/>
  <c r="E167" i="2"/>
  <c r="R19" i="2"/>
  <c r="P19" i="2"/>
  <c r="N19" i="2"/>
  <c r="L19" i="2"/>
  <c r="H19" i="2"/>
  <c r="H10" i="2"/>
  <c r="F72" i="2"/>
  <c r="F75" i="2"/>
  <c r="F77" i="2"/>
  <c r="F80" i="2"/>
  <c r="F83" i="2"/>
  <c r="F85" i="2"/>
  <c r="F71" i="2"/>
  <c r="F88" i="2"/>
  <c r="F91" i="2"/>
  <c r="F94" i="2"/>
  <c r="F96" i="2"/>
  <c r="F98" i="2"/>
  <c r="F100" i="2"/>
  <c r="F105" i="2"/>
  <c r="F115" i="2"/>
  <c r="F117" i="2"/>
  <c r="F119" i="2"/>
  <c r="F121" i="2"/>
  <c r="F123" i="2"/>
  <c r="F125" i="2"/>
  <c r="F127" i="2"/>
  <c r="F130" i="2"/>
  <c r="F133" i="2"/>
  <c r="F135" i="2"/>
  <c r="F137" i="2"/>
  <c r="F139" i="2"/>
  <c r="F145" i="2"/>
  <c r="F147" i="2"/>
  <c r="F149" i="2"/>
  <c r="F151" i="2"/>
  <c r="F154" i="2"/>
  <c r="F157" i="2"/>
  <c r="F160" i="2"/>
  <c r="F165" i="2"/>
  <c r="F87" i="2"/>
  <c r="F187" i="2"/>
  <c r="F186" i="2"/>
  <c r="F191" i="2"/>
  <c r="F190" i="2"/>
  <c r="F194" i="2"/>
  <c r="F197" i="2"/>
  <c r="F201" i="2"/>
  <c r="F205" i="2"/>
  <c r="F193" i="2"/>
  <c r="F208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P184" i="2"/>
  <c r="P183" i="2"/>
  <c r="P185" i="2"/>
  <c r="P182" i="2"/>
  <c r="N183" i="2"/>
  <c r="N185" i="2"/>
  <c r="N184" i="2"/>
  <c r="N182" i="2"/>
  <c r="L182" i="2"/>
  <c r="L183" i="2"/>
  <c r="L185" i="2"/>
  <c r="L184" i="2"/>
  <c r="G184" i="2"/>
  <c r="G185" i="2"/>
  <c r="G183" i="2"/>
  <c r="I184" i="2"/>
  <c r="I185" i="2"/>
  <c r="I183" i="2"/>
  <c r="P206" i="2"/>
  <c r="P192" i="2"/>
  <c r="P189" i="2"/>
  <c r="P188" i="2"/>
  <c r="P175" i="2"/>
  <c r="P173" i="2"/>
  <c r="P171" i="2"/>
  <c r="P169" i="2"/>
  <c r="P166" i="2"/>
  <c r="P161" i="2"/>
  <c r="P158" i="2"/>
  <c r="P155" i="2"/>
  <c r="P152" i="2"/>
  <c r="P150" i="2"/>
  <c r="P148" i="2"/>
  <c r="P146" i="2"/>
  <c r="P143" i="2"/>
  <c r="P142" i="2"/>
  <c r="P141" i="2"/>
  <c r="P140" i="2"/>
  <c r="P138" i="2"/>
  <c r="P136" i="2"/>
  <c r="P134" i="2"/>
  <c r="P132" i="2"/>
  <c r="P131" i="2"/>
  <c r="P129" i="2"/>
  <c r="P128" i="2"/>
  <c r="P126" i="2"/>
  <c r="P124" i="2"/>
  <c r="P122" i="2"/>
  <c r="P120" i="2"/>
  <c r="P118" i="2"/>
  <c r="P116" i="2"/>
  <c r="P106" i="2"/>
  <c r="P101" i="2"/>
  <c r="P99" i="2"/>
  <c r="P97" i="2"/>
  <c r="P95" i="2"/>
  <c r="P92" i="2"/>
  <c r="P89" i="2"/>
  <c r="P86" i="2"/>
  <c r="P84" i="2"/>
  <c r="P82" i="2"/>
  <c r="P81" i="2"/>
  <c r="P79" i="2"/>
  <c r="P78" i="2"/>
  <c r="P76" i="2"/>
  <c r="P74" i="2"/>
  <c r="P73" i="2"/>
  <c r="P70" i="2"/>
  <c r="P64" i="2"/>
  <c r="P63" i="2"/>
  <c r="P62" i="2"/>
  <c r="P61" i="2"/>
  <c r="P60" i="2"/>
  <c r="P58" i="2"/>
  <c r="P56" i="2"/>
  <c r="P54" i="2"/>
  <c r="P53" i="2"/>
  <c r="P51" i="2"/>
  <c r="P49" i="2"/>
  <c r="P47" i="2"/>
  <c r="P45" i="2"/>
  <c r="P44" i="2"/>
  <c r="P43" i="2"/>
  <c r="P40" i="2"/>
  <c r="P38" i="2"/>
  <c r="P36" i="2"/>
  <c r="P34" i="2"/>
  <c r="P32" i="2"/>
  <c r="P30" i="2"/>
  <c r="P28" i="2"/>
  <c r="P27" i="2"/>
  <c r="P22" i="2"/>
  <c r="P21" i="2"/>
  <c r="P20" i="2"/>
  <c r="P17" i="2"/>
  <c r="P16" i="2"/>
  <c r="P14" i="2"/>
  <c r="P13" i="2"/>
  <c r="P11" i="2"/>
  <c r="P8" i="2"/>
  <c r="N206" i="2"/>
  <c r="N192" i="2"/>
  <c r="N189" i="2"/>
  <c r="N188" i="2"/>
  <c r="N175" i="2"/>
  <c r="N173" i="2"/>
  <c r="N171" i="2"/>
  <c r="N169" i="2"/>
  <c r="N166" i="2"/>
  <c r="N161" i="2"/>
  <c r="N158" i="2"/>
  <c r="N155" i="2"/>
  <c r="N152" i="2"/>
  <c r="N150" i="2"/>
  <c r="N148" i="2"/>
  <c r="N146" i="2"/>
  <c r="N143" i="2"/>
  <c r="N142" i="2"/>
  <c r="N141" i="2"/>
  <c r="N140" i="2"/>
  <c r="N138" i="2"/>
  <c r="N136" i="2"/>
  <c r="N134" i="2"/>
  <c r="N132" i="2"/>
  <c r="N131" i="2"/>
  <c r="N129" i="2"/>
  <c r="N128" i="2"/>
  <c r="N126" i="2"/>
  <c r="N124" i="2"/>
  <c r="N122" i="2"/>
  <c r="N120" i="2"/>
  <c r="N118" i="2"/>
  <c r="N116" i="2"/>
  <c r="N106" i="2"/>
  <c r="N101" i="2"/>
  <c r="N99" i="2"/>
  <c r="N97" i="2"/>
  <c r="N95" i="2"/>
  <c r="N92" i="2"/>
  <c r="N89" i="2"/>
  <c r="N86" i="2"/>
  <c r="N84" i="2"/>
  <c r="N82" i="2"/>
  <c r="N81" i="2"/>
  <c r="N79" i="2"/>
  <c r="N78" i="2"/>
  <c r="N76" i="2"/>
  <c r="N74" i="2"/>
  <c r="N73" i="2"/>
  <c r="N70" i="2"/>
  <c r="N64" i="2"/>
  <c r="N63" i="2"/>
  <c r="N62" i="2"/>
  <c r="N61" i="2"/>
  <c r="N60" i="2"/>
  <c r="N58" i="2"/>
  <c r="N56" i="2"/>
  <c r="N54" i="2"/>
  <c r="N53" i="2"/>
  <c r="N51" i="2"/>
  <c r="N49" i="2"/>
  <c r="N47" i="2"/>
  <c r="N45" i="2"/>
  <c r="N44" i="2"/>
  <c r="N43" i="2"/>
  <c r="N40" i="2"/>
  <c r="N38" i="2"/>
  <c r="N36" i="2"/>
  <c r="N34" i="2"/>
  <c r="N32" i="2"/>
  <c r="N30" i="2"/>
  <c r="N28" i="2"/>
  <c r="N27" i="2"/>
  <c r="N22" i="2"/>
  <c r="N21" i="2"/>
  <c r="N20" i="2"/>
  <c r="N17" i="2"/>
  <c r="N16" i="2"/>
  <c r="N14" i="2"/>
  <c r="N13" i="2"/>
  <c r="N11" i="2"/>
  <c r="N8" i="2"/>
  <c r="L206" i="2"/>
  <c r="L192" i="2"/>
  <c r="L189" i="2"/>
  <c r="L188" i="2"/>
  <c r="L175" i="2"/>
  <c r="L173" i="2"/>
  <c r="L171" i="2"/>
  <c r="L169" i="2"/>
  <c r="L166" i="2"/>
  <c r="L161" i="2"/>
  <c r="L158" i="2"/>
  <c r="L155" i="2"/>
  <c r="L152" i="2"/>
  <c r="L150" i="2"/>
  <c r="L148" i="2"/>
  <c r="L146" i="2"/>
  <c r="L143" i="2"/>
  <c r="L142" i="2"/>
  <c r="L141" i="2"/>
  <c r="L140" i="2"/>
  <c r="L138" i="2"/>
  <c r="L136" i="2"/>
  <c r="L134" i="2"/>
  <c r="L132" i="2"/>
  <c r="L131" i="2"/>
  <c r="L129" i="2"/>
  <c r="L128" i="2"/>
  <c r="L126" i="2"/>
  <c r="L124" i="2"/>
  <c r="L122" i="2"/>
  <c r="L120" i="2"/>
  <c r="L118" i="2"/>
  <c r="L116" i="2"/>
  <c r="L106" i="2"/>
  <c r="L101" i="2"/>
  <c r="L99" i="2"/>
  <c r="L97" i="2"/>
  <c r="L95" i="2"/>
  <c r="L92" i="2"/>
  <c r="L89" i="2"/>
  <c r="L86" i="2"/>
  <c r="L84" i="2"/>
  <c r="L82" i="2"/>
  <c r="L81" i="2"/>
  <c r="L79" i="2"/>
  <c r="L78" i="2"/>
  <c r="L76" i="2"/>
  <c r="L74" i="2"/>
  <c r="L73" i="2"/>
  <c r="L70" i="2"/>
  <c r="L64" i="2"/>
  <c r="L63" i="2"/>
  <c r="L62" i="2"/>
  <c r="L61" i="2"/>
  <c r="L60" i="2"/>
  <c r="L58" i="2"/>
  <c r="L56" i="2"/>
  <c r="L54" i="2"/>
  <c r="L53" i="2"/>
  <c r="L51" i="2"/>
  <c r="L49" i="2"/>
  <c r="L47" i="2"/>
  <c r="L45" i="2"/>
  <c r="L44" i="2"/>
  <c r="L43" i="2"/>
  <c r="L41" i="2"/>
  <c r="L40" i="2"/>
  <c r="L38" i="2"/>
  <c r="L36" i="2"/>
  <c r="L34" i="2"/>
  <c r="L32" i="2"/>
  <c r="L30" i="2"/>
  <c r="L28" i="2"/>
  <c r="L27" i="2"/>
  <c r="L22" i="2"/>
  <c r="L21" i="2"/>
  <c r="L20" i="2"/>
  <c r="L17" i="2"/>
  <c r="L16" i="2"/>
  <c r="L14" i="2"/>
  <c r="L13" i="2"/>
  <c r="L11" i="2"/>
  <c r="L8" i="2"/>
  <c r="I207" i="2"/>
  <c r="I206" i="2"/>
  <c r="I204" i="2"/>
  <c r="I203" i="2"/>
  <c r="I202" i="2"/>
  <c r="I200" i="2"/>
  <c r="I199" i="2"/>
  <c r="I198" i="2"/>
  <c r="I196" i="2"/>
  <c r="I195" i="2"/>
  <c r="I192" i="2"/>
  <c r="I189" i="2"/>
  <c r="I188" i="2"/>
  <c r="I182" i="2"/>
  <c r="I180" i="2"/>
  <c r="I179" i="2"/>
  <c r="I178" i="2"/>
  <c r="I177" i="2"/>
  <c r="I175" i="2"/>
  <c r="I173" i="2"/>
  <c r="I171" i="2"/>
  <c r="I169" i="2"/>
  <c r="I166" i="2"/>
  <c r="I164" i="2"/>
  <c r="I163" i="2"/>
  <c r="I162" i="2"/>
  <c r="I161" i="2"/>
  <c r="I159" i="2"/>
  <c r="I158" i="2"/>
  <c r="I156" i="2"/>
  <c r="I155" i="2"/>
  <c r="I153" i="2"/>
  <c r="I152" i="2"/>
  <c r="I150" i="2"/>
  <c r="I148" i="2"/>
  <c r="I146" i="2"/>
  <c r="I144" i="2"/>
  <c r="I143" i="2"/>
  <c r="I142" i="2"/>
  <c r="I141" i="2"/>
  <c r="I140" i="2"/>
  <c r="I138" i="2"/>
  <c r="I136" i="2"/>
  <c r="I134" i="2"/>
  <c r="I132" i="2"/>
  <c r="I131" i="2"/>
  <c r="I129" i="2"/>
  <c r="I128" i="2"/>
  <c r="I126" i="2"/>
  <c r="I124" i="2"/>
  <c r="I122" i="2"/>
  <c r="I120" i="2"/>
  <c r="I118" i="2"/>
  <c r="I116" i="2"/>
  <c r="I114" i="2"/>
  <c r="I113" i="2"/>
  <c r="I112" i="2"/>
  <c r="I111" i="2"/>
  <c r="I110" i="2"/>
  <c r="I109" i="2"/>
  <c r="I108" i="2"/>
  <c r="I107" i="2"/>
  <c r="I106" i="2"/>
  <c r="I104" i="2"/>
  <c r="I103" i="2"/>
  <c r="I102" i="2"/>
  <c r="I101" i="2"/>
  <c r="I99" i="2"/>
  <c r="I97" i="2"/>
  <c r="I95" i="2"/>
  <c r="I93" i="2"/>
  <c r="I92" i="2"/>
  <c r="I90" i="2"/>
  <c r="I89" i="2"/>
  <c r="I86" i="2"/>
  <c r="I84" i="2"/>
  <c r="I82" i="2"/>
  <c r="I81" i="2"/>
  <c r="I79" i="2"/>
  <c r="I78" i="2"/>
  <c r="I76" i="2"/>
  <c r="I74" i="2"/>
  <c r="I73" i="2"/>
  <c r="I70" i="2"/>
  <c r="I68" i="2"/>
  <c r="I67" i="2"/>
  <c r="I66" i="2"/>
  <c r="I65" i="2"/>
  <c r="I64" i="2"/>
  <c r="I63" i="2"/>
  <c r="I62" i="2"/>
  <c r="I61" i="2"/>
  <c r="I60" i="2"/>
  <c r="I58" i="2"/>
  <c r="I56" i="2"/>
  <c r="I54" i="2"/>
  <c r="I53" i="2"/>
  <c r="I51" i="2"/>
  <c r="I49" i="2"/>
  <c r="I47" i="2"/>
  <c r="I45" i="2"/>
  <c r="I44" i="2"/>
  <c r="I43" i="2"/>
  <c r="I41" i="2"/>
  <c r="I40" i="2"/>
  <c r="I38" i="2"/>
  <c r="I36" i="2"/>
  <c r="I34" i="2"/>
  <c r="I32" i="2"/>
  <c r="I30" i="2"/>
  <c r="I28" i="2"/>
  <c r="I27" i="2"/>
  <c r="I25" i="2"/>
  <c r="I24" i="2"/>
  <c r="I23" i="2"/>
  <c r="I22" i="2"/>
  <c r="I21" i="2"/>
  <c r="I20" i="2"/>
  <c r="I19" i="2"/>
  <c r="I17" i="2"/>
  <c r="I16" i="2"/>
  <c r="I14" i="2"/>
  <c r="I13" i="2"/>
  <c r="I11" i="2"/>
  <c r="I10" i="2"/>
  <c r="I8" i="2"/>
  <c r="G11" i="2"/>
  <c r="G207" i="2"/>
  <c r="G206" i="2"/>
  <c r="G204" i="2"/>
  <c r="G203" i="2"/>
  <c r="G202" i="2"/>
  <c r="G200" i="2"/>
  <c r="G199" i="2"/>
  <c r="G198" i="2"/>
  <c r="G196" i="2"/>
  <c r="G195" i="2"/>
  <c r="G192" i="2"/>
  <c r="G189" i="2"/>
  <c r="G188" i="2"/>
  <c r="G182" i="2"/>
  <c r="G180" i="2"/>
  <c r="G179" i="2"/>
  <c r="G178" i="2"/>
  <c r="G177" i="2"/>
  <c r="G175" i="2"/>
  <c r="G173" i="2"/>
  <c r="G171" i="2"/>
  <c r="G169" i="2"/>
  <c r="G166" i="2"/>
  <c r="G164" i="2"/>
  <c r="G163" i="2"/>
  <c r="G162" i="2"/>
  <c r="G161" i="2"/>
  <c r="G159" i="2"/>
  <c r="G158" i="2"/>
  <c r="G156" i="2"/>
  <c r="G155" i="2"/>
  <c r="G153" i="2"/>
  <c r="G152" i="2"/>
  <c r="G150" i="2"/>
  <c r="G148" i="2"/>
  <c r="G146" i="2"/>
  <c r="G144" i="2"/>
  <c r="G143" i="2"/>
  <c r="G142" i="2"/>
  <c r="G141" i="2"/>
  <c r="G140" i="2"/>
  <c r="G138" i="2"/>
  <c r="G136" i="2"/>
  <c r="G134" i="2"/>
  <c r="G132" i="2"/>
  <c r="G131" i="2"/>
  <c r="G129" i="2"/>
  <c r="G128" i="2"/>
  <c r="G126" i="2"/>
  <c r="G124" i="2"/>
  <c r="G122" i="2"/>
  <c r="G120" i="2"/>
  <c r="G118" i="2"/>
  <c r="G116" i="2"/>
  <c r="G114" i="2"/>
  <c r="G113" i="2"/>
  <c r="G112" i="2"/>
  <c r="G111" i="2"/>
  <c r="G110" i="2"/>
  <c r="G109" i="2"/>
  <c r="G108" i="2"/>
  <c r="G107" i="2"/>
  <c r="G106" i="2"/>
  <c r="G104" i="2"/>
  <c r="G103" i="2"/>
  <c r="G102" i="2"/>
  <c r="G101" i="2"/>
  <c r="G99" i="2"/>
  <c r="G97" i="2"/>
  <c r="G95" i="2"/>
  <c r="G93" i="2"/>
  <c r="G92" i="2"/>
  <c r="G90" i="2"/>
  <c r="G89" i="2"/>
  <c r="G86" i="2"/>
  <c r="G84" i="2"/>
  <c r="G82" i="2"/>
  <c r="G81" i="2"/>
  <c r="G79" i="2"/>
  <c r="G78" i="2"/>
  <c r="G76" i="2"/>
  <c r="G74" i="2"/>
  <c r="G73" i="2"/>
  <c r="G70" i="2"/>
  <c r="G68" i="2"/>
  <c r="G67" i="2"/>
  <c r="G66" i="2"/>
  <c r="G65" i="2"/>
  <c r="G64" i="2"/>
  <c r="G63" i="2"/>
  <c r="G62" i="2"/>
  <c r="G61" i="2"/>
  <c r="G60" i="2"/>
  <c r="G58" i="2"/>
  <c r="G56" i="2"/>
  <c r="G54" i="2"/>
  <c r="G53" i="2"/>
  <c r="G51" i="2"/>
  <c r="G49" i="2"/>
  <c r="G47" i="2"/>
  <c r="G45" i="2"/>
  <c r="G44" i="2"/>
  <c r="G43" i="2"/>
  <c r="G41" i="2"/>
  <c r="G40" i="2"/>
  <c r="G38" i="2"/>
  <c r="G36" i="2"/>
  <c r="G34" i="2"/>
  <c r="G32" i="2"/>
  <c r="G30" i="2"/>
  <c r="G28" i="2"/>
  <c r="G27" i="2"/>
  <c r="G25" i="2"/>
  <c r="G24" i="2"/>
  <c r="G23" i="2"/>
  <c r="G22" i="2"/>
  <c r="G21" i="2"/>
  <c r="G20" i="2"/>
  <c r="G19" i="2"/>
  <c r="G17" i="2"/>
  <c r="G16" i="2"/>
  <c r="G14" i="2"/>
  <c r="G13" i="2"/>
  <c r="G10" i="2"/>
  <c r="G8" i="2"/>
  <c r="P178" i="2"/>
  <c r="P179" i="2"/>
  <c r="P180" i="2"/>
  <c r="N178" i="2"/>
  <c r="N179" i="2"/>
  <c r="N180" i="2"/>
  <c r="L178" i="2"/>
  <c r="L179" i="2"/>
  <c r="L180" i="2"/>
  <c r="P177" i="2"/>
  <c r="N177" i="2"/>
  <c r="L177" i="2"/>
  <c r="P164" i="2"/>
  <c r="N164" i="2"/>
  <c r="L164" i="2"/>
  <c r="P163" i="2"/>
  <c r="N163" i="2"/>
  <c r="L163" i="2"/>
  <c r="P162" i="2"/>
  <c r="N162" i="2"/>
  <c r="L162" i="2"/>
  <c r="P159" i="2"/>
  <c r="N159" i="2"/>
  <c r="L159" i="2"/>
  <c r="P156" i="2"/>
  <c r="N156" i="2"/>
  <c r="L156" i="2"/>
  <c r="P153" i="2"/>
  <c r="N153" i="2"/>
  <c r="L153" i="2"/>
  <c r="P144" i="2"/>
  <c r="N144" i="2"/>
  <c r="L144" i="2"/>
  <c r="P108" i="2"/>
  <c r="P109" i="2"/>
  <c r="P110" i="2"/>
  <c r="P111" i="2"/>
  <c r="P112" i="2"/>
  <c r="P113" i="2"/>
  <c r="P114" i="2"/>
  <c r="N108" i="2"/>
  <c r="N109" i="2"/>
  <c r="N110" i="2"/>
  <c r="N111" i="2"/>
  <c r="N112" i="2"/>
  <c r="N113" i="2"/>
  <c r="N114" i="2"/>
  <c r="L108" i="2"/>
  <c r="L109" i="2"/>
  <c r="L110" i="2"/>
  <c r="L111" i="2"/>
  <c r="L112" i="2"/>
  <c r="L113" i="2"/>
  <c r="L114" i="2"/>
  <c r="P107" i="2"/>
  <c r="N107" i="2"/>
  <c r="L107" i="2"/>
  <c r="L104" i="2"/>
  <c r="L103" i="2"/>
  <c r="N103" i="2"/>
  <c r="P103" i="2"/>
  <c r="N104" i="2"/>
  <c r="P104" i="2"/>
  <c r="P102" i="2"/>
  <c r="N102" i="2"/>
  <c r="L102" i="2"/>
  <c r="P93" i="2"/>
  <c r="N93" i="2"/>
  <c r="L93" i="2"/>
  <c r="P90" i="2"/>
  <c r="N90" i="2"/>
  <c r="L90" i="2"/>
  <c r="P68" i="2"/>
  <c r="N68" i="2"/>
  <c r="L68" i="2"/>
  <c r="P67" i="2"/>
  <c r="N67" i="2"/>
  <c r="L67" i="2"/>
  <c r="P66" i="2"/>
  <c r="N66" i="2"/>
  <c r="L66" i="2"/>
  <c r="P41" i="2"/>
  <c r="N41" i="2"/>
  <c r="P25" i="2"/>
  <c r="N25" i="2"/>
  <c r="L25" i="2"/>
  <c r="P24" i="2"/>
  <c r="N24" i="2"/>
  <c r="L24" i="2"/>
  <c r="P23" i="2"/>
  <c r="N23" i="2"/>
  <c r="L23" i="2"/>
  <c r="P65" i="2"/>
  <c r="L65" i="2"/>
  <c r="N65" i="2"/>
  <c r="L207" i="2"/>
  <c r="P204" i="2"/>
  <c r="N204" i="2"/>
  <c r="L204" i="2"/>
  <c r="P203" i="2"/>
  <c r="N203" i="2"/>
  <c r="L203" i="2"/>
  <c r="L202" i="2"/>
  <c r="P200" i="2"/>
  <c r="N200" i="2"/>
  <c r="L200" i="2"/>
  <c r="P199" i="2"/>
  <c r="N199" i="2"/>
  <c r="L199" i="2"/>
  <c r="L198" i="2"/>
  <c r="P198" i="2"/>
  <c r="P202" i="2"/>
  <c r="P207" i="2"/>
  <c r="N198" i="2"/>
  <c r="N202" i="2"/>
  <c r="N207" i="2"/>
  <c r="H160" i="2"/>
  <c r="E160" i="2"/>
  <c r="H157" i="2"/>
  <c r="E157" i="2"/>
  <c r="H154" i="2"/>
  <c r="E154" i="2"/>
  <c r="H151" i="2"/>
  <c r="E151" i="2"/>
  <c r="H139" i="2"/>
  <c r="E139" i="2"/>
  <c r="H105" i="2"/>
  <c r="E105" i="2"/>
  <c r="H100" i="2"/>
  <c r="E100" i="2"/>
  <c r="H91" i="2"/>
  <c r="E91" i="2"/>
  <c r="H88" i="2"/>
  <c r="E88" i="2"/>
  <c r="H85" i="2"/>
  <c r="E85" i="2"/>
  <c r="H83" i="2"/>
  <c r="E83" i="2"/>
  <c r="H59" i="2"/>
  <c r="H39" i="2"/>
  <c r="H18" i="2"/>
  <c r="I18" i="2"/>
  <c r="I85" i="2"/>
  <c r="I105" i="2"/>
  <c r="P160" i="2"/>
  <c r="L160" i="2"/>
  <c r="N160" i="2"/>
  <c r="L18" i="2"/>
  <c r="N18" i="2"/>
  <c r="P18" i="2"/>
  <c r="I83" i="2"/>
  <c r="L85" i="2"/>
  <c r="P85" i="2"/>
  <c r="N85" i="2"/>
  <c r="I100" i="2"/>
  <c r="P105" i="2"/>
  <c r="N105" i="2"/>
  <c r="L105" i="2"/>
  <c r="I154" i="2"/>
  <c r="P157" i="2"/>
  <c r="L157" i="2"/>
  <c r="N157" i="2"/>
  <c r="L39" i="2"/>
  <c r="N39" i="2"/>
  <c r="P39" i="2"/>
  <c r="L88" i="2"/>
  <c r="N88" i="2"/>
  <c r="P88" i="2"/>
  <c r="L139" i="2"/>
  <c r="N139" i="2"/>
  <c r="P139" i="2"/>
  <c r="I59" i="2"/>
  <c r="N83" i="2"/>
  <c r="P83" i="2"/>
  <c r="L83" i="2"/>
  <c r="I91" i="2"/>
  <c r="P100" i="2"/>
  <c r="L100" i="2"/>
  <c r="N100" i="2"/>
  <c r="I151" i="2"/>
  <c r="L154" i="2"/>
  <c r="N154" i="2"/>
  <c r="P154" i="2"/>
  <c r="I176" i="2"/>
  <c r="I157" i="2"/>
  <c r="I39" i="2"/>
  <c r="P59" i="2"/>
  <c r="N59" i="2"/>
  <c r="L59" i="2"/>
  <c r="I88" i="2"/>
  <c r="N91" i="2"/>
  <c r="P91" i="2"/>
  <c r="L91" i="2"/>
  <c r="I139" i="2"/>
  <c r="N151" i="2"/>
  <c r="L151" i="2"/>
  <c r="P151" i="2"/>
  <c r="I160" i="2"/>
  <c r="L176" i="2"/>
  <c r="N176" i="2"/>
  <c r="P176" i="2"/>
  <c r="G39" i="2"/>
  <c r="G88" i="2"/>
  <c r="G139" i="2"/>
  <c r="G160" i="2"/>
  <c r="G18" i="2"/>
  <c r="G85" i="2"/>
  <c r="G105" i="2"/>
  <c r="G157" i="2"/>
  <c r="G83" i="2"/>
  <c r="G100" i="2"/>
  <c r="G154" i="2"/>
  <c r="G59" i="2"/>
  <c r="G91" i="2"/>
  <c r="G151" i="2"/>
  <c r="G176" i="2"/>
  <c r="H205" i="2"/>
  <c r="E205" i="2"/>
  <c r="H201" i="2"/>
  <c r="E201" i="2"/>
  <c r="H197" i="2"/>
  <c r="E197" i="2"/>
  <c r="L196" i="2"/>
  <c r="P195" i="2"/>
  <c r="N195" i="2"/>
  <c r="L195" i="2"/>
  <c r="H194" i="2"/>
  <c r="E194" i="2"/>
  <c r="H191" i="2"/>
  <c r="E191" i="2"/>
  <c r="E190" i="2"/>
  <c r="H187" i="2"/>
  <c r="E187" i="2"/>
  <c r="E186" i="2"/>
  <c r="H165" i="2"/>
  <c r="E165" i="2"/>
  <c r="H149" i="2"/>
  <c r="E149" i="2"/>
  <c r="H147" i="2"/>
  <c r="E147" i="2"/>
  <c r="H145" i="2"/>
  <c r="E145" i="2"/>
  <c r="H137" i="2"/>
  <c r="E137" i="2"/>
  <c r="H135" i="2"/>
  <c r="E135" i="2"/>
  <c r="H133" i="2"/>
  <c r="E133" i="2"/>
  <c r="H130" i="2"/>
  <c r="E130" i="2"/>
  <c r="H127" i="2"/>
  <c r="E127" i="2"/>
  <c r="H125" i="2"/>
  <c r="E125" i="2"/>
  <c r="H123" i="2"/>
  <c r="E123" i="2"/>
  <c r="H121" i="2"/>
  <c r="E121" i="2"/>
  <c r="H119" i="2"/>
  <c r="E119" i="2"/>
  <c r="H117" i="2"/>
  <c r="E117" i="2"/>
  <c r="H115" i="2"/>
  <c r="E115" i="2"/>
  <c r="H98" i="2"/>
  <c r="E98" i="2"/>
  <c r="H96" i="2"/>
  <c r="E96" i="2"/>
  <c r="H94" i="2"/>
  <c r="E94" i="2"/>
  <c r="H80" i="2"/>
  <c r="E80" i="2"/>
  <c r="H77" i="2"/>
  <c r="E77" i="2"/>
  <c r="H75" i="2"/>
  <c r="E75" i="2"/>
  <c r="H72" i="2"/>
  <c r="E72" i="2"/>
  <c r="H69" i="2"/>
  <c r="H57" i="2"/>
  <c r="H55" i="2"/>
  <c r="H52" i="2"/>
  <c r="H50" i="2"/>
  <c r="H48" i="2"/>
  <c r="H46" i="2"/>
  <c r="H42" i="2"/>
  <c r="H37" i="2"/>
  <c r="H35" i="2"/>
  <c r="H33" i="2"/>
  <c r="H31" i="2"/>
  <c r="H29" i="2"/>
  <c r="H26" i="2"/>
  <c r="H15" i="2"/>
  <c r="H12" i="2"/>
  <c r="P10" i="2"/>
  <c r="N10" i="2"/>
  <c r="L10" i="2"/>
  <c r="H9" i="2"/>
  <c r="I9" i="2"/>
  <c r="G9" i="2"/>
  <c r="H7" i="2"/>
  <c r="I29" i="2"/>
  <c r="L57" i="2"/>
  <c r="N57" i="2"/>
  <c r="P57" i="2"/>
  <c r="L77" i="2"/>
  <c r="P77" i="2"/>
  <c r="N77" i="2"/>
  <c r="L130" i="2"/>
  <c r="P130" i="2"/>
  <c r="N130" i="2"/>
  <c r="I147" i="2"/>
  <c r="P168" i="2"/>
  <c r="L168" i="2"/>
  <c r="N168" i="2"/>
  <c r="N196" i="2"/>
  <c r="I201" i="2"/>
  <c r="I7" i="2"/>
  <c r="I26" i="2"/>
  <c r="I35" i="2"/>
  <c r="N46" i="2"/>
  <c r="P46" i="2"/>
  <c r="L46" i="2"/>
  <c r="N55" i="2"/>
  <c r="P55" i="2"/>
  <c r="L55" i="2"/>
  <c r="I77" i="2"/>
  <c r="I130" i="2"/>
  <c r="P165" i="2"/>
  <c r="L165" i="2"/>
  <c r="N165" i="2"/>
  <c r="I181" i="2"/>
  <c r="P196" i="2"/>
  <c r="L48" i="2"/>
  <c r="N48" i="2"/>
  <c r="P48" i="2"/>
  <c r="I69" i="2"/>
  <c r="I80" i="2"/>
  <c r="L98" i="2"/>
  <c r="N98" i="2"/>
  <c r="P98" i="2"/>
  <c r="L145" i="2"/>
  <c r="N145" i="2"/>
  <c r="P145" i="2"/>
  <c r="I170" i="2"/>
  <c r="N181" i="2"/>
  <c r="P181" i="2"/>
  <c r="L181" i="2"/>
  <c r="L197" i="2"/>
  <c r="N197" i="2"/>
  <c r="P197" i="2"/>
  <c r="L15" i="2"/>
  <c r="P15" i="2"/>
  <c r="N15" i="2"/>
  <c r="P33" i="2"/>
  <c r="N33" i="2"/>
  <c r="L33" i="2"/>
  <c r="I48" i="2"/>
  <c r="I57" i="2"/>
  <c r="L75" i="2"/>
  <c r="P75" i="2"/>
  <c r="N75" i="2"/>
  <c r="L96" i="2"/>
  <c r="N96" i="2"/>
  <c r="P96" i="2"/>
  <c r="I98" i="2"/>
  <c r="L119" i="2"/>
  <c r="P119" i="2"/>
  <c r="N119" i="2"/>
  <c r="I121" i="2"/>
  <c r="L127" i="2"/>
  <c r="P127" i="2"/>
  <c r="N127" i="2"/>
  <c r="L137" i="2"/>
  <c r="P137" i="2"/>
  <c r="N137" i="2"/>
  <c r="I145" i="2"/>
  <c r="I168" i="2"/>
  <c r="N174" i="2"/>
  <c r="L174" i="2"/>
  <c r="P174" i="2"/>
  <c r="I197" i="2"/>
  <c r="L12" i="2"/>
  <c r="P12" i="2"/>
  <c r="N12" i="2"/>
  <c r="I15" i="2"/>
  <c r="L31" i="2"/>
  <c r="N31" i="2"/>
  <c r="P31" i="2"/>
  <c r="I33" i="2"/>
  <c r="N42" i="2"/>
  <c r="P42" i="2"/>
  <c r="L42" i="2"/>
  <c r="I46" i="2"/>
  <c r="N52" i="2"/>
  <c r="L52" i="2"/>
  <c r="P52" i="2"/>
  <c r="I55" i="2"/>
  <c r="N72" i="2"/>
  <c r="P72" i="2"/>
  <c r="L72" i="2"/>
  <c r="I75" i="2"/>
  <c r="P94" i="2"/>
  <c r="L94" i="2"/>
  <c r="N94" i="2"/>
  <c r="I96" i="2"/>
  <c r="L117" i="2"/>
  <c r="P117" i="2"/>
  <c r="N117" i="2"/>
  <c r="I119" i="2"/>
  <c r="L125" i="2"/>
  <c r="P125" i="2"/>
  <c r="N125" i="2"/>
  <c r="I127" i="2"/>
  <c r="L135" i="2"/>
  <c r="P135" i="2"/>
  <c r="N135" i="2"/>
  <c r="I137" i="2"/>
  <c r="P149" i="2"/>
  <c r="L149" i="2"/>
  <c r="N149" i="2"/>
  <c r="I165" i="2"/>
  <c r="L172" i="2"/>
  <c r="P172" i="2"/>
  <c r="N172" i="2"/>
  <c r="I174" i="2"/>
  <c r="N191" i="2"/>
  <c r="L191" i="2"/>
  <c r="P191" i="2"/>
  <c r="I194" i="2"/>
  <c r="N205" i="2"/>
  <c r="P205" i="2"/>
  <c r="L205" i="2"/>
  <c r="L7" i="2"/>
  <c r="P7" i="2"/>
  <c r="N7" i="2"/>
  <c r="N26" i="2"/>
  <c r="P26" i="2"/>
  <c r="L26" i="2"/>
  <c r="N35" i="2"/>
  <c r="P35" i="2"/>
  <c r="L35" i="2"/>
  <c r="I37" i="2"/>
  <c r="I50" i="2"/>
  <c r="I115" i="2"/>
  <c r="L121" i="2"/>
  <c r="P121" i="2"/>
  <c r="N121" i="2"/>
  <c r="I123" i="2"/>
  <c r="I133" i="2"/>
  <c r="I187" i="2"/>
  <c r="I12" i="2"/>
  <c r="L29" i="2"/>
  <c r="N29" i="2"/>
  <c r="P29" i="2"/>
  <c r="I31" i="2"/>
  <c r="L37" i="2"/>
  <c r="N37" i="2"/>
  <c r="P37" i="2"/>
  <c r="I42" i="2"/>
  <c r="L50" i="2"/>
  <c r="N50" i="2"/>
  <c r="P50" i="2"/>
  <c r="I52" i="2"/>
  <c r="L69" i="2"/>
  <c r="N69" i="2"/>
  <c r="P69" i="2"/>
  <c r="I72" i="2"/>
  <c r="N80" i="2"/>
  <c r="L80" i="2"/>
  <c r="P80" i="2"/>
  <c r="I94" i="2"/>
  <c r="L115" i="2"/>
  <c r="P115" i="2"/>
  <c r="N115" i="2"/>
  <c r="I117" i="2"/>
  <c r="L123" i="2"/>
  <c r="P123" i="2"/>
  <c r="N123" i="2"/>
  <c r="I125" i="2"/>
  <c r="L133" i="2"/>
  <c r="P133" i="2"/>
  <c r="N133" i="2"/>
  <c r="I135" i="2"/>
  <c r="P147" i="2"/>
  <c r="L147" i="2"/>
  <c r="N147" i="2"/>
  <c r="I149" i="2"/>
  <c r="P170" i="2"/>
  <c r="N170" i="2"/>
  <c r="L170" i="2"/>
  <c r="I172" i="2"/>
  <c r="L187" i="2"/>
  <c r="P187" i="2"/>
  <c r="N187" i="2"/>
  <c r="I191" i="2"/>
  <c r="L201" i="2"/>
  <c r="N201" i="2"/>
  <c r="P201" i="2"/>
  <c r="I205" i="2"/>
  <c r="G29" i="2"/>
  <c r="G37" i="2"/>
  <c r="G69" i="2"/>
  <c r="G133" i="2"/>
  <c r="G170" i="2"/>
  <c r="G7" i="2"/>
  <c r="G26" i="2"/>
  <c r="G35" i="2"/>
  <c r="G48" i="2"/>
  <c r="G57" i="2"/>
  <c r="G77" i="2"/>
  <c r="G98" i="2"/>
  <c r="G121" i="2"/>
  <c r="G130" i="2"/>
  <c r="G145" i="2"/>
  <c r="G168" i="2"/>
  <c r="G181" i="2"/>
  <c r="G197" i="2"/>
  <c r="G46" i="2"/>
  <c r="G137" i="2"/>
  <c r="G174" i="2"/>
  <c r="G75" i="2"/>
  <c r="G96" i="2"/>
  <c r="G119" i="2"/>
  <c r="G127" i="2"/>
  <c r="G165" i="2"/>
  <c r="G194" i="2"/>
  <c r="G12" i="2"/>
  <c r="G31" i="2"/>
  <c r="G42" i="2"/>
  <c r="G52" i="2"/>
  <c r="G72" i="2"/>
  <c r="G94" i="2"/>
  <c r="G117" i="2"/>
  <c r="G125" i="2"/>
  <c r="G135" i="2"/>
  <c r="G149" i="2"/>
  <c r="G172" i="2"/>
  <c r="G191" i="2"/>
  <c r="G205" i="2"/>
  <c r="G15" i="2"/>
  <c r="G33" i="2"/>
  <c r="G55" i="2"/>
  <c r="G50" i="2"/>
  <c r="G80" i="2"/>
  <c r="G115" i="2"/>
  <c r="G123" i="2"/>
  <c r="G147" i="2"/>
  <c r="G187" i="2"/>
  <c r="G201" i="2"/>
  <c r="H190" i="2"/>
  <c r="H186" i="2"/>
  <c r="H87" i="2"/>
  <c r="E87" i="2"/>
  <c r="E193" i="2"/>
  <c r="E71" i="2"/>
  <c r="H193" i="2"/>
  <c r="I193" i="2"/>
  <c r="H6" i="2"/>
  <c r="I6" i="2"/>
  <c r="H71" i="2"/>
  <c r="L193" i="2"/>
  <c r="L194" i="2"/>
  <c r="L9" i="2"/>
  <c r="N9" i="2"/>
  <c r="I87" i="2"/>
  <c r="N186" i="2"/>
  <c r="L186" i="2"/>
  <c r="P186" i="2"/>
  <c r="P193" i="2"/>
  <c r="P194" i="2"/>
  <c r="I190" i="2"/>
  <c r="I71" i="2"/>
  <c r="N193" i="2"/>
  <c r="N194" i="2"/>
  <c r="L190" i="2"/>
  <c r="N190" i="2"/>
  <c r="P190" i="2"/>
  <c r="P9" i="2"/>
  <c r="L87" i="2"/>
  <c r="P87" i="2"/>
  <c r="N87" i="2"/>
  <c r="P167" i="2"/>
  <c r="N167" i="2"/>
  <c r="L167" i="2"/>
  <c r="L71" i="2"/>
  <c r="N71" i="2"/>
  <c r="P71" i="2"/>
  <c r="I167" i="2"/>
  <c r="I186" i="2"/>
  <c r="G167" i="2"/>
  <c r="G71" i="2"/>
  <c r="G190" i="2"/>
  <c r="G193" i="2"/>
  <c r="G87" i="2"/>
  <c r="G186" i="2"/>
  <c r="E208" i="2"/>
  <c r="H208" i="2"/>
  <c r="I208" i="2"/>
  <c r="L208" i="2"/>
  <c r="N208" i="2"/>
  <c r="N6" i="2"/>
  <c r="G208" i="2"/>
  <c r="P208" i="2"/>
  <c r="P6" i="2"/>
</calcChain>
</file>

<file path=xl/sharedStrings.xml><?xml version="1.0" encoding="utf-8"?>
<sst xmlns="http://schemas.openxmlformats.org/spreadsheetml/2006/main" count="422" uniqueCount="129">
  <si>
    <t xml:space="preserve">CURSOS DE VIDA </t>
  </si>
  <si>
    <t>SECTOR/PRODUCTO/FUENTE</t>
  </si>
  <si>
    <t>COMPROMISOS</t>
  </si>
  <si>
    <t>OBLIGACIONES</t>
  </si>
  <si>
    <t>PAGOS</t>
  </si>
  <si>
    <t>PRIMERA INFANCIA                ( Madres Gestantes- Edades 0-5 años)</t>
  </si>
  <si>
    <t>INFANCIA                                                     ( 6 - 11 años )</t>
  </si>
  <si>
    <t>ADOLESCENCIA                      ( 12-17 años)</t>
  </si>
  <si>
    <t>Infraestructura educativa dotada</t>
  </si>
  <si>
    <t>INGRESOS CORRIENTES DE LIBRE DESTINACION</t>
  </si>
  <si>
    <t>Infraestructura educativa mantenida</t>
  </si>
  <si>
    <t>ESTAMPILLAS</t>
  </si>
  <si>
    <t>Servicio de accesibilidad a contenidos web para fines pedagogicos</t>
  </si>
  <si>
    <t>SGP-EDUCACION-PRESTACION DE SERVICIOS</t>
  </si>
  <si>
    <t>Servicio de acondicionamiento de ambientes de aprendizaje</t>
  </si>
  <si>
    <t>Servicio de apoyo a la permanencia con alimentacion escolar</t>
  </si>
  <si>
    <t>APORTES NACION - ALIMENTACION ESCOLAR</t>
  </si>
  <si>
    <t>OTRAS TRANSFERENCIAS CORRIENTES DE OTRAS ENTIDADES CON DESTINACION ESPECIFICA LEGAL DEL GOBIERNO GENERAL</t>
  </si>
  <si>
    <t>RECURSOS DEL BALANCE DE LIBRE DESTINACION</t>
  </si>
  <si>
    <t xml:space="preserve">R.B IMPUESTO SOBRE VEHICULOS AUTOMOTORES </t>
  </si>
  <si>
    <t xml:space="preserve">R.B PARTICIPACIÓN Y DERECHOS DE EXPLOTACIÓN DEL EJERCICIO DEL MONOPOLIO DE LICORES DESTINADOS Y ALCOHOLES POTABLES </t>
  </si>
  <si>
    <t xml:space="preserve">R.B TRANSFERENCIAS DE CAPITAL DE OTRAS ENTIDADES DEL GOBIERNO GENERAL </t>
  </si>
  <si>
    <t>Servicio de apoyo a la permanencia con transporte escolar</t>
  </si>
  <si>
    <t>Servicio de apoyo a proyectos pedagogicos productivos</t>
  </si>
  <si>
    <t>Servicio de apoyo para el fortalecimiento de escuelas de padres</t>
  </si>
  <si>
    <t>Servicio de apoyo para la implementacion de la estrategia educativa del sistema de responsabilidad penal para adolescentes</t>
  </si>
  <si>
    <t>Servicio de articulacion entre la educacion media y el sector productivo.</t>
  </si>
  <si>
    <t>Servicio de atencion integral para la primera infancia</t>
  </si>
  <si>
    <t>Servicio de evaluacion de la calidad de la educacion inicial, preescolar, basica y media</t>
  </si>
  <si>
    <t xml:space="preserve">R.B DISPOSICIÓN DE ACTIVOS </t>
  </si>
  <si>
    <t>Servicio de evaluacion de las estrategias educativas implementadas en la educacion inicial, preescolar, basica y media</t>
  </si>
  <si>
    <t>Servicio de fomento para la permanencia en programas de educacion formal</t>
  </si>
  <si>
    <t>Servicio de fomento para la prevencion de riesgos sociales en entornos escolares</t>
  </si>
  <si>
    <t>Servicio de fortalecimiento a las capacidades de los docentes de educacion Inicial, preescolar, basica y media</t>
  </si>
  <si>
    <t>Servicio de gestion de riesgos y desastres en establecimientos educativos</t>
  </si>
  <si>
    <t>Servicio de orientacion socio ocupacional</t>
  </si>
  <si>
    <t>Servicio educacion formal por modelos educativos flexibles</t>
  </si>
  <si>
    <t>Servicio educativo</t>
  </si>
  <si>
    <t>TASAS COMPENSATORIAS</t>
  </si>
  <si>
    <t>TRANSFERENCIAS DE CAPITAL DE OTRAS ENTIDADES DEL GOBIERNO GENERAL</t>
  </si>
  <si>
    <t>R.B CONTRIBUCIÓN SOBRE CONTRATOS DE OBRA PÚBLICA</t>
  </si>
  <si>
    <t xml:space="preserve">R.B SGP-EDUCACIÓN-SUBSIDIO A LA OFERTA </t>
  </si>
  <si>
    <t>Servicio educativos de promocion del bilingüismo2201034</t>
  </si>
  <si>
    <t>Documentos de lineamientos tecnicos4102035</t>
  </si>
  <si>
    <t>Servicio de asistencia tecnica a comunidades en temas de fortalecimiento del tejido social y construccion de escenarios comunitarios protectores de derechos</t>
  </si>
  <si>
    <t>Servicio de atencion integral a la primera infancia</t>
  </si>
  <si>
    <t>Servicio de promocion de temas de dinamica relacional y desarrollo autonomo</t>
  </si>
  <si>
    <t xml:space="preserve">Servicios de promoción de los derechos de los niños, niñas, adolescentes y jóvenes </t>
  </si>
  <si>
    <t>Servicio dirigidos a la atención de niños, niñas, adolescentes y jóvenes, con enfoque pedagógico y restaurativo encaminados a la inclusión social</t>
  </si>
  <si>
    <t>Cuartos frios adecuados1905012</t>
  </si>
  <si>
    <t>SGP-SALUD-SALUD PUBLICA</t>
  </si>
  <si>
    <t xml:space="preserve">R.B COMPENSACIONES DE INGRESOS TRIBUTARIOS Y NO TRIBUTARIOS </t>
  </si>
  <si>
    <t>Documentos de lineamientos tecnicos1903001</t>
  </si>
  <si>
    <t>Documentos de lineamientos tecnicos1905014</t>
  </si>
  <si>
    <t>Documentos de planeacion1905015</t>
  </si>
  <si>
    <t>Servicio de adopcion y seguimiento de acciones y medidas especiales</t>
  </si>
  <si>
    <t>Servicio de analisis de laboratorio</t>
  </si>
  <si>
    <t xml:space="preserve">R.B OTRAS TRANSFERENCIAS CORRIENTES DE OTRAS ENTIDADES DEL GOBIERNO GENERAL </t>
  </si>
  <si>
    <t>Servicio de apoyo financiero para el fortalecimiento patrimonial de las empresas prestadoras de salud con participacion financiera de las entidades territoriales</t>
  </si>
  <si>
    <t>SGP-SALUD-SUBSIDIO A LA OFERTA</t>
  </si>
  <si>
    <t>INGRESOS CORRIENTES DE  DESTINACION ESPECIFICA POR ACTO ADMINISTRATIVO</t>
  </si>
  <si>
    <t>R.B APORTES NACIÓN ALIMENTACIÓN ESCOLAR</t>
  </si>
  <si>
    <t>R.B IMPUESTOS AL CONSUMO DE LICORES, VINOS, APERITIVOS Y SIMILARES</t>
  </si>
  <si>
    <t>R.B OTRAS TRANSFERENCIAS DE CAPITAL</t>
  </si>
  <si>
    <t>Servicio de asistencia tecnica en inspeccion, vigilancia y control</t>
  </si>
  <si>
    <t>Servicio de atencion en salud publica en situaciones de emergencias y desastres</t>
  </si>
  <si>
    <t>Servicio de auditoria y visitas inspectivas</t>
  </si>
  <si>
    <t>Servicio de educacion informal en temas de salud publica</t>
  </si>
  <si>
    <t>Servicio de evaluacion, aprobacion y seguimiento de planes de gestion integral del riesgo</t>
  </si>
  <si>
    <t>Servicio de gestion del riesgo en temas de consumo de sustancias psicoactivas</t>
  </si>
  <si>
    <t>Servicio de gestion del riesgo en temas de salud sexual y reproductiva</t>
  </si>
  <si>
    <t>Servicio de gestion del riesgo en temas de trastornos mentales</t>
  </si>
  <si>
    <t>Servicio de gestion del riesgo para abordar condiciones cronicas prevalentes</t>
  </si>
  <si>
    <t>Servicio de gestion del riesgo para abordar situaciones de salud relacionadas con condiciones ambientales</t>
  </si>
  <si>
    <t>Servicio de gestion del riesgo para abordar situaciones prevalentes de origen laboral</t>
  </si>
  <si>
    <t>Servicio de gestion del riesgo para enfermedades emergentes, reemergentes y desatendidas</t>
  </si>
  <si>
    <t>R.B SGP-SALUD-SALUD PÚBLICA</t>
  </si>
  <si>
    <t>Servicio de gestion del riesgo para enfermedades inmunoprevenibles</t>
  </si>
  <si>
    <t>Servicio de gestion del riesgo para temas de consumo, aprovechamiento biologico, calidad e inocuidad de los alimentos</t>
  </si>
  <si>
    <t>Servicio de informacion de vigilancia epidemiologica</t>
  </si>
  <si>
    <t>Servicio de informacion para la gestion de la inspeccion, vigilancia y control sanitario</t>
  </si>
  <si>
    <t>Servicio de inspeccion, vigilancia y control1903011</t>
  </si>
  <si>
    <t>Servicio de promocion de la salud y prevencion de riesgos asociados a condiciones no transmisibles</t>
  </si>
  <si>
    <t>Servicio de promocion, prevencion, vigilancia y control de vectores y zoonosis</t>
  </si>
  <si>
    <t>OTRAS CONTRIBUCIONES CON DESTINACIÓN ESPECIFICA LEGAL</t>
  </si>
  <si>
    <t xml:space="preserve">R.B VENTA DE BIENES Y SERVICIOS </t>
  </si>
  <si>
    <t>Servicio de registro sanitario</t>
  </si>
  <si>
    <t>VIVIENDA, CIUDAD Y TERRITORIO</t>
  </si>
  <si>
    <t>Alcantarillados construidos</t>
  </si>
  <si>
    <t>SGP-AGUA POTABLE Y SANEAMIENTO BASICO</t>
  </si>
  <si>
    <t>Documentos de planeacion4003006</t>
  </si>
  <si>
    <t>Estacion de clasificacion y aprovechamiento de residuos solidos construida</t>
  </si>
  <si>
    <t>Estudios de pre inversion e inversion4003042</t>
  </si>
  <si>
    <t>Servicios de apoyo financiero para la ejecucion de proyectos de acueductos y alcantarillado</t>
  </si>
  <si>
    <t xml:space="preserve">R.B SGP-AGUA POTABLE Y SANEAMIENTO BÁSICO </t>
  </si>
  <si>
    <t>R.B ESTAMPILLAS</t>
  </si>
  <si>
    <t>Servicios de apoyo financiero para la ejecucion de proyectos de acueductos y de manejo de aguas residuales</t>
  </si>
  <si>
    <t xml:space="preserve">TECNOLOGÍAS DE LA INFORMACIÓN Y LAS COMUNICACIONES </t>
  </si>
  <si>
    <t>Servicio de educación informal en tecnologías de la información y las comunicaciones</t>
  </si>
  <si>
    <t>AGRICULTURA Y DESARROLLO RURAL</t>
  </si>
  <si>
    <t>Servicio de educación informal en el marco de la conservación de la biodiversidad y los Servicio ecosistémicos</t>
  </si>
  <si>
    <t>CULTURA</t>
  </si>
  <si>
    <t>Servicio de educación informal en áreas artísticas y culturales</t>
  </si>
  <si>
    <t>Servicio de circulación artística y cultural</t>
  </si>
  <si>
    <t>Servicios bibliotecarios</t>
  </si>
  <si>
    <t>Servicio de divulgación y publicaciones</t>
  </si>
  <si>
    <t>TOTAL</t>
  </si>
  <si>
    <t xml:space="preserve">R.B. ESTAMPILLAS </t>
  </si>
  <si>
    <t xml:space="preserve">ESTAMPILLAS </t>
  </si>
  <si>
    <t>CATEGORIA DE INVERSIÓN</t>
  </si>
  <si>
    <t>EDUCACIÓN</t>
  </si>
  <si>
    <t xml:space="preserve">EDUCACIÓN Y FORMACIÓN INTEGRAL </t>
  </si>
  <si>
    <t>ALIMENTACIÓN Y NUTRICIÓN</t>
  </si>
  <si>
    <t>PROTECCIÓN Y PREVENCIÓN DE LAS VULNERACIONES</t>
  </si>
  <si>
    <t>SALUD</t>
  </si>
  <si>
    <t xml:space="preserve">SEXUALIDAD AUTONOMA Y RESPONSABLE </t>
  </si>
  <si>
    <t>DEPORTE, RECREACIÓN, CULTURA, JUEGO, CIENCI, TECNOLOGIA E INNOVACIÓN (CTEI) Y MEDIO AMBIENTE</t>
  </si>
  <si>
    <t>No.</t>
  </si>
  <si>
    <t>OPORTUNIDADES PARA LA TRANSICIÓN A LA JUVENTUD</t>
  </si>
  <si>
    <t xml:space="preserve">GOBIERNO Y CAPACIDADES </t>
  </si>
  <si>
    <t>DEPORTE,RECREACIÓN, CULTURA, JUEGO, CIENCIA, TECNOLOGIA E INNOVACIÓN (CTEI) Y MEDIO AMBIENTE</t>
  </si>
  <si>
    <t>OBLIGACIONES/COMPROMISOS</t>
  </si>
  <si>
    <t>PAGOS/
COMPROMISOS</t>
  </si>
  <si>
    <t>Servicio de mantenimiento a la infraestructura deportiva</t>
  </si>
  <si>
    <t xml:space="preserve">PARTICIPACIÓN  </t>
  </si>
  <si>
    <t xml:space="preserve">PARTICIPACIÓN </t>
  </si>
  <si>
    <t>OTROS</t>
  </si>
  <si>
    <t>INCLUSIÓN SOCIAL Y RECONCILIACIÓN</t>
  </si>
  <si>
    <t>SALUD Y PROTECCIÓN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</si>
</sst>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 [$€-2]\ * #,##0.00_ ;_ [$€-2]\ * \-#,##0.00_ ;_ [$€-2]\ * &quot;-&quot;??_ "/>
    <numFmt numFmtId="165" formatCode="_-* #,##0.00_-;\-* #,##0.00_-;_-* &quot;-&quot;_-;_-@_-"/>
    <numFmt numFmtId="166" formatCode="_(&quot;$&quot;\ * #,##0.00_);_(&quot;$&quot;\ * \(#,##0.00\);_(&quot;$&quot;\ * &quot;-&quot;??_);_(@_)"/>
    <numFmt numFmtId="167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-0.24994659260841701"/>
        <bgColor theme="4" tint="-0.24994659260841701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4" tint="0.79998168889431442"/>
        <bgColor theme="4" tint="0.7999206518753624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/>
    <xf numFmtId="166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65" fontId="3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8" fillId="0" borderId="0" xfId="0" applyFont="1" applyAlignment="1">
      <alignment vertical="center"/>
    </xf>
    <xf numFmtId="0" fontId="0" fillId="0" borderId="1" xfId="0" applyFont="1" applyBorder="1" applyAlignment="1">
      <alignment horizontal="justify" vertical="center"/>
    </xf>
    <xf numFmtId="42" fontId="7" fillId="3" borderId="1" xfId="5" applyFont="1" applyFill="1" applyBorder="1" applyAlignment="1">
      <alignment vertical="center"/>
    </xf>
    <xf numFmtId="42" fontId="0" fillId="0" borderId="1" xfId="5" applyFont="1" applyBorder="1" applyAlignment="1">
      <alignment vertical="center"/>
    </xf>
    <xf numFmtId="42" fontId="6" fillId="0" borderId="1" xfId="5" applyFont="1" applyBorder="1" applyAlignment="1">
      <alignment vertical="center"/>
    </xf>
    <xf numFmtId="0" fontId="7" fillId="3" borderId="1" xfId="0" applyFont="1" applyFill="1" applyBorder="1" applyAlignment="1">
      <alignment horizontal="justify"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9" fontId="0" fillId="0" borderId="0" xfId="6" applyFont="1" applyAlignment="1">
      <alignment vertical="center"/>
    </xf>
    <xf numFmtId="9" fontId="8" fillId="0" borderId="0" xfId="6" applyFont="1" applyAlignment="1">
      <alignment vertical="center"/>
    </xf>
    <xf numFmtId="9" fontId="4" fillId="0" borderId="0" xfId="6" applyFont="1" applyAlignment="1">
      <alignment vertical="center"/>
    </xf>
    <xf numFmtId="9" fontId="8" fillId="0" borderId="0" xfId="0" applyNumberFormat="1" applyFont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center"/>
    </xf>
    <xf numFmtId="165" fontId="1" fillId="0" borderId="1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1" fillId="5" borderId="1" xfId="2" applyNumberFormat="1" applyFont="1" applyFill="1" applyBorder="1" applyAlignment="1">
      <alignment vertical="center"/>
    </xf>
    <xf numFmtId="0" fontId="0" fillId="0" borderId="0" xfId="0" applyFill="1" applyAlignment="1">
      <alignment horizontal="justify" vertical="center"/>
    </xf>
    <xf numFmtId="9" fontId="0" fillId="0" borderId="0" xfId="6" applyFont="1" applyFill="1" applyAlignment="1">
      <alignment vertical="center"/>
    </xf>
    <xf numFmtId="165" fontId="1" fillId="0" borderId="1" xfId="2" applyNumberFormat="1" applyFont="1" applyFill="1" applyBorder="1" applyAlignment="1">
      <alignment vertical="center"/>
    </xf>
    <xf numFmtId="9" fontId="8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justify" vertical="center" wrapText="1"/>
    </xf>
    <xf numFmtId="43" fontId="1" fillId="0" borderId="1" xfId="1" applyFont="1" applyFill="1" applyBorder="1" applyAlignment="1">
      <alignment vertical="center"/>
    </xf>
    <xf numFmtId="42" fontId="4" fillId="4" borderId="1" xfId="5" applyFont="1" applyFill="1" applyBorder="1" applyAlignment="1">
      <alignment vertical="center"/>
    </xf>
    <xf numFmtId="165" fontId="4" fillId="9" borderId="1" xfId="0" applyNumberFormat="1" applyFont="1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justify" vertical="center"/>
    </xf>
    <xf numFmtId="42" fontId="4" fillId="4" borderId="1" xfId="5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justify" vertical="center" wrapText="1"/>
    </xf>
    <xf numFmtId="42" fontId="0" fillId="0" borderId="1" xfId="5" applyFont="1" applyFill="1" applyBorder="1" applyAlignment="1">
      <alignment vertical="center"/>
    </xf>
    <xf numFmtId="42" fontId="2" fillId="3" borderId="1" xfId="5" applyFont="1" applyFill="1" applyBorder="1" applyAlignment="1">
      <alignment vertical="center"/>
    </xf>
    <xf numFmtId="42" fontId="4" fillId="7" borderId="1" xfId="5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justify" vertical="center" wrapText="1"/>
    </xf>
    <xf numFmtId="43" fontId="4" fillId="8" borderId="1" xfId="1" applyFont="1" applyFill="1" applyBorder="1" applyAlignment="1">
      <alignment horizontal="justify" vertical="center" wrapText="1"/>
    </xf>
    <xf numFmtId="43" fontId="0" fillId="0" borderId="1" xfId="1" applyFont="1" applyFill="1" applyBorder="1" applyAlignment="1">
      <alignment horizontal="justify" vertical="center" wrapText="1"/>
    </xf>
    <xf numFmtId="42" fontId="2" fillId="3" borderId="1" xfId="5" applyFont="1" applyFill="1" applyBorder="1" applyAlignment="1">
      <alignment horizontal="left" vertical="center" wrapText="1"/>
    </xf>
    <xf numFmtId="165" fontId="5" fillId="9" borderId="1" xfId="3" applyNumberFormat="1" applyFont="1" applyFill="1" applyBorder="1" applyAlignment="1" applyProtection="1">
      <alignment vertical="center" wrapText="1"/>
      <protection locked="0"/>
    </xf>
    <xf numFmtId="165" fontId="6" fillId="0" borderId="1" xfId="3" applyNumberFormat="1" applyFont="1" applyBorder="1" applyAlignment="1" applyProtection="1">
      <alignment vertical="center" wrapText="1"/>
      <protection locked="0"/>
    </xf>
    <xf numFmtId="165" fontId="1" fillId="0" borderId="1" xfId="2" applyNumberFormat="1" applyFont="1" applyBorder="1" applyAlignment="1">
      <alignment vertical="center"/>
    </xf>
    <xf numFmtId="165" fontId="1" fillId="5" borderId="1" xfId="0" applyNumberFormat="1" applyFont="1" applyFill="1" applyBorder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0" fontId="0" fillId="0" borderId="0" xfId="6" applyNumberFormat="1" applyFont="1" applyAlignment="1">
      <alignment horizontal="right" vertical="center"/>
    </xf>
    <xf numFmtId="10" fontId="2" fillId="6" borderId="1" xfId="6" applyNumberFormat="1" applyFont="1" applyFill="1" applyBorder="1" applyAlignment="1">
      <alignment horizontal="right" vertical="center" wrapText="1"/>
    </xf>
    <xf numFmtId="10" fontId="7" fillId="3" borderId="1" xfId="6" applyNumberFormat="1" applyFont="1" applyFill="1" applyBorder="1" applyAlignment="1">
      <alignment horizontal="right" vertical="center"/>
    </xf>
    <xf numFmtId="10" fontId="4" fillId="4" borderId="1" xfId="6" applyNumberFormat="1" applyFont="1" applyFill="1" applyBorder="1" applyAlignment="1">
      <alignment horizontal="right" vertical="center"/>
    </xf>
    <xf numFmtId="10" fontId="0" fillId="0" borderId="1" xfId="6" applyNumberFormat="1" applyFont="1" applyBorder="1" applyAlignment="1">
      <alignment horizontal="right" vertical="center"/>
    </xf>
    <xf numFmtId="10" fontId="6" fillId="0" borderId="1" xfId="6" applyNumberFormat="1" applyFont="1" applyBorder="1" applyAlignment="1">
      <alignment horizontal="right" vertical="center"/>
    </xf>
    <xf numFmtId="10" fontId="0" fillId="0" borderId="1" xfId="6" applyNumberFormat="1" applyFont="1" applyFill="1" applyBorder="1" applyAlignment="1">
      <alignment horizontal="right" vertical="center"/>
    </xf>
    <xf numFmtId="10" fontId="2" fillId="3" borderId="1" xfId="6" applyNumberFormat="1" applyFont="1" applyFill="1" applyBorder="1" applyAlignment="1">
      <alignment horizontal="right" vertical="center"/>
    </xf>
    <xf numFmtId="10" fontId="4" fillId="7" borderId="1" xfId="6" applyNumberFormat="1" applyFont="1" applyFill="1" applyBorder="1" applyAlignment="1">
      <alignment horizontal="right" vertical="center"/>
    </xf>
    <xf numFmtId="10" fontId="4" fillId="8" borderId="1" xfId="6" applyNumberFormat="1" applyFont="1" applyFill="1" applyBorder="1" applyAlignment="1">
      <alignment horizontal="right" vertical="center" wrapText="1"/>
    </xf>
    <xf numFmtId="10" fontId="0" fillId="0" borderId="1" xfId="6" applyNumberFormat="1" applyFont="1" applyFill="1" applyBorder="1" applyAlignment="1">
      <alignment horizontal="right" vertical="center" wrapText="1"/>
    </xf>
    <xf numFmtId="10" fontId="4" fillId="4" borderId="1" xfId="6" applyNumberFormat="1" applyFont="1" applyFill="1" applyBorder="1" applyAlignment="1">
      <alignment horizontal="right" vertical="center" wrapText="1"/>
    </xf>
    <xf numFmtId="10" fontId="2" fillId="3" borderId="1" xfId="6" applyNumberFormat="1" applyFont="1" applyFill="1" applyBorder="1" applyAlignment="1">
      <alignment horizontal="right" vertical="center" wrapText="1"/>
    </xf>
    <xf numFmtId="10" fontId="2" fillId="6" borderId="1" xfId="6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right" vertical="center"/>
    </xf>
    <xf numFmtId="10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10" fontId="5" fillId="9" borderId="1" xfId="6" applyNumberFormat="1" applyFont="1" applyFill="1" applyBorder="1" applyAlignment="1" applyProtection="1">
      <alignment horizontal="right" vertical="center" wrapText="1"/>
      <protection locked="0"/>
    </xf>
    <xf numFmtId="10" fontId="6" fillId="0" borderId="1" xfId="6" applyNumberFormat="1" applyFont="1" applyBorder="1" applyAlignment="1" applyProtection="1">
      <alignment horizontal="right" vertical="center" wrapText="1"/>
      <protection locked="0"/>
    </xf>
    <xf numFmtId="10" fontId="1" fillId="0" borderId="1" xfId="6" applyNumberFormat="1" applyFont="1" applyFill="1" applyBorder="1" applyAlignment="1">
      <alignment horizontal="right" vertical="center"/>
    </xf>
    <xf numFmtId="10" fontId="1" fillId="5" borderId="1" xfId="6" applyNumberFormat="1" applyFont="1" applyFill="1" applyBorder="1" applyAlignment="1">
      <alignment horizontal="right" vertical="center"/>
    </xf>
    <xf numFmtId="10" fontId="4" fillId="9" borderId="1" xfId="6" applyNumberFormat="1" applyFont="1" applyFill="1" applyBorder="1" applyAlignment="1">
      <alignment horizontal="right" vertical="center"/>
    </xf>
    <xf numFmtId="10" fontId="1" fillId="0" borderId="1" xfId="6" applyNumberFormat="1" applyFont="1" applyBorder="1" applyAlignment="1">
      <alignment horizontal="right" vertical="center"/>
    </xf>
    <xf numFmtId="10" fontId="3" fillId="0" borderId="0" xfId="0" applyNumberFormat="1" applyFont="1" applyAlignment="1">
      <alignment horizontal="right" vertical="center"/>
    </xf>
    <xf numFmtId="42" fontId="2" fillId="10" borderId="1" xfId="5" applyFont="1" applyFill="1" applyBorder="1" applyAlignment="1">
      <alignment vertical="center"/>
    </xf>
    <xf numFmtId="10" fontId="2" fillId="10" borderId="1" xfId="6" applyNumberFormat="1" applyFont="1" applyFill="1" applyBorder="1" applyAlignment="1">
      <alignment horizontal="right" vertical="center"/>
    </xf>
    <xf numFmtId="165" fontId="4" fillId="2" borderId="1" xfId="3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42" fontId="3" fillId="0" borderId="0" xfId="0" applyNumberFormat="1" applyFont="1" applyAlignment="1">
      <alignment horizontal="right" vertical="center"/>
    </xf>
  </cellXfs>
  <cellStyles count="8">
    <cellStyle name="Millares" xfId="1" builtinId="3"/>
    <cellStyle name="Millares [0]" xfId="2" builtinId="6"/>
    <cellStyle name="Millares 2 2 2" xfId="7"/>
    <cellStyle name="Moneda [0]" xfId="5" builtinId="7"/>
    <cellStyle name="Moneda 2" xfId="4"/>
    <cellStyle name="Normal" xfId="0" builtinId="0"/>
    <cellStyle name="Normal 2 2" xfId="3"/>
    <cellStyle name="Porcentaj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S221"/>
  <sheetViews>
    <sheetView showGridLines="0" tabSelected="1" zoomScale="80" zoomScaleNormal="80" workbookViewId="0">
      <selection activeCell="B5" sqref="B5"/>
    </sheetView>
  </sheetViews>
  <sheetFormatPr baseColWidth="10" defaultRowHeight="14.4" x14ac:dyDescent="0.3"/>
  <cols>
    <col min="2" max="2" width="11.44140625" style="1"/>
    <col min="3" max="3" width="24.6640625" customWidth="1"/>
    <col min="4" max="4" width="54.109375" customWidth="1"/>
    <col min="5" max="6" width="21.33203125" style="2" bestFit="1" customWidth="1"/>
    <col min="7" max="7" width="15.109375" style="69" customWidth="1"/>
    <col min="8" max="8" width="21.33203125" style="2" bestFit="1" customWidth="1"/>
    <col min="9" max="9" width="15" style="69" customWidth="1"/>
    <col min="10" max="10" width="11.44140625" style="28"/>
    <col min="11" max="11" width="21.33203125" style="8" customWidth="1"/>
    <col min="12" max="12" width="15.88671875" style="83" customWidth="1"/>
    <col min="13" max="13" width="20" style="8" bestFit="1" customWidth="1"/>
    <col min="14" max="14" width="14.5546875" style="83" customWidth="1"/>
    <col min="15" max="15" width="20" style="8" bestFit="1" customWidth="1"/>
    <col min="16" max="16" width="16" style="83" customWidth="1"/>
    <col min="17" max="17" width="20" style="8" bestFit="1" customWidth="1"/>
    <col min="18" max="18" width="14.88671875" style="83" bestFit="1" customWidth="1"/>
  </cols>
  <sheetData>
    <row r="3" spans="1:19" x14ac:dyDescent="0.3">
      <c r="F3" s="36"/>
    </row>
    <row r="4" spans="1:19" ht="16.2" customHeight="1" x14ac:dyDescent="0.3">
      <c r="K4" s="94" t="s">
        <v>0</v>
      </c>
      <c r="L4" s="94"/>
      <c r="M4" s="94"/>
      <c r="N4" s="94"/>
      <c r="O4" s="94"/>
      <c r="P4" s="94"/>
      <c r="Q4" s="94"/>
      <c r="R4" s="94"/>
    </row>
    <row r="5" spans="1:19" ht="52.2" customHeight="1" x14ac:dyDescent="0.3">
      <c r="B5" s="37" t="s">
        <v>117</v>
      </c>
      <c r="C5" s="37" t="s">
        <v>109</v>
      </c>
      <c r="D5" s="37" t="s">
        <v>1</v>
      </c>
      <c r="E5" s="38" t="s">
        <v>2</v>
      </c>
      <c r="F5" s="38" t="s">
        <v>3</v>
      </c>
      <c r="G5" s="70" t="s">
        <v>121</v>
      </c>
      <c r="H5" s="38" t="s">
        <v>4</v>
      </c>
      <c r="I5" s="82" t="s">
        <v>122</v>
      </c>
      <c r="K5" s="39" t="s">
        <v>5</v>
      </c>
      <c r="L5" s="84" t="s">
        <v>124</v>
      </c>
      <c r="M5" s="39" t="s">
        <v>6</v>
      </c>
      <c r="N5" s="84" t="s">
        <v>125</v>
      </c>
      <c r="O5" s="39" t="s">
        <v>7</v>
      </c>
      <c r="P5" s="84" t="s">
        <v>125</v>
      </c>
      <c r="Q5" s="39" t="s">
        <v>126</v>
      </c>
      <c r="R5" s="84" t="s">
        <v>125</v>
      </c>
    </row>
    <row r="6" spans="1:19" s="9" customFormat="1" ht="48" customHeight="1" x14ac:dyDescent="0.3">
      <c r="A6" s="26"/>
      <c r="B6" s="19">
        <v>3</v>
      </c>
      <c r="C6" s="14" t="s">
        <v>111</v>
      </c>
      <c r="D6" s="14" t="s">
        <v>110</v>
      </c>
      <c r="E6" s="11">
        <f>E7+E9+E12+E15+E18+E26+E29+E31+E33+E35+E37+E39+E42+E46+E48+E50+E52+E55+E57+E59+E69</f>
        <v>188795701840</v>
      </c>
      <c r="F6" s="11">
        <f>F7+F9+F12+F15+F18+F26+F29+F31+F33+F35+F37+F39+F42+F46+F48+F50+F52+F55+F57+F59+F69</f>
        <v>188795701840</v>
      </c>
      <c r="G6" s="71">
        <f>+F6/E6</f>
        <v>1</v>
      </c>
      <c r="H6" s="11">
        <f>H7+H9+H12+H15+H18+H26+H29+H31+H33+H35+H37+H39+H42+H46+H48+H50+H52+H55+H57+H59+H69</f>
        <v>188166404722</v>
      </c>
      <c r="I6" s="71">
        <f>+H6/E6</f>
        <v>0.99666678260221564</v>
      </c>
      <c r="J6" s="29"/>
      <c r="K6" s="11">
        <f>+K7+K9+K12+K15+K18+K26+K29+K31+K33+K35+K37+K39+K42+K46+K48+K50+K52+K55+K57+K59+K69</f>
        <v>15465544700.308802</v>
      </c>
      <c r="L6" s="71">
        <f>+K6/F6</f>
        <v>8.1916826228467285E-2</v>
      </c>
      <c r="M6" s="11">
        <f t="shared" ref="M6:Q6" si="0">+M7+M9+M12+M15+M18+M26+M29+M31+M33+M35+M37+M39+M42+M46+M48+M50+M52+M55+M57+M59+M69</f>
        <v>81092264188.55481</v>
      </c>
      <c r="N6" s="71">
        <f>+M6/F6</f>
        <v>0.42952388957074156</v>
      </c>
      <c r="O6" s="11">
        <f t="shared" si="0"/>
        <v>80432471199.596085</v>
      </c>
      <c r="P6" s="71">
        <f>+O6/F6</f>
        <v>0.42602914375540574</v>
      </c>
      <c r="Q6" s="11">
        <f t="shared" si="0"/>
        <v>11805421751.540293</v>
      </c>
      <c r="R6" s="71">
        <f>+Q6/F6</f>
        <v>6.2530140445385324E-2</v>
      </c>
      <c r="S6" s="31"/>
    </row>
    <row r="7" spans="1:19" s="2" customFormat="1" ht="42.75" customHeight="1" x14ac:dyDescent="0.3">
      <c r="A7" s="3"/>
      <c r="B7" s="21">
        <v>3</v>
      </c>
      <c r="C7" s="17" t="s">
        <v>111</v>
      </c>
      <c r="D7" s="17" t="s">
        <v>8</v>
      </c>
      <c r="E7" s="50">
        <f>SUM(E8)</f>
        <v>15568000</v>
      </c>
      <c r="F7" s="50">
        <f t="shared" ref="F7:H7" si="1">SUM(F8)</f>
        <v>15568000</v>
      </c>
      <c r="G7" s="72">
        <f>+F7/E7</f>
        <v>1</v>
      </c>
      <c r="H7" s="50">
        <f t="shared" si="1"/>
        <v>15568000</v>
      </c>
      <c r="I7" s="72">
        <f t="shared" ref="I7:I70" si="2">+H7/E7</f>
        <v>1</v>
      </c>
      <c r="J7" s="28"/>
      <c r="K7" s="64">
        <f>+K8</f>
        <v>1309756.4979480165</v>
      </c>
      <c r="L7" s="85">
        <f t="shared" ref="L7:L70" si="3">+K7/F7</f>
        <v>8.4131326949384411E-2</v>
      </c>
      <c r="M7" s="64">
        <f t="shared" ref="M7:Q7" si="4">+M8</f>
        <v>7198336.5253077978</v>
      </c>
      <c r="N7" s="85">
        <f t="shared" ref="N7:N70" si="5">+M7/F7</f>
        <v>0.46238030095759236</v>
      </c>
      <c r="O7" s="64">
        <f t="shared" si="4"/>
        <v>5771447.332421341</v>
      </c>
      <c r="P7" s="85">
        <f t="shared" ref="P7:P70" si="6">+O7/F7</f>
        <v>0.37072503419972641</v>
      </c>
      <c r="Q7" s="64">
        <f t="shared" si="4"/>
        <v>1288459.6443228454</v>
      </c>
      <c r="R7" s="85">
        <f t="shared" ref="R7:R70" si="7">+Q7/F7</f>
        <v>8.2763337893296846E-2</v>
      </c>
      <c r="S7" s="31"/>
    </row>
    <row r="8" spans="1:19" s="2" customFormat="1" ht="27.75" customHeight="1" x14ac:dyDescent="0.3">
      <c r="A8" s="3"/>
      <c r="B8" s="5">
        <v>3</v>
      </c>
      <c r="C8" s="6" t="s">
        <v>111</v>
      </c>
      <c r="D8" s="16" t="s">
        <v>9</v>
      </c>
      <c r="E8" s="12">
        <v>15568000</v>
      </c>
      <c r="F8" s="12">
        <v>15568000</v>
      </c>
      <c r="G8" s="73">
        <f t="shared" ref="G8:G70" si="8">+F8/E8</f>
        <v>1</v>
      </c>
      <c r="H8" s="12">
        <v>15568000</v>
      </c>
      <c r="I8" s="73">
        <f t="shared" si="2"/>
        <v>1</v>
      </c>
      <c r="J8" s="28"/>
      <c r="K8" s="65">
        <v>1309756.4979480165</v>
      </c>
      <c r="L8" s="86">
        <f t="shared" si="3"/>
        <v>8.4131326949384411E-2</v>
      </c>
      <c r="M8" s="65">
        <v>7198336.5253077978</v>
      </c>
      <c r="N8" s="86">
        <f t="shared" si="5"/>
        <v>0.46238030095759236</v>
      </c>
      <c r="O8" s="65">
        <v>5771447.332421341</v>
      </c>
      <c r="P8" s="86">
        <f t="shared" si="6"/>
        <v>0.37072503419972641</v>
      </c>
      <c r="Q8" s="65">
        <v>1288459.6443228454</v>
      </c>
      <c r="R8" s="86">
        <f t="shared" si="7"/>
        <v>8.2763337893296846E-2</v>
      </c>
      <c r="S8" s="31"/>
    </row>
    <row r="9" spans="1:19" s="4" customFormat="1" ht="33.75" customHeight="1" x14ac:dyDescent="0.3">
      <c r="A9" s="27"/>
      <c r="B9" s="21">
        <v>3</v>
      </c>
      <c r="C9" s="17" t="s">
        <v>111</v>
      </c>
      <c r="D9" s="17" t="s">
        <v>10</v>
      </c>
      <c r="E9" s="50">
        <f>SUM(E10:E11)</f>
        <v>406612254</v>
      </c>
      <c r="F9" s="50">
        <f>SUM(F10:F11)</f>
        <v>406612254</v>
      </c>
      <c r="G9" s="72">
        <f t="shared" si="8"/>
        <v>1</v>
      </c>
      <c r="H9" s="50">
        <f>SUM(H10:H11)</f>
        <v>406612254</v>
      </c>
      <c r="I9" s="72">
        <f t="shared" si="2"/>
        <v>1</v>
      </c>
      <c r="J9" s="30"/>
      <c r="K9" s="64">
        <f>+K10+K11</f>
        <v>28478961.711431213</v>
      </c>
      <c r="L9" s="85">
        <f t="shared" si="3"/>
        <v>7.0039605130619631E-2</v>
      </c>
      <c r="M9" s="64">
        <f t="shared" ref="M9:Q9" si="9">+M10+M11</f>
        <v>140710346.18802467</v>
      </c>
      <c r="N9" s="85">
        <f t="shared" si="5"/>
        <v>0.34605535077657712</v>
      </c>
      <c r="O9" s="64">
        <f t="shared" si="9"/>
        <v>207340509.19281343</v>
      </c>
      <c r="P9" s="85">
        <f t="shared" si="6"/>
        <v>0.50992193952131459</v>
      </c>
      <c r="Q9" s="64">
        <f t="shared" si="9"/>
        <v>30082436.907730673</v>
      </c>
      <c r="R9" s="85">
        <f t="shared" si="7"/>
        <v>7.3983104571488573E-2</v>
      </c>
      <c r="S9" s="31"/>
    </row>
    <row r="10" spans="1:19" s="2" customFormat="1" ht="28.8" x14ac:dyDescent="0.3">
      <c r="A10" s="3"/>
      <c r="B10" s="5">
        <v>3</v>
      </c>
      <c r="C10" s="6" t="s">
        <v>111</v>
      </c>
      <c r="D10" s="18" t="s">
        <v>11</v>
      </c>
      <c r="E10" s="13">
        <f>313141341-14619087</f>
        <v>298522254</v>
      </c>
      <c r="F10" s="13">
        <f>313141341-14619087</f>
        <v>298522254</v>
      </c>
      <c r="G10" s="74">
        <f t="shared" si="8"/>
        <v>1</v>
      </c>
      <c r="H10" s="13">
        <f>313141341-14619087</f>
        <v>298522254</v>
      </c>
      <c r="I10" s="74">
        <f t="shared" si="2"/>
        <v>1</v>
      </c>
      <c r="J10" s="28"/>
      <c r="K10" s="65">
        <f>F10*6.09/100</f>
        <v>18180005.268599998</v>
      </c>
      <c r="L10" s="86">
        <f t="shared" si="3"/>
        <v>6.0899999999999996E-2</v>
      </c>
      <c r="M10" s="65">
        <f>F10*33.04/100</f>
        <v>98631752.721599996</v>
      </c>
      <c r="N10" s="86">
        <f t="shared" si="5"/>
        <v>0.33039999999999997</v>
      </c>
      <c r="O10" s="65">
        <f>F10*55.13/100</f>
        <v>164575318.6302</v>
      </c>
      <c r="P10" s="86">
        <f t="shared" si="6"/>
        <v>0.55130000000000001</v>
      </c>
      <c r="Q10" s="65">
        <f>F10*5.74/100</f>
        <v>17135177.3796</v>
      </c>
      <c r="R10" s="86">
        <f t="shared" si="7"/>
        <v>5.74E-2</v>
      </c>
      <c r="S10" s="31"/>
    </row>
    <row r="11" spans="1:19" s="2" customFormat="1" ht="28.8" x14ac:dyDescent="0.3">
      <c r="A11" s="3"/>
      <c r="B11" s="5">
        <v>3</v>
      </c>
      <c r="C11" s="6" t="s">
        <v>111</v>
      </c>
      <c r="D11" s="16" t="s">
        <v>9</v>
      </c>
      <c r="E11" s="12">
        <v>108090000</v>
      </c>
      <c r="F11" s="12">
        <v>108090000</v>
      </c>
      <c r="G11" s="73">
        <f>+F11/E11</f>
        <v>1</v>
      </c>
      <c r="H11" s="12">
        <v>108090000</v>
      </c>
      <c r="I11" s="73">
        <f t="shared" si="2"/>
        <v>1</v>
      </c>
      <c r="J11" s="28"/>
      <c r="K11" s="65">
        <v>10298956.442831216</v>
      </c>
      <c r="L11" s="86">
        <f t="shared" si="3"/>
        <v>9.5281306715063518E-2</v>
      </c>
      <c r="M11" s="65">
        <v>42078593.466424681</v>
      </c>
      <c r="N11" s="86">
        <f t="shared" si="5"/>
        <v>0.38929219600725951</v>
      </c>
      <c r="O11" s="65">
        <v>42765190.562613435</v>
      </c>
      <c r="P11" s="86">
        <f t="shared" si="6"/>
        <v>0.39564428312159716</v>
      </c>
      <c r="Q11" s="65">
        <v>12947259.528130673</v>
      </c>
      <c r="R11" s="86">
        <f t="shared" si="7"/>
        <v>0.11978221415607987</v>
      </c>
      <c r="S11" s="31"/>
    </row>
    <row r="12" spans="1:19" s="2" customFormat="1" ht="42.75" customHeight="1" x14ac:dyDescent="0.3">
      <c r="A12" s="3"/>
      <c r="B12" s="21">
        <v>3</v>
      </c>
      <c r="C12" s="17" t="s">
        <v>111</v>
      </c>
      <c r="D12" s="17" t="s">
        <v>12</v>
      </c>
      <c r="E12" s="50">
        <f>SUM(E13:E14)</f>
        <v>601802211</v>
      </c>
      <c r="F12" s="50">
        <f t="shared" ref="F12:H12" si="10">SUM(F13:F14)</f>
        <v>601802211</v>
      </c>
      <c r="G12" s="72">
        <f t="shared" si="8"/>
        <v>1</v>
      </c>
      <c r="H12" s="50">
        <f t="shared" si="10"/>
        <v>601802211</v>
      </c>
      <c r="I12" s="72">
        <f t="shared" si="2"/>
        <v>1</v>
      </c>
      <c r="J12" s="28"/>
      <c r="K12" s="64">
        <f>+K13+K14</f>
        <v>58645584.348470949</v>
      </c>
      <c r="L12" s="85">
        <f t="shared" si="3"/>
        <v>9.7449931682738453E-2</v>
      </c>
      <c r="M12" s="64">
        <f t="shared" ref="M12:Q12" si="11">+M13+M14</f>
        <v>288606036.73021138</v>
      </c>
      <c r="N12" s="85">
        <f t="shared" si="5"/>
        <v>0.47956958524735527</v>
      </c>
      <c r="O12" s="64">
        <f t="shared" si="11"/>
        <v>254550589.92131767</v>
      </c>
      <c r="P12" s="85">
        <f t="shared" si="6"/>
        <v>0.42298048306990627</v>
      </c>
      <c r="Q12" s="64">
        <f t="shared" si="11"/>
        <v>0</v>
      </c>
      <c r="R12" s="85">
        <f t="shared" si="7"/>
        <v>0</v>
      </c>
      <c r="S12" s="31"/>
    </row>
    <row r="13" spans="1:19" s="2" customFormat="1" ht="28.8" x14ac:dyDescent="0.3">
      <c r="A13" s="3"/>
      <c r="B13" s="5">
        <v>3</v>
      </c>
      <c r="C13" s="6" t="s">
        <v>111</v>
      </c>
      <c r="D13" s="16" t="s">
        <v>9</v>
      </c>
      <c r="E13" s="12">
        <v>10000000</v>
      </c>
      <c r="F13" s="12">
        <v>10000000</v>
      </c>
      <c r="G13" s="73">
        <f t="shared" si="8"/>
        <v>1</v>
      </c>
      <c r="H13" s="12">
        <v>10000000</v>
      </c>
      <c r="I13" s="73">
        <f t="shared" si="2"/>
        <v>1</v>
      </c>
      <c r="J13" s="28"/>
      <c r="K13" s="43">
        <v>948038.9707719211</v>
      </c>
      <c r="L13" s="87">
        <f t="shared" si="3"/>
        <v>9.4803897077192112E-2</v>
      </c>
      <c r="M13" s="43">
        <v>4556582.5630776919</v>
      </c>
      <c r="N13" s="87">
        <f t="shared" si="5"/>
        <v>0.45565825630776918</v>
      </c>
      <c r="O13" s="43">
        <v>4495378.4661503872</v>
      </c>
      <c r="P13" s="87">
        <f t="shared" si="6"/>
        <v>0.44953784661503871</v>
      </c>
      <c r="Q13" s="43"/>
      <c r="R13" s="87">
        <f t="shared" si="7"/>
        <v>0</v>
      </c>
      <c r="S13" s="31"/>
    </row>
    <row r="14" spans="1:19" s="2" customFormat="1" ht="28.8" x14ac:dyDescent="0.3">
      <c r="A14" s="3"/>
      <c r="B14" s="5">
        <v>3</v>
      </c>
      <c r="C14" s="6" t="s">
        <v>111</v>
      </c>
      <c r="D14" s="16" t="s">
        <v>13</v>
      </c>
      <c r="E14" s="12">
        <v>591802211</v>
      </c>
      <c r="F14" s="12">
        <v>591802211</v>
      </c>
      <c r="G14" s="73">
        <f t="shared" si="8"/>
        <v>1</v>
      </c>
      <c r="H14" s="12">
        <v>591802211</v>
      </c>
      <c r="I14" s="73">
        <f t="shared" si="2"/>
        <v>1</v>
      </c>
      <c r="J14" s="28"/>
      <c r="K14" s="40">
        <v>57697545.377699025</v>
      </c>
      <c r="L14" s="88">
        <f t="shared" si="3"/>
        <v>9.7494643151475185E-2</v>
      </c>
      <c r="M14" s="40">
        <v>284049454.16713369</v>
      </c>
      <c r="N14" s="88">
        <f t="shared" si="5"/>
        <v>0.47997362782264713</v>
      </c>
      <c r="O14" s="40">
        <v>250055211.45516729</v>
      </c>
      <c r="P14" s="88">
        <f t="shared" si="6"/>
        <v>0.42253172902587771</v>
      </c>
      <c r="Q14" s="40"/>
      <c r="R14" s="88">
        <f t="shared" si="7"/>
        <v>0</v>
      </c>
      <c r="S14" s="31"/>
    </row>
    <row r="15" spans="1:19" s="2" customFormat="1" ht="28.8" x14ac:dyDescent="0.3">
      <c r="A15" s="3"/>
      <c r="B15" s="21">
        <v>3</v>
      </c>
      <c r="C15" s="17" t="s">
        <v>111</v>
      </c>
      <c r="D15" s="17" t="s">
        <v>14</v>
      </c>
      <c r="E15" s="50">
        <f>SUM(E16:E17)</f>
        <v>18594997</v>
      </c>
      <c r="F15" s="50">
        <f t="shared" ref="F15:H15" si="12">SUM(F16:F17)</f>
        <v>18594997</v>
      </c>
      <c r="G15" s="72">
        <f t="shared" si="8"/>
        <v>1</v>
      </c>
      <c r="H15" s="50">
        <f t="shared" si="12"/>
        <v>18594997</v>
      </c>
      <c r="I15" s="72">
        <f t="shared" si="2"/>
        <v>1</v>
      </c>
      <c r="J15" s="28"/>
      <c r="K15" s="51">
        <f>+K16+K17</f>
        <v>1371775.921141092</v>
      </c>
      <c r="L15" s="89">
        <f t="shared" si="3"/>
        <v>7.3771236485872624E-2</v>
      </c>
      <c r="M15" s="51">
        <f t="shared" ref="M15:Q15" si="13">+M16+M17</f>
        <v>7730599.2797310799</v>
      </c>
      <c r="N15" s="89">
        <f t="shared" si="5"/>
        <v>0.41573544108294719</v>
      </c>
      <c r="O15" s="51">
        <f t="shared" si="13"/>
        <v>9492621.7991278283</v>
      </c>
      <c r="P15" s="89">
        <f t="shared" si="6"/>
        <v>0.51049332243118017</v>
      </c>
      <c r="Q15" s="51">
        <f t="shared" si="13"/>
        <v>0</v>
      </c>
      <c r="R15" s="89">
        <f t="shared" si="7"/>
        <v>0</v>
      </c>
      <c r="S15" s="31"/>
    </row>
    <row r="16" spans="1:19" s="2" customFormat="1" ht="28.8" x14ac:dyDescent="0.3">
      <c r="A16" s="3"/>
      <c r="B16" s="5">
        <v>3</v>
      </c>
      <c r="C16" s="6" t="s">
        <v>111</v>
      </c>
      <c r="D16" s="16" t="s">
        <v>9</v>
      </c>
      <c r="E16" s="12">
        <v>17000000</v>
      </c>
      <c r="F16" s="12">
        <v>17000000</v>
      </c>
      <c r="G16" s="73">
        <f t="shared" si="8"/>
        <v>1</v>
      </c>
      <c r="H16" s="12">
        <v>17000000</v>
      </c>
      <c r="I16" s="73">
        <f t="shared" si="2"/>
        <v>1</v>
      </c>
      <c r="J16" s="28"/>
      <c r="K16" s="66">
        <v>1254111.0202598346</v>
      </c>
      <c r="L16" s="90">
        <f t="shared" si="3"/>
        <v>7.3771236485872624E-2</v>
      </c>
      <c r="M16" s="66">
        <v>7067502.498410102</v>
      </c>
      <c r="N16" s="90">
        <f t="shared" si="5"/>
        <v>0.41573544108294719</v>
      </c>
      <c r="O16" s="66">
        <v>8678386.4813300632</v>
      </c>
      <c r="P16" s="90">
        <f t="shared" si="6"/>
        <v>0.51049332243118017</v>
      </c>
      <c r="Q16" s="66"/>
      <c r="R16" s="90">
        <f t="shared" si="7"/>
        <v>0</v>
      </c>
      <c r="S16" s="31"/>
    </row>
    <row r="17" spans="1:19" s="2" customFormat="1" ht="28.8" x14ac:dyDescent="0.3">
      <c r="A17" s="3"/>
      <c r="B17" s="5">
        <v>3</v>
      </c>
      <c r="C17" s="6" t="s">
        <v>111</v>
      </c>
      <c r="D17" s="16" t="s">
        <v>13</v>
      </c>
      <c r="E17" s="12">
        <v>1594997</v>
      </c>
      <c r="F17" s="12">
        <v>1594997</v>
      </c>
      <c r="G17" s="73">
        <f t="shared" si="8"/>
        <v>1</v>
      </c>
      <c r="H17" s="12">
        <v>1594997</v>
      </c>
      <c r="I17" s="73">
        <f t="shared" si="2"/>
        <v>1</v>
      </c>
      <c r="J17" s="28"/>
      <c r="K17" s="66">
        <v>117664.90088125739</v>
      </c>
      <c r="L17" s="90">
        <f t="shared" si="3"/>
        <v>7.3771236485872624E-2</v>
      </c>
      <c r="M17" s="66">
        <v>663096.78132097761</v>
      </c>
      <c r="N17" s="90">
        <f t="shared" si="5"/>
        <v>0.41573544108294724</v>
      </c>
      <c r="O17" s="66">
        <v>814235.31779776514</v>
      </c>
      <c r="P17" s="90">
        <f t="shared" si="6"/>
        <v>0.51049332243118017</v>
      </c>
      <c r="Q17" s="66"/>
      <c r="R17" s="90">
        <f t="shared" si="7"/>
        <v>0</v>
      </c>
      <c r="S17" s="31"/>
    </row>
    <row r="18" spans="1:19" s="2" customFormat="1" ht="28.8" x14ac:dyDescent="0.3">
      <c r="A18" s="3"/>
      <c r="B18" s="21">
        <v>2</v>
      </c>
      <c r="C18" s="17" t="s">
        <v>112</v>
      </c>
      <c r="D18" s="17" t="s">
        <v>15</v>
      </c>
      <c r="E18" s="50">
        <f>SUM(E19:E25)</f>
        <v>13081522715</v>
      </c>
      <c r="F18" s="50">
        <f t="shared" ref="F18:H18" si="14">SUM(F19:F25)</f>
        <v>13081522715</v>
      </c>
      <c r="G18" s="72">
        <f t="shared" si="8"/>
        <v>1</v>
      </c>
      <c r="H18" s="50">
        <f t="shared" si="14"/>
        <v>13081522715</v>
      </c>
      <c r="I18" s="72">
        <f t="shared" si="2"/>
        <v>1</v>
      </c>
      <c r="J18" s="28"/>
      <c r="K18" s="51">
        <f>+K19+K20+K21+K22+K23+K24+K25</f>
        <v>788382039.31597793</v>
      </c>
      <c r="L18" s="89">
        <f t="shared" si="3"/>
        <v>6.0266840221282141E-2</v>
      </c>
      <c r="M18" s="51">
        <f>M19+M20+M21+M22+M23+M24+M25</f>
        <v>6167854950.1345596</v>
      </c>
      <c r="N18" s="89">
        <f t="shared" si="5"/>
        <v>0.47149365440937197</v>
      </c>
      <c r="O18" s="51">
        <f>O19+O20+O21+O22+O23+O24+O25</f>
        <v>5813679001.5865602</v>
      </c>
      <c r="P18" s="89">
        <f t="shared" si="6"/>
        <v>0.44441913439635533</v>
      </c>
      <c r="Q18" s="51">
        <f>Q19+Q20+Q21+Q22+Q23+Q24+Q25</f>
        <v>311606723.96290267</v>
      </c>
      <c r="R18" s="89">
        <f t="shared" si="7"/>
        <v>2.382037097299056E-2</v>
      </c>
      <c r="S18" s="31"/>
    </row>
    <row r="19" spans="1:19" s="2" customFormat="1" ht="28.8" x14ac:dyDescent="0.3">
      <c r="A19" s="3"/>
      <c r="B19" s="5">
        <v>2</v>
      </c>
      <c r="C19" s="6" t="s">
        <v>112</v>
      </c>
      <c r="D19" s="16" t="s">
        <v>16</v>
      </c>
      <c r="E19" s="12">
        <f>18272564728-9007033264</f>
        <v>9265531464</v>
      </c>
      <c r="F19" s="12">
        <f>18272564728-9007033264</f>
        <v>9265531464</v>
      </c>
      <c r="G19" s="73">
        <f t="shared" si="8"/>
        <v>1</v>
      </c>
      <c r="H19" s="12">
        <f>18272564728-9007033264</f>
        <v>9265531464</v>
      </c>
      <c r="I19" s="73">
        <f t="shared" si="2"/>
        <v>1</v>
      </c>
      <c r="J19" s="28"/>
      <c r="K19" s="35">
        <f>(F19/30730)*1852</f>
        <v>558404304.30615044</v>
      </c>
      <c r="L19" s="90">
        <f t="shared" si="3"/>
        <v>6.0266840221282147E-2</v>
      </c>
      <c r="M19" s="35">
        <f>(F19/30730)*14489</f>
        <v>4368639290.0063782</v>
      </c>
      <c r="N19" s="90">
        <f t="shared" si="5"/>
        <v>0.47149365440937197</v>
      </c>
      <c r="O19" s="35">
        <f>(F19/30730)*13657</f>
        <v>4117779472.9530754</v>
      </c>
      <c r="P19" s="90">
        <f t="shared" si="6"/>
        <v>0.44441913439635539</v>
      </c>
      <c r="Q19" s="35">
        <f>(F19/30730)*732</f>
        <v>220708396.73439637</v>
      </c>
      <c r="R19" s="90">
        <f t="shared" si="7"/>
        <v>2.3820370972990564E-2</v>
      </c>
      <c r="S19" s="31"/>
    </row>
    <row r="20" spans="1:19" s="2" customFormat="1" ht="33.75" customHeight="1" x14ac:dyDescent="0.3">
      <c r="A20" s="3"/>
      <c r="B20" s="5">
        <v>2</v>
      </c>
      <c r="C20" s="6" t="s">
        <v>112</v>
      </c>
      <c r="D20" s="16" t="s">
        <v>9</v>
      </c>
      <c r="E20" s="12">
        <v>490208251</v>
      </c>
      <c r="F20" s="12">
        <v>490208251</v>
      </c>
      <c r="G20" s="73">
        <f t="shared" si="8"/>
        <v>1</v>
      </c>
      <c r="H20" s="12">
        <v>490208251</v>
      </c>
      <c r="I20" s="73">
        <f t="shared" si="2"/>
        <v>1</v>
      </c>
      <c r="J20" s="28"/>
      <c r="K20" s="66">
        <v>29543302.338171169</v>
      </c>
      <c r="L20" s="90">
        <f t="shared" si="3"/>
        <v>6.0266840221282134E-2</v>
      </c>
      <c r="M20" s="66">
        <v>231130079.68561667</v>
      </c>
      <c r="N20" s="90">
        <f t="shared" si="5"/>
        <v>0.47149365440937197</v>
      </c>
      <c r="O20" s="66">
        <v>217857926.58337131</v>
      </c>
      <c r="P20" s="90">
        <f t="shared" si="6"/>
        <v>0.44441913439635539</v>
      </c>
      <c r="Q20" s="66">
        <v>11676942.392840873</v>
      </c>
      <c r="R20" s="90">
        <f t="shared" si="7"/>
        <v>2.3820370972990567E-2</v>
      </c>
      <c r="S20" s="31"/>
    </row>
    <row r="21" spans="1:19" s="2" customFormat="1" ht="28.8" x14ac:dyDescent="0.3">
      <c r="A21" s="3"/>
      <c r="B21" s="5">
        <v>2</v>
      </c>
      <c r="C21" s="6" t="s">
        <v>112</v>
      </c>
      <c r="D21" s="16" t="s">
        <v>17</v>
      </c>
      <c r="E21" s="12">
        <v>128590176</v>
      </c>
      <c r="F21" s="12">
        <v>128590176</v>
      </c>
      <c r="G21" s="73">
        <f t="shared" si="8"/>
        <v>1</v>
      </c>
      <c r="H21" s="12">
        <v>128590176</v>
      </c>
      <c r="I21" s="73">
        <f t="shared" si="2"/>
        <v>1</v>
      </c>
      <c r="J21" s="28"/>
      <c r="K21" s="66">
        <v>7749723.5910185482</v>
      </c>
      <c r="L21" s="90">
        <f t="shared" si="3"/>
        <v>6.0266840221282134E-2</v>
      </c>
      <c r="M21" s="66">
        <v>60629452.003384307</v>
      </c>
      <c r="N21" s="90">
        <f t="shared" si="5"/>
        <v>0.47149365440937191</v>
      </c>
      <c r="O21" s="66">
        <v>57147934.709794983</v>
      </c>
      <c r="P21" s="90">
        <f t="shared" si="6"/>
        <v>0.44441913439635533</v>
      </c>
      <c r="Q21" s="66">
        <v>3063065.6958021475</v>
      </c>
      <c r="R21" s="90">
        <f t="shared" si="7"/>
        <v>2.382037097299056E-2</v>
      </c>
      <c r="S21" s="31"/>
    </row>
    <row r="22" spans="1:19" s="2" customFormat="1" ht="28.8" x14ac:dyDescent="0.3">
      <c r="A22" s="3"/>
      <c r="B22" s="5">
        <v>2</v>
      </c>
      <c r="C22" s="6" t="s">
        <v>112</v>
      </c>
      <c r="D22" s="16" t="s">
        <v>18</v>
      </c>
      <c r="E22" s="12">
        <v>1801670207</v>
      </c>
      <c r="F22" s="12">
        <v>1801670207</v>
      </c>
      <c r="G22" s="73">
        <f t="shared" si="8"/>
        <v>1</v>
      </c>
      <c r="H22" s="12">
        <v>1801670207</v>
      </c>
      <c r="I22" s="73">
        <f t="shared" si="2"/>
        <v>1</v>
      </c>
      <c r="J22" s="28"/>
      <c r="K22" s="66">
        <v>108580970.49671331</v>
      </c>
      <c r="L22" s="90">
        <f t="shared" si="3"/>
        <v>6.0266840221282134E-2</v>
      </c>
      <c r="M22" s="66">
        <v>849476069.93891954</v>
      </c>
      <c r="N22" s="90">
        <f t="shared" si="5"/>
        <v>0.47149365440937191</v>
      </c>
      <c r="O22" s="66">
        <v>800696713.86264229</v>
      </c>
      <c r="P22" s="90">
        <f t="shared" si="6"/>
        <v>0.44441913439635533</v>
      </c>
      <c r="Q22" s="66">
        <v>42916452.701724701</v>
      </c>
      <c r="R22" s="90">
        <f t="shared" si="7"/>
        <v>2.3820370972990564E-2</v>
      </c>
      <c r="S22" s="31"/>
    </row>
    <row r="23" spans="1:19" s="45" customFormat="1" ht="45.75" customHeight="1" x14ac:dyDescent="0.3">
      <c r="A23" s="41"/>
      <c r="B23" s="32">
        <v>2</v>
      </c>
      <c r="C23" s="33" t="s">
        <v>112</v>
      </c>
      <c r="D23" s="55" t="s">
        <v>19</v>
      </c>
      <c r="E23" s="56">
        <v>1357352250</v>
      </c>
      <c r="F23" s="56">
        <v>1357352250</v>
      </c>
      <c r="G23" s="75">
        <f t="shared" si="8"/>
        <v>1</v>
      </c>
      <c r="H23" s="56">
        <v>1357352250</v>
      </c>
      <c r="I23" s="75">
        <f t="shared" si="2"/>
        <v>1</v>
      </c>
      <c r="J23" s="42"/>
      <c r="K23" s="43">
        <f>(F23/30730)*1852</f>
        <v>81803331.17474781</v>
      </c>
      <c r="L23" s="87">
        <f t="shared" si="3"/>
        <v>6.0266840221282141E-2</v>
      </c>
      <c r="M23" s="43">
        <f>(F23/30730)*14489</f>
        <v>639982972.67328346</v>
      </c>
      <c r="N23" s="87">
        <f t="shared" si="5"/>
        <v>0.47149365440937197</v>
      </c>
      <c r="O23" s="43">
        <f>(F23/30730)*13657</f>
        <v>603233312.01594532</v>
      </c>
      <c r="P23" s="87">
        <f t="shared" si="6"/>
        <v>0.44441913439635533</v>
      </c>
      <c r="Q23" s="43">
        <f>(F23/30730)*732</f>
        <v>32332634.136023428</v>
      </c>
      <c r="R23" s="87">
        <f t="shared" si="7"/>
        <v>2.382037097299056E-2</v>
      </c>
      <c r="S23" s="44"/>
    </row>
    <row r="24" spans="1:19" s="45" customFormat="1" ht="48.75" customHeight="1" x14ac:dyDescent="0.3">
      <c r="A24" s="41"/>
      <c r="B24" s="32">
        <v>2</v>
      </c>
      <c r="C24" s="33" t="s">
        <v>112</v>
      </c>
      <c r="D24" s="55" t="s">
        <v>20</v>
      </c>
      <c r="E24" s="56">
        <v>34205332</v>
      </c>
      <c r="F24" s="56">
        <v>34205332</v>
      </c>
      <c r="G24" s="75">
        <f t="shared" si="8"/>
        <v>1</v>
      </c>
      <c r="H24" s="56">
        <v>34205332</v>
      </c>
      <c r="I24" s="75">
        <f t="shared" si="2"/>
        <v>1</v>
      </c>
      <c r="J24" s="42"/>
      <c r="K24" s="43">
        <f>(F24/30730)*1852</f>
        <v>2061447.2783599088</v>
      </c>
      <c r="L24" s="87">
        <f t="shared" si="3"/>
        <v>6.0266840221282134E-2</v>
      </c>
      <c r="M24" s="43">
        <f>(F24/30730)*14489</f>
        <v>16127596.984965831</v>
      </c>
      <c r="N24" s="87">
        <f t="shared" si="5"/>
        <v>0.47149365440937197</v>
      </c>
      <c r="O24" s="43">
        <f>(F24/30730)*13657</f>
        <v>15201504.039179953</v>
      </c>
      <c r="P24" s="87">
        <f t="shared" si="6"/>
        <v>0.44441913439635533</v>
      </c>
      <c r="Q24" s="43">
        <f>(F24/30730)*732</f>
        <v>814783.6974943052</v>
      </c>
      <c r="R24" s="87">
        <f t="shared" si="7"/>
        <v>2.3820370972990564E-2</v>
      </c>
      <c r="S24" s="44"/>
    </row>
    <row r="25" spans="1:19" s="45" customFormat="1" ht="38.25" customHeight="1" x14ac:dyDescent="0.3">
      <c r="A25" s="41"/>
      <c r="B25" s="32">
        <v>2</v>
      </c>
      <c r="C25" s="33" t="s">
        <v>112</v>
      </c>
      <c r="D25" s="55" t="s">
        <v>21</v>
      </c>
      <c r="E25" s="56">
        <v>3965035</v>
      </c>
      <c r="F25" s="56">
        <v>3965035</v>
      </c>
      <c r="G25" s="75">
        <f t="shared" si="8"/>
        <v>1</v>
      </c>
      <c r="H25" s="56">
        <v>3965035</v>
      </c>
      <c r="I25" s="75">
        <f t="shared" si="2"/>
        <v>1</v>
      </c>
      <c r="J25" s="42"/>
      <c r="K25" s="43">
        <f>(F25/30730)*1852</f>
        <v>238960.13081679141</v>
      </c>
      <c r="L25" s="87">
        <f t="shared" si="3"/>
        <v>6.0266840221282134E-2</v>
      </c>
      <c r="M25" s="43">
        <f>(F25/30730)*14489</f>
        <v>1869488.8420110641</v>
      </c>
      <c r="N25" s="87">
        <f t="shared" si="5"/>
        <v>0.47149365440937191</v>
      </c>
      <c r="O25" s="43">
        <f>(F25/30730)*13657</f>
        <v>1762137.4225512526</v>
      </c>
      <c r="P25" s="87">
        <f t="shared" si="6"/>
        <v>0.44441913439635528</v>
      </c>
      <c r="Q25" s="43">
        <f>(F25/30730)*732</f>
        <v>94448.604620891638</v>
      </c>
      <c r="R25" s="87">
        <f t="shared" si="7"/>
        <v>2.3820370972990564E-2</v>
      </c>
      <c r="S25" s="44"/>
    </row>
    <row r="26" spans="1:19" s="2" customFormat="1" ht="28.8" x14ac:dyDescent="0.3">
      <c r="A26" s="3"/>
      <c r="B26" s="21">
        <v>3</v>
      </c>
      <c r="C26" s="17" t="s">
        <v>111</v>
      </c>
      <c r="D26" s="17" t="s">
        <v>22</v>
      </c>
      <c r="E26" s="50">
        <f>SUM(E27:E28)</f>
        <v>95316290</v>
      </c>
      <c r="F26" s="50">
        <f t="shared" ref="F26:H26" si="15">SUM(F27:F28)</f>
        <v>95316290</v>
      </c>
      <c r="G26" s="72">
        <f t="shared" si="8"/>
        <v>1</v>
      </c>
      <c r="H26" s="50">
        <f t="shared" si="15"/>
        <v>95316290</v>
      </c>
      <c r="I26" s="72">
        <f t="shared" si="2"/>
        <v>1</v>
      </c>
      <c r="J26" s="28"/>
      <c r="K26" s="51">
        <f>+K27+K28</f>
        <v>321471.46711635753</v>
      </c>
      <c r="L26" s="89">
        <f t="shared" si="3"/>
        <v>3.3726812816188873E-3</v>
      </c>
      <c r="M26" s="51">
        <f t="shared" ref="M26:Q26" si="16">+M27+M28</f>
        <v>7393843.7436762219</v>
      </c>
      <c r="N26" s="89">
        <f t="shared" si="5"/>
        <v>7.7571669477234401E-2</v>
      </c>
      <c r="O26" s="51">
        <f t="shared" si="16"/>
        <v>82457431.315345705</v>
      </c>
      <c r="P26" s="89">
        <f t="shared" si="6"/>
        <v>0.86509274873524455</v>
      </c>
      <c r="Q26" s="51">
        <f t="shared" si="16"/>
        <v>5143543.4738617204</v>
      </c>
      <c r="R26" s="89">
        <f t="shared" si="7"/>
        <v>5.3962900505902196E-2</v>
      </c>
      <c r="S26" s="31"/>
    </row>
    <row r="27" spans="1:19" s="2" customFormat="1" ht="28.8" x14ac:dyDescent="0.3">
      <c r="A27" s="3"/>
      <c r="B27" s="5">
        <v>3</v>
      </c>
      <c r="C27" s="6" t="s">
        <v>111</v>
      </c>
      <c r="D27" s="16" t="s">
        <v>9</v>
      </c>
      <c r="E27" s="12">
        <v>37978140</v>
      </c>
      <c r="F27" s="12">
        <v>37978140</v>
      </c>
      <c r="G27" s="73">
        <f t="shared" si="8"/>
        <v>1</v>
      </c>
      <c r="H27" s="12">
        <v>37978140</v>
      </c>
      <c r="I27" s="73">
        <f t="shared" si="2"/>
        <v>1</v>
      </c>
      <c r="J27" s="28"/>
      <c r="K27" s="66">
        <v>128088.16188870152</v>
      </c>
      <c r="L27" s="90">
        <f t="shared" si="3"/>
        <v>3.3726812816188873E-3</v>
      </c>
      <c r="M27" s="66">
        <v>2946027.7234401349</v>
      </c>
      <c r="N27" s="90">
        <f t="shared" si="5"/>
        <v>7.7571669477234401E-2</v>
      </c>
      <c r="O27" s="66">
        <v>32854613.524451941</v>
      </c>
      <c r="P27" s="90">
        <f t="shared" si="6"/>
        <v>0.86509274873524455</v>
      </c>
      <c r="Q27" s="66">
        <v>2049410.5902192243</v>
      </c>
      <c r="R27" s="90">
        <f t="shared" si="7"/>
        <v>5.3962900505902196E-2</v>
      </c>
      <c r="S27" s="31"/>
    </row>
    <row r="28" spans="1:19" s="2" customFormat="1" ht="28.8" x14ac:dyDescent="0.3">
      <c r="A28" s="3"/>
      <c r="B28" s="5">
        <v>3</v>
      </c>
      <c r="C28" s="6" t="s">
        <v>111</v>
      </c>
      <c r="D28" s="16" t="s">
        <v>18</v>
      </c>
      <c r="E28" s="12">
        <v>57338150</v>
      </c>
      <c r="F28" s="12">
        <v>57338150</v>
      </c>
      <c r="G28" s="73">
        <f t="shared" si="8"/>
        <v>1</v>
      </c>
      <c r="H28" s="12">
        <v>57338150</v>
      </c>
      <c r="I28" s="73">
        <f t="shared" si="2"/>
        <v>1</v>
      </c>
      <c r="J28" s="28"/>
      <c r="K28" s="40">
        <v>193383.30522765598</v>
      </c>
      <c r="L28" s="88">
        <f t="shared" si="3"/>
        <v>3.3726812816188868E-3</v>
      </c>
      <c r="M28" s="40">
        <v>4447816.020236087</v>
      </c>
      <c r="N28" s="88">
        <f t="shared" si="5"/>
        <v>7.7571669477234387E-2</v>
      </c>
      <c r="O28" s="40">
        <v>49602817.790893756</v>
      </c>
      <c r="P28" s="88">
        <f t="shared" si="6"/>
        <v>0.86509274873524444</v>
      </c>
      <c r="Q28" s="40">
        <v>3094132.8836424956</v>
      </c>
      <c r="R28" s="88">
        <f t="shared" si="7"/>
        <v>5.3962900505902189E-2</v>
      </c>
      <c r="S28" s="31"/>
    </row>
    <row r="29" spans="1:19" s="2" customFormat="1" ht="61.5" customHeight="1" x14ac:dyDescent="0.3">
      <c r="A29" s="3"/>
      <c r="B29" s="21">
        <v>9</v>
      </c>
      <c r="C29" s="17" t="s">
        <v>118</v>
      </c>
      <c r="D29" s="17" t="s">
        <v>23</v>
      </c>
      <c r="E29" s="50">
        <f>SUM(E30)</f>
        <v>10000000</v>
      </c>
      <c r="F29" s="50">
        <f t="shared" ref="F29:H29" si="17">SUM(F30)</f>
        <v>10000000</v>
      </c>
      <c r="G29" s="72">
        <f t="shared" si="8"/>
        <v>1</v>
      </c>
      <c r="H29" s="50">
        <f t="shared" si="17"/>
        <v>10000000</v>
      </c>
      <c r="I29" s="72">
        <f t="shared" si="2"/>
        <v>1</v>
      </c>
      <c r="J29" s="28"/>
      <c r="K29" s="51">
        <f>+K30</f>
        <v>0</v>
      </c>
      <c r="L29" s="89">
        <f t="shared" si="3"/>
        <v>0</v>
      </c>
      <c r="M29" s="51">
        <f t="shared" ref="M29:Q29" si="18">+M30</f>
        <v>0</v>
      </c>
      <c r="N29" s="89">
        <f t="shared" si="5"/>
        <v>0</v>
      </c>
      <c r="O29" s="51">
        <f t="shared" si="18"/>
        <v>10000000</v>
      </c>
      <c r="P29" s="89">
        <f t="shared" si="6"/>
        <v>1</v>
      </c>
      <c r="Q29" s="51">
        <f t="shared" si="18"/>
        <v>0</v>
      </c>
      <c r="R29" s="89">
        <f t="shared" si="7"/>
        <v>0</v>
      </c>
      <c r="S29" s="31"/>
    </row>
    <row r="30" spans="1:19" s="2" customFormat="1" ht="43.2" x14ac:dyDescent="0.3">
      <c r="A30" s="3"/>
      <c r="B30" s="5">
        <v>9</v>
      </c>
      <c r="C30" s="6" t="s">
        <v>118</v>
      </c>
      <c r="D30" s="16" t="s">
        <v>9</v>
      </c>
      <c r="E30" s="12">
        <v>10000000</v>
      </c>
      <c r="F30" s="12">
        <v>10000000</v>
      </c>
      <c r="G30" s="73">
        <f t="shared" si="8"/>
        <v>1</v>
      </c>
      <c r="H30" s="12">
        <v>10000000</v>
      </c>
      <c r="I30" s="73">
        <f t="shared" si="2"/>
        <v>1</v>
      </c>
      <c r="J30" s="28"/>
      <c r="K30" s="34"/>
      <c r="L30" s="90">
        <f t="shared" si="3"/>
        <v>0</v>
      </c>
      <c r="M30" s="34"/>
      <c r="N30" s="90">
        <f t="shared" si="5"/>
        <v>0</v>
      </c>
      <c r="O30" s="34">
        <v>10000000</v>
      </c>
      <c r="P30" s="90">
        <f t="shared" si="6"/>
        <v>1</v>
      </c>
      <c r="Q30" s="34"/>
      <c r="R30" s="90">
        <f t="shared" si="7"/>
        <v>0</v>
      </c>
      <c r="S30" s="31"/>
    </row>
    <row r="31" spans="1:19" s="2" customFormat="1" ht="28.8" x14ac:dyDescent="0.3">
      <c r="A31" s="3"/>
      <c r="B31" s="21">
        <v>3</v>
      </c>
      <c r="C31" s="17" t="s">
        <v>111</v>
      </c>
      <c r="D31" s="17" t="s">
        <v>24</v>
      </c>
      <c r="E31" s="50">
        <f>SUM(E32)</f>
        <v>9905167</v>
      </c>
      <c r="F31" s="50">
        <f t="shared" ref="F31:H31" si="19">SUM(F32)</f>
        <v>9905167</v>
      </c>
      <c r="G31" s="72">
        <f t="shared" si="8"/>
        <v>1</v>
      </c>
      <c r="H31" s="50">
        <f t="shared" si="19"/>
        <v>9905167</v>
      </c>
      <c r="I31" s="72">
        <f t="shared" si="2"/>
        <v>1</v>
      </c>
      <c r="J31" s="28"/>
      <c r="K31" s="51">
        <f>+K32</f>
        <v>891707.313144741</v>
      </c>
      <c r="L31" s="89">
        <f t="shared" si="3"/>
        <v>9.0024460278634477E-2</v>
      </c>
      <c r="M31" s="51">
        <f t="shared" ref="M31:Q31" si="20">+M32</f>
        <v>4529114.6991917472</v>
      </c>
      <c r="N31" s="89">
        <f t="shared" si="5"/>
        <v>0.45724768690843348</v>
      </c>
      <c r="O31" s="51">
        <f t="shared" si="20"/>
        <v>4484344.9876635112</v>
      </c>
      <c r="P31" s="89">
        <f t="shared" si="6"/>
        <v>0.45272785281293199</v>
      </c>
      <c r="Q31" s="51">
        <f t="shared" si="20"/>
        <v>0</v>
      </c>
      <c r="R31" s="89">
        <f t="shared" si="7"/>
        <v>0</v>
      </c>
      <c r="S31" s="31"/>
    </row>
    <row r="32" spans="1:19" s="2" customFormat="1" ht="28.8" x14ac:dyDescent="0.3">
      <c r="A32" s="3"/>
      <c r="B32" s="5">
        <v>3</v>
      </c>
      <c r="C32" s="6" t="s">
        <v>111</v>
      </c>
      <c r="D32" s="16" t="s">
        <v>9</v>
      </c>
      <c r="E32" s="12">
        <v>9905167</v>
      </c>
      <c r="F32" s="12">
        <v>9905167</v>
      </c>
      <c r="G32" s="73">
        <f t="shared" si="8"/>
        <v>1</v>
      </c>
      <c r="H32" s="12">
        <v>9905167</v>
      </c>
      <c r="I32" s="73">
        <f t="shared" si="2"/>
        <v>1</v>
      </c>
      <c r="J32" s="28"/>
      <c r="K32" s="34">
        <v>891707.313144741</v>
      </c>
      <c r="L32" s="90">
        <f t="shared" si="3"/>
        <v>9.0024460278634477E-2</v>
      </c>
      <c r="M32" s="34">
        <v>4529114.6991917472</v>
      </c>
      <c r="N32" s="90">
        <f t="shared" si="5"/>
        <v>0.45724768690843348</v>
      </c>
      <c r="O32" s="34">
        <v>4484344.9876635112</v>
      </c>
      <c r="P32" s="90">
        <f t="shared" si="6"/>
        <v>0.45272785281293199</v>
      </c>
      <c r="Q32" s="34"/>
      <c r="R32" s="90">
        <f t="shared" si="7"/>
        <v>0</v>
      </c>
      <c r="S32" s="31"/>
    </row>
    <row r="33" spans="1:19" s="2" customFormat="1" ht="48" customHeight="1" x14ac:dyDescent="0.3">
      <c r="A33" s="3"/>
      <c r="B33" s="24">
        <v>6</v>
      </c>
      <c r="C33" s="25" t="s">
        <v>113</v>
      </c>
      <c r="D33" s="25" t="s">
        <v>25</v>
      </c>
      <c r="E33" s="50">
        <f>SUM(E34)</f>
        <v>48279229</v>
      </c>
      <c r="F33" s="50">
        <f t="shared" ref="F33:H33" si="21">SUM(F34)</f>
        <v>48279229</v>
      </c>
      <c r="G33" s="72">
        <f t="shared" si="8"/>
        <v>1</v>
      </c>
      <c r="H33" s="50">
        <f t="shared" si="21"/>
        <v>48279229</v>
      </c>
      <c r="I33" s="72">
        <f t="shared" si="2"/>
        <v>1</v>
      </c>
      <c r="J33" s="28"/>
      <c r="K33" s="51">
        <f>+K34</f>
        <v>0</v>
      </c>
      <c r="L33" s="89">
        <f t="shared" si="3"/>
        <v>0</v>
      </c>
      <c r="M33" s="51">
        <f t="shared" ref="M33:Q33" si="22">+M34</f>
        <v>3651370.2605042015</v>
      </c>
      <c r="N33" s="89">
        <f t="shared" si="5"/>
        <v>7.5630252100840331E-2</v>
      </c>
      <c r="O33" s="51">
        <f t="shared" si="22"/>
        <v>28805254.277310923</v>
      </c>
      <c r="P33" s="89">
        <f t="shared" si="6"/>
        <v>0.59663865546218486</v>
      </c>
      <c r="Q33" s="51">
        <f t="shared" si="22"/>
        <v>15822604.462184874</v>
      </c>
      <c r="R33" s="89">
        <f t="shared" si="7"/>
        <v>0.32773109243697479</v>
      </c>
      <c r="S33" s="31"/>
    </row>
    <row r="34" spans="1:19" s="2" customFormat="1" ht="43.2" x14ac:dyDescent="0.3">
      <c r="A34" s="3"/>
      <c r="B34" s="5">
        <v>6</v>
      </c>
      <c r="C34" s="6" t="s">
        <v>113</v>
      </c>
      <c r="D34" s="16" t="s">
        <v>13</v>
      </c>
      <c r="E34" s="12">
        <v>48279229</v>
      </c>
      <c r="F34" s="12">
        <v>48279229</v>
      </c>
      <c r="G34" s="73">
        <f t="shared" si="8"/>
        <v>1</v>
      </c>
      <c r="H34" s="12">
        <v>48279229</v>
      </c>
      <c r="I34" s="73">
        <f t="shared" si="2"/>
        <v>1</v>
      </c>
      <c r="J34" s="28"/>
      <c r="K34" s="67"/>
      <c r="L34" s="88">
        <f t="shared" si="3"/>
        <v>0</v>
      </c>
      <c r="M34" s="67">
        <v>3651370.2605042015</v>
      </c>
      <c r="N34" s="88">
        <f t="shared" si="5"/>
        <v>7.5630252100840331E-2</v>
      </c>
      <c r="O34" s="67">
        <v>28805254.277310923</v>
      </c>
      <c r="P34" s="88">
        <f t="shared" si="6"/>
        <v>0.59663865546218486</v>
      </c>
      <c r="Q34" s="67">
        <v>15822604.462184874</v>
      </c>
      <c r="R34" s="88">
        <f t="shared" si="7"/>
        <v>0.32773109243697479</v>
      </c>
      <c r="S34" s="31"/>
    </row>
    <row r="35" spans="1:19" s="2" customFormat="1" ht="43.2" x14ac:dyDescent="0.3">
      <c r="A35" s="3"/>
      <c r="B35" s="21">
        <v>9</v>
      </c>
      <c r="C35" s="17" t="s">
        <v>118</v>
      </c>
      <c r="D35" s="17" t="s">
        <v>26</v>
      </c>
      <c r="E35" s="50">
        <f>SUM(E36)</f>
        <v>10000000</v>
      </c>
      <c r="F35" s="50">
        <f t="shared" ref="F35:H35" si="23">SUM(F36)</f>
        <v>10000000</v>
      </c>
      <c r="G35" s="72">
        <f t="shared" si="8"/>
        <v>1</v>
      </c>
      <c r="H35" s="50">
        <f t="shared" si="23"/>
        <v>10000000</v>
      </c>
      <c r="I35" s="72">
        <f t="shared" si="2"/>
        <v>1</v>
      </c>
      <c r="J35" s="28"/>
      <c r="K35" s="51">
        <f>+K36</f>
        <v>0</v>
      </c>
      <c r="L35" s="89">
        <f t="shared" si="3"/>
        <v>0</v>
      </c>
      <c r="M35" s="51">
        <f t="shared" ref="M35:Q35" si="24">+M36</f>
        <v>0</v>
      </c>
      <c r="N35" s="89">
        <f t="shared" si="5"/>
        <v>0</v>
      </c>
      <c r="O35" s="51">
        <f t="shared" si="24"/>
        <v>10000000</v>
      </c>
      <c r="P35" s="89">
        <f t="shared" si="6"/>
        <v>1</v>
      </c>
      <c r="Q35" s="51">
        <f t="shared" si="24"/>
        <v>0</v>
      </c>
      <c r="R35" s="89">
        <f t="shared" si="7"/>
        <v>0</v>
      </c>
      <c r="S35" s="31"/>
    </row>
    <row r="36" spans="1:19" s="2" customFormat="1" ht="43.2" x14ac:dyDescent="0.3">
      <c r="A36" s="3"/>
      <c r="B36" s="5">
        <v>9</v>
      </c>
      <c r="C36" s="6" t="s">
        <v>118</v>
      </c>
      <c r="D36" s="16" t="s">
        <v>9</v>
      </c>
      <c r="E36" s="12">
        <v>10000000</v>
      </c>
      <c r="F36" s="12">
        <v>10000000</v>
      </c>
      <c r="G36" s="73">
        <f t="shared" si="8"/>
        <v>1</v>
      </c>
      <c r="H36" s="12">
        <v>10000000</v>
      </c>
      <c r="I36" s="73">
        <f t="shared" si="2"/>
        <v>1</v>
      </c>
      <c r="J36" s="28"/>
      <c r="K36" s="34"/>
      <c r="L36" s="90">
        <f t="shared" si="3"/>
        <v>0</v>
      </c>
      <c r="M36" s="34"/>
      <c r="N36" s="90">
        <f t="shared" si="5"/>
        <v>0</v>
      </c>
      <c r="O36" s="34">
        <v>10000000</v>
      </c>
      <c r="P36" s="90">
        <f t="shared" si="6"/>
        <v>1</v>
      </c>
      <c r="Q36" s="34"/>
      <c r="R36" s="90">
        <f t="shared" si="7"/>
        <v>0</v>
      </c>
      <c r="S36" s="31"/>
    </row>
    <row r="37" spans="1:19" s="2" customFormat="1" ht="28.8" x14ac:dyDescent="0.3">
      <c r="A37" s="3"/>
      <c r="B37" s="21">
        <v>3</v>
      </c>
      <c r="C37" s="17" t="s">
        <v>111</v>
      </c>
      <c r="D37" s="17" t="s">
        <v>27</v>
      </c>
      <c r="E37" s="50">
        <f>SUM(E38)</f>
        <v>9905167</v>
      </c>
      <c r="F37" s="50">
        <f t="shared" ref="F37:H37" si="25">SUM(F38)</f>
        <v>9905167</v>
      </c>
      <c r="G37" s="72">
        <f t="shared" si="8"/>
        <v>1</v>
      </c>
      <c r="H37" s="50">
        <f t="shared" si="25"/>
        <v>9905167</v>
      </c>
      <c r="I37" s="72">
        <f t="shared" si="2"/>
        <v>1</v>
      </c>
      <c r="J37" s="28"/>
      <c r="K37" s="51">
        <f>+K38</f>
        <v>9905167</v>
      </c>
      <c r="L37" s="89">
        <f t="shared" si="3"/>
        <v>1</v>
      </c>
      <c r="M37" s="51">
        <f t="shared" ref="M37:Q37" si="26">+M38</f>
        <v>0</v>
      </c>
      <c r="N37" s="89">
        <f t="shared" si="5"/>
        <v>0</v>
      </c>
      <c r="O37" s="51">
        <f t="shared" si="26"/>
        <v>0</v>
      </c>
      <c r="P37" s="89">
        <f t="shared" si="6"/>
        <v>0</v>
      </c>
      <c r="Q37" s="51">
        <f t="shared" si="26"/>
        <v>0</v>
      </c>
      <c r="R37" s="89">
        <f t="shared" si="7"/>
        <v>0</v>
      </c>
      <c r="S37" s="31"/>
    </row>
    <row r="38" spans="1:19" s="2" customFormat="1" ht="28.8" x14ac:dyDescent="0.3">
      <c r="A38" s="3"/>
      <c r="B38" s="5">
        <v>3</v>
      </c>
      <c r="C38" s="6" t="s">
        <v>111</v>
      </c>
      <c r="D38" s="16" t="s">
        <v>9</v>
      </c>
      <c r="E38" s="12">
        <v>9905167</v>
      </c>
      <c r="F38" s="12">
        <v>9905167</v>
      </c>
      <c r="G38" s="73">
        <f t="shared" si="8"/>
        <v>1</v>
      </c>
      <c r="H38" s="12">
        <v>9905167</v>
      </c>
      <c r="I38" s="73">
        <f t="shared" si="2"/>
        <v>1</v>
      </c>
      <c r="J38" s="28"/>
      <c r="K38" s="34">
        <v>9905167</v>
      </c>
      <c r="L38" s="90">
        <f t="shared" si="3"/>
        <v>1</v>
      </c>
      <c r="M38" s="34"/>
      <c r="N38" s="90">
        <f t="shared" si="5"/>
        <v>0</v>
      </c>
      <c r="O38" s="34"/>
      <c r="P38" s="90">
        <f t="shared" si="6"/>
        <v>0</v>
      </c>
      <c r="Q38" s="34"/>
      <c r="R38" s="90">
        <f t="shared" si="7"/>
        <v>0</v>
      </c>
      <c r="S38" s="31"/>
    </row>
    <row r="39" spans="1:19" s="2" customFormat="1" ht="28.8" x14ac:dyDescent="0.3">
      <c r="A39" s="3"/>
      <c r="B39" s="21">
        <v>3</v>
      </c>
      <c r="C39" s="17" t="s">
        <v>111</v>
      </c>
      <c r="D39" s="17" t="s">
        <v>28</v>
      </c>
      <c r="E39" s="50">
        <f>SUM(E40:E41)</f>
        <v>32506611</v>
      </c>
      <c r="F39" s="50">
        <f t="shared" ref="F39:H39" si="27">SUM(F40:F41)</f>
        <v>32506611</v>
      </c>
      <c r="G39" s="72">
        <f t="shared" si="8"/>
        <v>1</v>
      </c>
      <c r="H39" s="50">
        <f t="shared" si="27"/>
        <v>32506611</v>
      </c>
      <c r="I39" s="72">
        <f t="shared" si="2"/>
        <v>1</v>
      </c>
      <c r="J39" s="28"/>
      <c r="K39" s="51">
        <f>+K40+K41</f>
        <v>0</v>
      </c>
      <c r="L39" s="89">
        <f t="shared" si="3"/>
        <v>0</v>
      </c>
      <c r="M39" s="51">
        <f t="shared" ref="M39:Q39" si="28">+M40+M41</f>
        <v>18602003.890358262</v>
      </c>
      <c r="N39" s="89">
        <f t="shared" si="5"/>
        <v>0.57225294541957206</v>
      </c>
      <c r="O39" s="51">
        <f t="shared" si="28"/>
        <v>13904607.109641742</v>
      </c>
      <c r="P39" s="89">
        <f t="shared" si="6"/>
        <v>0.427747054580428</v>
      </c>
      <c r="Q39" s="51">
        <f t="shared" si="28"/>
        <v>0</v>
      </c>
      <c r="R39" s="89">
        <f t="shared" si="7"/>
        <v>0</v>
      </c>
      <c r="S39" s="31"/>
    </row>
    <row r="40" spans="1:19" s="2" customFormat="1" ht="28.8" x14ac:dyDescent="0.3">
      <c r="A40" s="3"/>
      <c r="B40" s="5">
        <v>3</v>
      </c>
      <c r="C40" s="6" t="s">
        <v>111</v>
      </c>
      <c r="D40" s="16" t="s">
        <v>9</v>
      </c>
      <c r="E40" s="12">
        <v>18672291</v>
      </c>
      <c r="F40" s="12">
        <v>18672291</v>
      </c>
      <c r="G40" s="73">
        <f t="shared" si="8"/>
        <v>1</v>
      </c>
      <c r="H40" s="12">
        <v>18672291</v>
      </c>
      <c r="I40" s="73">
        <f t="shared" si="2"/>
        <v>1</v>
      </c>
      <c r="J40" s="28"/>
      <c r="K40" s="34"/>
      <c r="L40" s="90">
        <f t="shared" si="3"/>
        <v>0</v>
      </c>
      <c r="M40" s="34">
        <v>10685273.522481367</v>
      </c>
      <c r="N40" s="90">
        <f t="shared" si="5"/>
        <v>0.57225294541957206</v>
      </c>
      <c r="O40" s="34">
        <v>7987017.4775186349</v>
      </c>
      <c r="P40" s="90">
        <f t="shared" si="6"/>
        <v>0.427747054580428</v>
      </c>
      <c r="Q40" s="34"/>
      <c r="R40" s="90">
        <f t="shared" si="7"/>
        <v>0</v>
      </c>
      <c r="S40" s="31"/>
    </row>
    <row r="41" spans="1:19" s="45" customFormat="1" ht="44.25" customHeight="1" x14ac:dyDescent="0.3">
      <c r="A41" s="41"/>
      <c r="B41" s="32">
        <v>3</v>
      </c>
      <c r="C41" s="33" t="s">
        <v>111</v>
      </c>
      <c r="D41" s="55" t="s">
        <v>29</v>
      </c>
      <c r="E41" s="56">
        <v>13834320</v>
      </c>
      <c r="F41" s="56">
        <v>13834320</v>
      </c>
      <c r="G41" s="75">
        <f t="shared" si="8"/>
        <v>1</v>
      </c>
      <c r="H41" s="56">
        <v>13834320</v>
      </c>
      <c r="I41" s="75">
        <f t="shared" si="2"/>
        <v>1</v>
      </c>
      <c r="J41" s="42"/>
      <c r="K41" s="46"/>
      <c r="L41" s="87">
        <f t="shared" si="3"/>
        <v>0</v>
      </c>
      <c r="M41" s="46">
        <f>(F41/8318)*4760</f>
        <v>7916730.3678768929</v>
      </c>
      <c r="N41" s="87">
        <f t="shared" si="5"/>
        <v>0.57225294541957195</v>
      </c>
      <c r="O41" s="46">
        <f>(F41/8318)*3558</f>
        <v>5917589.6321231062</v>
      </c>
      <c r="P41" s="87">
        <f t="shared" si="6"/>
        <v>0.42774705458042794</v>
      </c>
      <c r="Q41" s="46"/>
      <c r="R41" s="87">
        <f t="shared" si="7"/>
        <v>0</v>
      </c>
      <c r="S41" s="44"/>
    </row>
    <row r="42" spans="1:19" s="2" customFormat="1" ht="43.2" x14ac:dyDescent="0.3">
      <c r="A42" s="3"/>
      <c r="B42" s="21">
        <v>3</v>
      </c>
      <c r="C42" s="17" t="s">
        <v>111</v>
      </c>
      <c r="D42" s="17" t="s">
        <v>30</v>
      </c>
      <c r="E42" s="50">
        <f>SUM(E43:E45)</f>
        <v>162613033741</v>
      </c>
      <c r="F42" s="50">
        <f t="shared" ref="F42:H42" si="29">SUM(F43:F45)</f>
        <v>162613033741</v>
      </c>
      <c r="G42" s="72">
        <f t="shared" si="8"/>
        <v>1</v>
      </c>
      <c r="H42" s="50">
        <f t="shared" si="29"/>
        <v>162156858523</v>
      </c>
      <c r="I42" s="72">
        <f t="shared" si="2"/>
        <v>0.99719471922080627</v>
      </c>
      <c r="J42" s="28"/>
      <c r="K42" s="51">
        <f>+K43+K44+K45</f>
        <v>13681394763.250738</v>
      </c>
      <c r="L42" s="89">
        <f t="shared" si="3"/>
        <v>8.4134675114921106E-2</v>
      </c>
      <c r="M42" s="51">
        <f t="shared" ref="M42:Q42" si="30">+M43+M44+M45</f>
        <v>69489848534.668106</v>
      </c>
      <c r="N42" s="89">
        <f t="shared" si="5"/>
        <v>0.42733258789911788</v>
      </c>
      <c r="O42" s="51">
        <f t="shared" si="30"/>
        <v>68802950392.390305</v>
      </c>
      <c r="P42" s="89">
        <f t="shared" si="6"/>
        <v>0.42310846067834512</v>
      </c>
      <c r="Q42" s="51">
        <f t="shared" si="30"/>
        <v>10638840050.690842</v>
      </c>
      <c r="R42" s="89">
        <f t="shared" si="7"/>
        <v>6.5424276307615839E-2</v>
      </c>
      <c r="S42" s="31"/>
    </row>
    <row r="43" spans="1:19" s="2" customFormat="1" ht="28.8" x14ac:dyDescent="0.3">
      <c r="A43" s="3"/>
      <c r="B43" s="5">
        <v>3</v>
      </c>
      <c r="C43" s="6" t="s">
        <v>111</v>
      </c>
      <c r="D43" s="16" t="s">
        <v>9</v>
      </c>
      <c r="E43" s="12">
        <v>162000232</v>
      </c>
      <c r="F43" s="12">
        <v>162000232</v>
      </c>
      <c r="G43" s="73">
        <f t="shared" si="8"/>
        <v>1</v>
      </c>
      <c r="H43" s="12">
        <v>162000232</v>
      </c>
      <c r="I43" s="73">
        <f t="shared" si="2"/>
        <v>1</v>
      </c>
      <c r="J43" s="28"/>
      <c r="K43" s="34">
        <v>13629836.887861846</v>
      </c>
      <c r="L43" s="90">
        <f t="shared" si="3"/>
        <v>8.4134675114921106E-2</v>
      </c>
      <c r="M43" s="34">
        <v>69227978.380817488</v>
      </c>
      <c r="N43" s="90">
        <f t="shared" si="5"/>
        <v>0.42733258789911788</v>
      </c>
      <c r="O43" s="34">
        <v>68543668.791054785</v>
      </c>
      <c r="P43" s="90">
        <f t="shared" si="6"/>
        <v>0.42310846067834512</v>
      </c>
      <c r="Q43" s="34">
        <v>10598747.940265872</v>
      </c>
      <c r="R43" s="90">
        <f t="shared" si="7"/>
        <v>6.5424276307615853E-2</v>
      </c>
      <c r="S43" s="31"/>
    </row>
    <row r="44" spans="1:19" s="2" customFormat="1" ht="28.8" x14ac:dyDescent="0.3">
      <c r="A44" s="3"/>
      <c r="B44" s="5">
        <v>3</v>
      </c>
      <c r="C44" s="6" t="s">
        <v>111</v>
      </c>
      <c r="D44" s="16" t="s">
        <v>18</v>
      </c>
      <c r="E44" s="12">
        <v>80000000</v>
      </c>
      <c r="F44" s="12">
        <v>80000000</v>
      </c>
      <c r="G44" s="73">
        <f t="shared" si="8"/>
        <v>1</v>
      </c>
      <c r="H44" s="12">
        <v>80000000</v>
      </c>
      <c r="I44" s="73">
        <f t="shared" si="2"/>
        <v>1</v>
      </c>
      <c r="J44" s="28"/>
      <c r="K44" s="34">
        <v>6730774.0091936886</v>
      </c>
      <c r="L44" s="90">
        <f t="shared" si="3"/>
        <v>8.4134675114921106E-2</v>
      </c>
      <c r="M44" s="34">
        <v>34186607.031929433</v>
      </c>
      <c r="N44" s="90">
        <f t="shared" si="5"/>
        <v>0.42733258789911793</v>
      </c>
      <c r="O44" s="34">
        <v>33848676.854267612</v>
      </c>
      <c r="P44" s="90">
        <f t="shared" si="6"/>
        <v>0.42310846067834518</v>
      </c>
      <c r="Q44" s="34">
        <v>5233942.1046092687</v>
      </c>
      <c r="R44" s="90">
        <f t="shared" si="7"/>
        <v>6.5424276307615853E-2</v>
      </c>
      <c r="S44" s="31"/>
    </row>
    <row r="45" spans="1:19" s="2" customFormat="1" ht="28.8" x14ac:dyDescent="0.3">
      <c r="A45" s="3"/>
      <c r="B45" s="5">
        <v>3</v>
      </c>
      <c r="C45" s="6" t="s">
        <v>111</v>
      </c>
      <c r="D45" s="16" t="s">
        <v>13</v>
      </c>
      <c r="E45" s="12">
        <v>162371033509</v>
      </c>
      <c r="F45" s="12">
        <v>162371033509</v>
      </c>
      <c r="G45" s="73">
        <f t="shared" si="8"/>
        <v>1</v>
      </c>
      <c r="H45" s="12">
        <v>161914858291</v>
      </c>
      <c r="I45" s="73">
        <f t="shared" si="2"/>
        <v>0.99719053818811398</v>
      </c>
      <c r="J45" s="28"/>
      <c r="K45" s="34">
        <v>13661034152.353683</v>
      </c>
      <c r="L45" s="90">
        <f t="shared" si="3"/>
        <v>8.4134675114921106E-2</v>
      </c>
      <c r="M45" s="34">
        <v>69386433949.255356</v>
      </c>
      <c r="N45" s="90">
        <f t="shared" si="5"/>
        <v>0.42733258789911788</v>
      </c>
      <c r="O45" s="34">
        <v>68700558046.74498</v>
      </c>
      <c r="P45" s="90">
        <f t="shared" si="6"/>
        <v>0.42310846067834507</v>
      </c>
      <c r="Q45" s="34">
        <v>10623007360.645967</v>
      </c>
      <c r="R45" s="90">
        <f t="shared" si="7"/>
        <v>6.5424276307615853E-2</v>
      </c>
      <c r="S45" s="31"/>
    </row>
    <row r="46" spans="1:19" s="2" customFormat="1" ht="28.8" x14ac:dyDescent="0.3">
      <c r="A46" s="3"/>
      <c r="B46" s="21">
        <v>3</v>
      </c>
      <c r="C46" s="17" t="s">
        <v>111</v>
      </c>
      <c r="D46" s="17" t="s">
        <v>31</v>
      </c>
      <c r="E46" s="50">
        <f>SUM(E47)</f>
        <v>18000000</v>
      </c>
      <c r="F46" s="50">
        <f t="shared" ref="F46:H46" si="31">SUM(F47)</f>
        <v>18000000</v>
      </c>
      <c r="G46" s="72">
        <f t="shared" si="8"/>
        <v>1</v>
      </c>
      <c r="H46" s="50">
        <f t="shared" si="31"/>
        <v>18000000</v>
      </c>
      <c r="I46" s="72">
        <f t="shared" si="2"/>
        <v>1</v>
      </c>
      <c r="J46" s="28"/>
      <c r="K46" s="51">
        <f>+K47</f>
        <v>0</v>
      </c>
      <c r="L46" s="89">
        <f t="shared" si="3"/>
        <v>0</v>
      </c>
      <c r="M46" s="51">
        <f t="shared" ref="M46:Q46" si="32">+M47</f>
        <v>0</v>
      </c>
      <c r="N46" s="89">
        <f t="shared" si="5"/>
        <v>0</v>
      </c>
      <c r="O46" s="51">
        <f t="shared" si="32"/>
        <v>18000000</v>
      </c>
      <c r="P46" s="89">
        <f t="shared" si="6"/>
        <v>1</v>
      </c>
      <c r="Q46" s="51">
        <f t="shared" si="32"/>
        <v>0</v>
      </c>
      <c r="R46" s="89">
        <f t="shared" si="7"/>
        <v>0</v>
      </c>
      <c r="S46" s="31"/>
    </row>
    <row r="47" spans="1:19" s="2" customFormat="1" ht="28.8" x14ac:dyDescent="0.3">
      <c r="A47" s="3"/>
      <c r="B47" s="5">
        <v>3</v>
      </c>
      <c r="C47" s="6" t="s">
        <v>111</v>
      </c>
      <c r="D47" s="16" t="s">
        <v>9</v>
      </c>
      <c r="E47" s="12">
        <v>18000000</v>
      </c>
      <c r="F47" s="12">
        <v>18000000</v>
      </c>
      <c r="G47" s="73">
        <f t="shared" si="8"/>
        <v>1</v>
      </c>
      <c r="H47" s="12">
        <v>18000000</v>
      </c>
      <c r="I47" s="73">
        <f t="shared" si="2"/>
        <v>1</v>
      </c>
      <c r="J47" s="28"/>
      <c r="K47" s="34"/>
      <c r="L47" s="90">
        <f t="shared" si="3"/>
        <v>0</v>
      </c>
      <c r="M47" s="34"/>
      <c r="N47" s="90">
        <f t="shared" si="5"/>
        <v>0</v>
      </c>
      <c r="O47" s="34">
        <v>18000000</v>
      </c>
      <c r="P47" s="90">
        <f t="shared" si="6"/>
        <v>1</v>
      </c>
      <c r="Q47" s="34"/>
      <c r="R47" s="90">
        <f t="shared" si="7"/>
        <v>0</v>
      </c>
      <c r="S47" s="31"/>
    </row>
    <row r="48" spans="1:19" s="2" customFormat="1" ht="28.8" x14ac:dyDescent="0.3">
      <c r="A48" s="3"/>
      <c r="B48" s="21">
        <v>3</v>
      </c>
      <c r="C48" s="17" t="s">
        <v>111</v>
      </c>
      <c r="D48" s="17" t="s">
        <v>32</v>
      </c>
      <c r="E48" s="50">
        <f>SUM(E49)</f>
        <v>9905167</v>
      </c>
      <c r="F48" s="50">
        <f t="shared" ref="F48:H48" si="33">SUM(F49)</f>
        <v>9905167</v>
      </c>
      <c r="G48" s="72">
        <f t="shared" si="8"/>
        <v>1</v>
      </c>
      <c r="H48" s="50">
        <f t="shared" si="33"/>
        <v>9905167</v>
      </c>
      <c r="I48" s="72">
        <f t="shared" si="2"/>
        <v>1</v>
      </c>
      <c r="J48" s="28"/>
      <c r="K48" s="51">
        <f>+K49</f>
        <v>0</v>
      </c>
      <c r="L48" s="89">
        <f t="shared" si="3"/>
        <v>0</v>
      </c>
      <c r="M48" s="51">
        <f t="shared" ref="M48:Q48" si="34">+M49</f>
        <v>5001652.9887545826</v>
      </c>
      <c r="N48" s="89">
        <f t="shared" si="5"/>
        <v>0.50495392846527298</v>
      </c>
      <c r="O48" s="51">
        <f t="shared" si="34"/>
        <v>4903514.0112454174</v>
      </c>
      <c r="P48" s="89">
        <f t="shared" si="6"/>
        <v>0.49504607153472702</v>
      </c>
      <c r="Q48" s="51">
        <f t="shared" si="34"/>
        <v>0</v>
      </c>
      <c r="R48" s="89">
        <f t="shared" si="7"/>
        <v>0</v>
      </c>
      <c r="S48" s="31"/>
    </row>
    <row r="49" spans="1:19" s="2" customFormat="1" ht="28.8" x14ac:dyDescent="0.3">
      <c r="A49" s="3"/>
      <c r="B49" s="5">
        <v>3</v>
      </c>
      <c r="C49" s="6" t="s">
        <v>111</v>
      </c>
      <c r="D49" s="16" t="s">
        <v>9</v>
      </c>
      <c r="E49" s="12">
        <v>9905167</v>
      </c>
      <c r="F49" s="12">
        <v>9905167</v>
      </c>
      <c r="G49" s="73">
        <f t="shared" si="8"/>
        <v>1</v>
      </c>
      <c r="H49" s="12">
        <v>9905167</v>
      </c>
      <c r="I49" s="73">
        <f t="shared" si="2"/>
        <v>1</v>
      </c>
      <c r="J49" s="28"/>
      <c r="K49" s="34"/>
      <c r="L49" s="90">
        <f t="shared" si="3"/>
        <v>0</v>
      </c>
      <c r="M49" s="34">
        <v>5001652.9887545826</v>
      </c>
      <c r="N49" s="90">
        <f t="shared" si="5"/>
        <v>0.50495392846527298</v>
      </c>
      <c r="O49" s="34">
        <v>4903514.0112454174</v>
      </c>
      <c r="P49" s="90">
        <f t="shared" si="6"/>
        <v>0.49504607153472702</v>
      </c>
      <c r="Q49" s="34"/>
      <c r="R49" s="90">
        <f t="shared" si="7"/>
        <v>0</v>
      </c>
      <c r="S49" s="31"/>
    </row>
    <row r="50" spans="1:19" s="2" customFormat="1" ht="28.8" x14ac:dyDescent="0.3">
      <c r="A50" s="3"/>
      <c r="B50" s="21">
        <v>3</v>
      </c>
      <c r="C50" s="17" t="s">
        <v>111</v>
      </c>
      <c r="D50" s="17" t="s">
        <v>33</v>
      </c>
      <c r="E50" s="50">
        <f>SUM(E51)</f>
        <v>40000000</v>
      </c>
      <c r="F50" s="50">
        <f t="shared" ref="F50:H50" si="35">SUM(F51)</f>
        <v>40000000</v>
      </c>
      <c r="G50" s="72">
        <f t="shared" si="8"/>
        <v>1</v>
      </c>
      <c r="H50" s="50">
        <f t="shared" si="35"/>
        <v>40000000</v>
      </c>
      <c r="I50" s="72">
        <f t="shared" si="2"/>
        <v>1</v>
      </c>
      <c r="J50" s="28"/>
      <c r="K50" s="51">
        <f>+K51</f>
        <v>3365387.0045968443</v>
      </c>
      <c r="L50" s="89">
        <f t="shared" si="3"/>
        <v>8.4134675114921106E-2</v>
      </c>
      <c r="M50" s="51">
        <f t="shared" ref="M50:Q50" si="36">+M51</f>
        <v>17093303.515964717</v>
      </c>
      <c r="N50" s="89">
        <f t="shared" si="5"/>
        <v>0.42733258789911793</v>
      </c>
      <c r="O50" s="51">
        <f t="shared" si="36"/>
        <v>16924338.427133806</v>
      </c>
      <c r="P50" s="89">
        <f t="shared" si="6"/>
        <v>0.42310846067834518</v>
      </c>
      <c r="Q50" s="51">
        <f t="shared" si="36"/>
        <v>2616971.0523046344</v>
      </c>
      <c r="R50" s="89">
        <f t="shared" si="7"/>
        <v>6.5424276307615853E-2</v>
      </c>
      <c r="S50" s="31"/>
    </row>
    <row r="51" spans="1:19" s="2" customFormat="1" ht="28.8" x14ac:dyDescent="0.3">
      <c r="A51" s="3"/>
      <c r="B51" s="5">
        <v>3</v>
      </c>
      <c r="C51" s="6" t="s">
        <v>111</v>
      </c>
      <c r="D51" s="16" t="s">
        <v>9</v>
      </c>
      <c r="E51" s="12">
        <v>40000000</v>
      </c>
      <c r="F51" s="12">
        <v>40000000</v>
      </c>
      <c r="G51" s="73">
        <f t="shared" si="8"/>
        <v>1</v>
      </c>
      <c r="H51" s="12">
        <v>40000000</v>
      </c>
      <c r="I51" s="73">
        <f t="shared" si="2"/>
        <v>1</v>
      </c>
      <c r="J51" s="28"/>
      <c r="K51" s="34">
        <v>3365387.0045968443</v>
      </c>
      <c r="L51" s="90">
        <f t="shared" si="3"/>
        <v>8.4134675114921106E-2</v>
      </c>
      <c r="M51" s="34">
        <v>17093303.515964717</v>
      </c>
      <c r="N51" s="90">
        <f t="shared" si="5"/>
        <v>0.42733258789911793</v>
      </c>
      <c r="O51" s="34">
        <v>16924338.427133806</v>
      </c>
      <c r="P51" s="90">
        <f t="shared" si="6"/>
        <v>0.42310846067834518</v>
      </c>
      <c r="Q51" s="34">
        <v>2616971.0523046344</v>
      </c>
      <c r="R51" s="90">
        <f t="shared" si="7"/>
        <v>6.5424276307615853E-2</v>
      </c>
      <c r="S51" s="31"/>
    </row>
    <row r="52" spans="1:19" s="2" customFormat="1" ht="28.8" x14ac:dyDescent="0.3">
      <c r="A52" s="3"/>
      <c r="B52" s="21">
        <v>3</v>
      </c>
      <c r="C52" s="17" t="s">
        <v>111</v>
      </c>
      <c r="D52" s="17" t="s">
        <v>34</v>
      </c>
      <c r="E52" s="50">
        <f>SUM(E53:E54)</f>
        <v>79164666</v>
      </c>
      <c r="F52" s="50">
        <f t="shared" ref="F52:H52" si="37">SUM(F53:F54)</f>
        <v>79164666</v>
      </c>
      <c r="G52" s="72">
        <f t="shared" si="8"/>
        <v>1</v>
      </c>
      <c r="H52" s="50">
        <f t="shared" si="37"/>
        <v>79164666</v>
      </c>
      <c r="I52" s="72">
        <f t="shared" si="2"/>
        <v>1</v>
      </c>
      <c r="J52" s="28"/>
      <c r="K52" s="51">
        <f>+K53+K54</f>
        <v>5053853.6105305469</v>
      </c>
      <c r="L52" s="89">
        <f t="shared" si="3"/>
        <v>6.3839764201500546E-2</v>
      </c>
      <c r="M52" s="51">
        <f t="shared" ref="M52:Q52" si="38">+M53+M54</f>
        <v>28817041.468649521</v>
      </c>
      <c r="N52" s="89">
        <f t="shared" si="5"/>
        <v>0.36401393354769568</v>
      </c>
      <c r="O52" s="51">
        <f t="shared" si="38"/>
        <v>40324766.898713827</v>
      </c>
      <c r="P52" s="89">
        <f t="shared" si="6"/>
        <v>0.50937834941050375</v>
      </c>
      <c r="Q52" s="51">
        <f t="shared" si="38"/>
        <v>4969004.0221061092</v>
      </c>
      <c r="R52" s="89">
        <f t="shared" si="7"/>
        <v>6.2767952840300109E-2</v>
      </c>
      <c r="S52" s="31"/>
    </row>
    <row r="53" spans="1:19" s="2" customFormat="1" ht="28.8" x14ac:dyDescent="0.3">
      <c r="A53" s="3"/>
      <c r="B53" s="5">
        <v>3</v>
      </c>
      <c r="C53" s="6" t="s">
        <v>111</v>
      </c>
      <c r="D53" s="16" t="s">
        <v>9</v>
      </c>
      <c r="E53" s="12">
        <v>44352500</v>
      </c>
      <c r="F53" s="12">
        <v>44352500</v>
      </c>
      <c r="G53" s="73">
        <f t="shared" si="8"/>
        <v>1</v>
      </c>
      <c r="H53" s="12">
        <v>44352500</v>
      </c>
      <c r="I53" s="73">
        <f t="shared" si="2"/>
        <v>1</v>
      </c>
      <c r="J53" s="28"/>
      <c r="K53" s="34">
        <v>2831453.1417470528</v>
      </c>
      <c r="L53" s="90">
        <f t="shared" si="3"/>
        <v>6.3839764201500546E-2</v>
      </c>
      <c r="M53" s="34">
        <v>16144927.987674171</v>
      </c>
      <c r="N53" s="90">
        <f t="shared" si="5"/>
        <v>0.36401393354769562</v>
      </c>
      <c r="O53" s="34">
        <v>22592203.242229369</v>
      </c>
      <c r="P53" s="90">
        <f t="shared" si="6"/>
        <v>0.50937834941050375</v>
      </c>
      <c r="Q53" s="34">
        <v>2783915.6283494108</v>
      </c>
      <c r="R53" s="90">
        <f t="shared" si="7"/>
        <v>6.2767952840300109E-2</v>
      </c>
      <c r="S53" s="31"/>
    </row>
    <row r="54" spans="1:19" s="2" customFormat="1" ht="28.8" x14ac:dyDescent="0.3">
      <c r="A54" s="3"/>
      <c r="B54" s="5">
        <v>3</v>
      </c>
      <c r="C54" s="6" t="s">
        <v>111</v>
      </c>
      <c r="D54" s="16" t="s">
        <v>18</v>
      </c>
      <c r="E54" s="12">
        <v>34812166</v>
      </c>
      <c r="F54" s="12">
        <v>34812166</v>
      </c>
      <c r="G54" s="73">
        <f t="shared" si="8"/>
        <v>1</v>
      </c>
      <c r="H54" s="12">
        <v>34812166</v>
      </c>
      <c r="I54" s="73">
        <f t="shared" si="2"/>
        <v>1</v>
      </c>
      <c r="J54" s="28"/>
      <c r="K54" s="34">
        <v>2222400.4687834941</v>
      </c>
      <c r="L54" s="90">
        <f t="shared" si="3"/>
        <v>6.3839764201500532E-2</v>
      </c>
      <c r="M54" s="34">
        <v>12672113.480975349</v>
      </c>
      <c r="N54" s="90">
        <f t="shared" si="5"/>
        <v>0.36401393354769562</v>
      </c>
      <c r="O54" s="34">
        <v>17732563.656484459</v>
      </c>
      <c r="P54" s="90">
        <f t="shared" si="6"/>
        <v>0.50937834941050375</v>
      </c>
      <c r="Q54" s="34">
        <v>2185088.3937566988</v>
      </c>
      <c r="R54" s="90">
        <f t="shared" si="7"/>
        <v>6.2767952840300109E-2</v>
      </c>
      <c r="S54" s="31"/>
    </row>
    <row r="55" spans="1:19" s="2" customFormat="1" ht="28.8" x14ac:dyDescent="0.3">
      <c r="A55" s="3"/>
      <c r="B55" s="21">
        <v>3</v>
      </c>
      <c r="C55" s="17" t="s">
        <v>111</v>
      </c>
      <c r="D55" s="17" t="s">
        <v>35</v>
      </c>
      <c r="E55" s="50">
        <f>SUM(E56)</f>
        <v>1540000</v>
      </c>
      <c r="F55" s="50">
        <f t="shared" ref="F55:H55" si="39">SUM(F56)</f>
        <v>1540000</v>
      </c>
      <c r="G55" s="72">
        <f t="shared" si="8"/>
        <v>1</v>
      </c>
      <c r="H55" s="50">
        <f t="shared" si="39"/>
        <v>1540000</v>
      </c>
      <c r="I55" s="72">
        <f t="shared" si="2"/>
        <v>1</v>
      </c>
      <c r="J55" s="28"/>
      <c r="K55" s="51">
        <f>+K56</f>
        <v>0</v>
      </c>
      <c r="L55" s="89">
        <f t="shared" si="3"/>
        <v>0</v>
      </c>
      <c r="M55" s="51">
        <f t="shared" ref="M55:Q55" si="40">+M56</f>
        <v>0</v>
      </c>
      <c r="N55" s="89">
        <f t="shared" si="5"/>
        <v>0</v>
      </c>
      <c r="O55" s="51">
        <f t="shared" si="40"/>
        <v>1540000</v>
      </c>
      <c r="P55" s="89">
        <f t="shared" si="6"/>
        <v>1</v>
      </c>
      <c r="Q55" s="51">
        <f t="shared" si="40"/>
        <v>0</v>
      </c>
      <c r="R55" s="89">
        <f t="shared" si="7"/>
        <v>0</v>
      </c>
      <c r="S55" s="31"/>
    </row>
    <row r="56" spans="1:19" s="2" customFormat="1" ht="28.8" x14ac:dyDescent="0.3">
      <c r="A56" s="3"/>
      <c r="B56" s="5">
        <v>3</v>
      </c>
      <c r="C56" s="6" t="s">
        <v>111</v>
      </c>
      <c r="D56" s="16" t="s">
        <v>9</v>
      </c>
      <c r="E56" s="12">
        <v>1540000</v>
      </c>
      <c r="F56" s="12">
        <v>1540000</v>
      </c>
      <c r="G56" s="73">
        <f t="shared" si="8"/>
        <v>1</v>
      </c>
      <c r="H56" s="12">
        <v>1540000</v>
      </c>
      <c r="I56" s="73">
        <f t="shared" si="2"/>
        <v>1</v>
      </c>
      <c r="J56" s="28"/>
      <c r="K56" s="34"/>
      <c r="L56" s="90">
        <f t="shared" si="3"/>
        <v>0</v>
      </c>
      <c r="M56" s="34"/>
      <c r="N56" s="90">
        <f t="shared" si="5"/>
        <v>0</v>
      </c>
      <c r="O56" s="34">
        <v>1540000</v>
      </c>
      <c r="P56" s="90">
        <f t="shared" si="6"/>
        <v>1</v>
      </c>
      <c r="Q56" s="34"/>
      <c r="R56" s="90">
        <f t="shared" si="7"/>
        <v>0</v>
      </c>
      <c r="S56" s="31"/>
    </row>
    <row r="57" spans="1:19" s="2" customFormat="1" ht="28.8" x14ac:dyDescent="0.3">
      <c r="A57" s="3"/>
      <c r="B57" s="21">
        <v>3</v>
      </c>
      <c r="C57" s="17" t="s">
        <v>111</v>
      </c>
      <c r="D57" s="17" t="s">
        <v>36</v>
      </c>
      <c r="E57" s="50">
        <f>SUM(E58)</f>
        <v>1300832085</v>
      </c>
      <c r="F57" s="50">
        <f t="shared" ref="F57:H57" si="41">SUM(F58)</f>
        <v>1300832085</v>
      </c>
      <c r="G57" s="72">
        <f t="shared" si="8"/>
        <v>1</v>
      </c>
      <c r="H57" s="50">
        <f t="shared" si="41"/>
        <v>1127710185</v>
      </c>
      <c r="I57" s="72">
        <f t="shared" si="2"/>
        <v>0.86691449111973584</v>
      </c>
      <c r="J57" s="28"/>
      <c r="K57" s="51">
        <f>+K58</f>
        <v>13621278.376963351</v>
      </c>
      <c r="L57" s="89">
        <f t="shared" si="3"/>
        <v>1.0471204188481676E-2</v>
      </c>
      <c r="M57" s="51">
        <f t="shared" ref="M57:Q57" si="42">+M58</f>
        <v>464258571.3481676</v>
      </c>
      <c r="N57" s="89">
        <f t="shared" si="5"/>
        <v>0.35689354275741714</v>
      </c>
      <c r="O57" s="51">
        <f t="shared" si="42"/>
        <v>706603815.80497384</v>
      </c>
      <c r="P57" s="89">
        <f t="shared" si="6"/>
        <v>0.54319371727748689</v>
      </c>
      <c r="Q57" s="51">
        <f t="shared" si="42"/>
        <v>116348419.4698953</v>
      </c>
      <c r="R57" s="89">
        <f t="shared" si="7"/>
        <v>8.9441535776614317E-2</v>
      </c>
      <c r="S57" s="31"/>
    </row>
    <row r="58" spans="1:19" s="2" customFormat="1" ht="28.8" x14ac:dyDescent="0.3">
      <c r="A58" s="3"/>
      <c r="B58" s="5">
        <v>3</v>
      </c>
      <c r="C58" s="6" t="s">
        <v>111</v>
      </c>
      <c r="D58" s="16" t="s">
        <v>13</v>
      </c>
      <c r="E58" s="12">
        <v>1300832085</v>
      </c>
      <c r="F58" s="12">
        <v>1300832085</v>
      </c>
      <c r="G58" s="73">
        <f t="shared" si="8"/>
        <v>1</v>
      </c>
      <c r="H58" s="12">
        <v>1127710185</v>
      </c>
      <c r="I58" s="73">
        <f t="shared" si="2"/>
        <v>0.86691449111973584</v>
      </c>
      <c r="J58" s="28"/>
      <c r="K58" s="34">
        <v>13621278.376963351</v>
      </c>
      <c r="L58" s="90">
        <f t="shared" si="3"/>
        <v>1.0471204188481676E-2</v>
      </c>
      <c r="M58" s="34">
        <v>464258571.3481676</v>
      </c>
      <c r="N58" s="90">
        <f t="shared" si="5"/>
        <v>0.35689354275741714</v>
      </c>
      <c r="O58" s="34">
        <v>706603815.80497384</v>
      </c>
      <c r="P58" s="90">
        <f t="shared" si="6"/>
        <v>0.54319371727748689</v>
      </c>
      <c r="Q58" s="34">
        <v>116348419.4698953</v>
      </c>
      <c r="R58" s="90">
        <f t="shared" si="7"/>
        <v>8.9441535776614317E-2</v>
      </c>
      <c r="S58" s="31"/>
    </row>
    <row r="59" spans="1:19" s="2" customFormat="1" ht="28.8" x14ac:dyDescent="0.3">
      <c r="A59" s="3"/>
      <c r="B59" s="21">
        <v>3</v>
      </c>
      <c r="C59" s="17" t="s">
        <v>111</v>
      </c>
      <c r="D59" s="17" t="s">
        <v>37</v>
      </c>
      <c r="E59" s="50">
        <f>SUM(E60:E68)</f>
        <v>10373879180</v>
      </c>
      <c r="F59" s="50">
        <f t="shared" ref="F59:H59" si="43">SUM(F60:F68)</f>
        <v>10373879180</v>
      </c>
      <c r="G59" s="72">
        <f t="shared" si="8"/>
        <v>1</v>
      </c>
      <c r="H59" s="50">
        <f t="shared" si="43"/>
        <v>10373879180</v>
      </c>
      <c r="I59" s="72">
        <f t="shared" si="2"/>
        <v>1</v>
      </c>
      <c r="J59" s="28"/>
      <c r="K59" s="51">
        <f>+K60+K61+K62+K63+K65+K66+K68+K64+K67</f>
        <v>872802954.49074399</v>
      </c>
      <c r="L59" s="89">
        <f t="shared" si="3"/>
        <v>8.4134675114921093E-2</v>
      </c>
      <c r="M59" s="51">
        <f t="shared" ref="M59:Q59" si="44">+M60+M61+M62+M63+M65+M66+M68+M64+M67</f>
        <v>4433096636.5421782</v>
      </c>
      <c r="N59" s="89">
        <f t="shared" si="5"/>
        <v>0.42733258789911782</v>
      </c>
      <c r="O59" s="51">
        <f t="shared" si="44"/>
        <v>4389276051.1129332</v>
      </c>
      <c r="P59" s="89">
        <f t="shared" si="6"/>
        <v>0.42310846067834512</v>
      </c>
      <c r="Q59" s="51">
        <f t="shared" si="44"/>
        <v>678703537.85414326</v>
      </c>
      <c r="R59" s="89">
        <f t="shared" si="7"/>
        <v>6.5424276307615839E-2</v>
      </c>
      <c r="S59" s="31"/>
    </row>
    <row r="60" spans="1:19" s="2" customFormat="1" ht="28.8" x14ac:dyDescent="0.3">
      <c r="A60" s="3"/>
      <c r="B60" s="5">
        <v>3</v>
      </c>
      <c r="C60" s="6" t="s">
        <v>111</v>
      </c>
      <c r="D60" s="16" t="s">
        <v>9</v>
      </c>
      <c r="E60" s="12">
        <v>3662009329</v>
      </c>
      <c r="F60" s="12">
        <v>3662009329</v>
      </c>
      <c r="G60" s="73">
        <f t="shared" si="8"/>
        <v>1</v>
      </c>
      <c r="H60" s="12">
        <v>3662009329</v>
      </c>
      <c r="I60" s="73">
        <f t="shared" si="2"/>
        <v>1</v>
      </c>
      <c r="J60" s="28"/>
      <c r="K60" s="34">
        <v>308101965.16322523</v>
      </c>
      <c r="L60" s="90">
        <f t="shared" si="3"/>
        <v>8.4134675114921106E-2</v>
      </c>
      <c r="M60" s="34">
        <v>1564895923.4722822</v>
      </c>
      <c r="N60" s="90">
        <f t="shared" si="5"/>
        <v>0.42733258789911788</v>
      </c>
      <c r="O60" s="34">
        <v>1549427130.1829295</v>
      </c>
      <c r="P60" s="90">
        <f t="shared" si="6"/>
        <v>0.42310846067834512</v>
      </c>
      <c r="Q60" s="34">
        <v>239584310.1815629</v>
      </c>
      <c r="R60" s="90">
        <f t="shared" si="7"/>
        <v>6.5424276307615839E-2</v>
      </c>
      <c r="S60" s="31"/>
    </row>
    <row r="61" spans="1:19" s="2" customFormat="1" ht="28.8" x14ac:dyDescent="0.3">
      <c r="A61" s="3"/>
      <c r="B61" s="5">
        <v>3</v>
      </c>
      <c r="C61" s="6" t="s">
        <v>111</v>
      </c>
      <c r="D61" s="16" t="s">
        <v>18</v>
      </c>
      <c r="E61" s="12">
        <v>1726894065</v>
      </c>
      <c r="F61" s="12">
        <v>1726894065</v>
      </c>
      <c r="G61" s="73">
        <f t="shared" si="8"/>
        <v>1</v>
      </c>
      <c r="H61" s="12">
        <v>1726894065</v>
      </c>
      <c r="I61" s="73">
        <f t="shared" si="2"/>
        <v>1</v>
      </c>
      <c r="J61" s="28"/>
      <c r="K61" s="34">
        <v>145291671.11666045</v>
      </c>
      <c r="L61" s="90">
        <f t="shared" si="3"/>
        <v>8.4134675114921106E-2</v>
      </c>
      <c r="M61" s="34">
        <v>737958109.82407749</v>
      </c>
      <c r="N61" s="90">
        <f t="shared" si="5"/>
        <v>0.42733258789911788</v>
      </c>
      <c r="O61" s="34">
        <v>730663489.5967201</v>
      </c>
      <c r="P61" s="90">
        <f t="shared" si="6"/>
        <v>0.42310846067834512</v>
      </c>
      <c r="Q61" s="34">
        <v>112980794.46254192</v>
      </c>
      <c r="R61" s="90">
        <f t="shared" si="7"/>
        <v>6.5424276307615853E-2</v>
      </c>
      <c r="S61" s="31"/>
    </row>
    <row r="62" spans="1:19" s="2" customFormat="1" ht="28.8" x14ac:dyDescent="0.3">
      <c r="A62" s="3"/>
      <c r="B62" s="5">
        <v>3</v>
      </c>
      <c r="C62" s="6" t="s">
        <v>111</v>
      </c>
      <c r="D62" s="16" t="s">
        <v>13</v>
      </c>
      <c r="E62" s="12">
        <v>482348539</v>
      </c>
      <c r="F62" s="12">
        <v>482348539</v>
      </c>
      <c r="G62" s="73">
        <f t="shared" si="8"/>
        <v>1</v>
      </c>
      <c r="H62" s="12">
        <v>482348539</v>
      </c>
      <c r="I62" s="73">
        <f t="shared" si="2"/>
        <v>1</v>
      </c>
      <c r="J62" s="28"/>
      <c r="K62" s="34">
        <v>40582237.62092185</v>
      </c>
      <c r="L62" s="90">
        <f t="shared" si="3"/>
        <v>8.4134675114921106E-2</v>
      </c>
      <c r="M62" s="34">
        <v>206123249.44022861</v>
      </c>
      <c r="N62" s="90">
        <f t="shared" si="5"/>
        <v>0.42733258789911793</v>
      </c>
      <c r="O62" s="34">
        <v>204085747.84673873</v>
      </c>
      <c r="P62" s="90">
        <f t="shared" si="6"/>
        <v>0.42310846067834512</v>
      </c>
      <c r="Q62" s="34">
        <v>31557304.09211082</v>
      </c>
      <c r="R62" s="90">
        <f t="shared" si="7"/>
        <v>6.5424276307615853E-2</v>
      </c>
      <c r="S62" s="31"/>
    </row>
    <row r="63" spans="1:19" s="2" customFormat="1" ht="28.8" x14ac:dyDescent="0.3">
      <c r="A63" s="3"/>
      <c r="B63" s="5">
        <v>3</v>
      </c>
      <c r="C63" s="6" t="s">
        <v>111</v>
      </c>
      <c r="D63" s="16" t="s">
        <v>38</v>
      </c>
      <c r="E63" s="12">
        <v>1304977490</v>
      </c>
      <c r="F63" s="12">
        <v>1304977490</v>
      </c>
      <c r="G63" s="73">
        <f t="shared" si="8"/>
        <v>1</v>
      </c>
      <c r="H63" s="12">
        <v>1304977490</v>
      </c>
      <c r="I63" s="73">
        <f t="shared" si="2"/>
        <v>1</v>
      </c>
      <c r="J63" s="28"/>
      <c r="K63" s="34">
        <v>109793857.1534352</v>
      </c>
      <c r="L63" s="90">
        <f t="shared" si="3"/>
        <v>8.4134675114921106E-2</v>
      </c>
      <c r="M63" s="34">
        <v>557659407.95179522</v>
      </c>
      <c r="N63" s="90">
        <f t="shared" si="5"/>
        <v>0.42733258789911788</v>
      </c>
      <c r="O63" s="34">
        <v>552147017.01379049</v>
      </c>
      <c r="P63" s="90">
        <f t="shared" si="6"/>
        <v>0.42310846067834512</v>
      </c>
      <c r="Q63" s="34">
        <v>85377207.880979002</v>
      </c>
      <c r="R63" s="90">
        <f t="shared" si="7"/>
        <v>6.5424276307615853E-2</v>
      </c>
      <c r="S63" s="31"/>
    </row>
    <row r="64" spans="1:19" s="2" customFormat="1" ht="28.8" x14ac:dyDescent="0.3">
      <c r="A64" s="3"/>
      <c r="B64" s="5">
        <v>3</v>
      </c>
      <c r="C64" s="6" t="s">
        <v>111</v>
      </c>
      <c r="D64" s="16" t="s">
        <v>39</v>
      </c>
      <c r="E64" s="12">
        <v>1207579213</v>
      </c>
      <c r="F64" s="12">
        <v>1207579213</v>
      </c>
      <c r="G64" s="73">
        <f t="shared" si="8"/>
        <v>1</v>
      </c>
      <c r="H64" s="12">
        <v>1207579213</v>
      </c>
      <c r="I64" s="73">
        <f t="shared" si="2"/>
        <v>1</v>
      </c>
      <c r="J64" s="28"/>
      <c r="K64" s="34">
        <v>101599284.76128711</v>
      </c>
      <c r="L64" s="90">
        <f t="shared" si="3"/>
        <v>8.4134675114921106E-2</v>
      </c>
      <c r="M64" s="34">
        <v>516037950.18447012</v>
      </c>
      <c r="N64" s="90">
        <f t="shared" si="5"/>
        <v>0.42733258789911788</v>
      </c>
      <c r="O64" s="34">
        <v>510936981.95959747</v>
      </c>
      <c r="P64" s="90">
        <f t="shared" si="6"/>
        <v>0.42310846067834512</v>
      </c>
      <c r="Q64" s="34">
        <v>79004996.094645292</v>
      </c>
      <c r="R64" s="90">
        <f t="shared" si="7"/>
        <v>6.5424276307615853E-2</v>
      </c>
      <c r="S64" s="31"/>
    </row>
    <row r="65" spans="1:19" s="45" customFormat="1" ht="28.8" x14ac:dyDescent="0.3">
      <c r="A65" s="41"/>
      <c r="B65" s="32">
        <v>3</v>
      </c>
      <c r="C65" s="33" t="s">
        <v>111</v>
      </c>
      <c r="D65" s="55" t="s">
        <v>40</v>
      </c>
      <c r="E65" s="56">
        <v>3119997</v>
      </c>
      <c r="F65" s="56">
        <v>3119997</v>
      </c>
      <c r="G65" s="75">
        <f t="shared" si="8"/>
        <v>1</v>
      </c>
      <c r="H65" s="56">
        <v>3119997</v>
      </c>
      <c r="I65" s="75">
        <f t="shared" si="2"/>
        <v>1</v>
      </c>
      <c r="J65" s="42"/>
      <c r="K65" s="46">
        <f>(F65/40245)*3386</f>
        <v>262499.93395452847</v>
      </c>
      <c r="L65" s="87">
        <f t="shared" si="3"/>
        <v>8.4134675114921093E-2</v>
      </c>
      <c r="M65" s="46">
        <f>(F65/40245)*17198</f>
        <v>1333276.3922474841</v>
      </c>
      <c r="N65" s="87">
        <f t="shared" si="5"/>
        <v>0.42733258789911788</v>
      </c>
      <c r="O65" s="46">
        <f>(F65/40245)*17028</f>
        <v>1320097.1279910547</v>
      </c>
      <c r="P65" s="87">
        <f t="shared" si="6"/>
        <v>0.42310846067834512</v>
      </c>
      <c r="Q65" s="46">
        <f>(H65/40245)*2633</f>
        <v>204123.54580693253</v>
      </c>
      <c r="R65" s="87">
        <f t="shared" si="7"/>
        <v>6.5424276307615853E-2</v>
      </c>
      <c r="S65" s="44"/>
    </row>
    <row r="66" spans="1:19" s="45" customFormat="1" ht="43.2" x14ac:dyDescent="0.3">
      <c r="A66" s="41"/>
      <c r="B66" s="32">
        <v>3</v>
      </c>
      <c r="C66" s="33" t="s">
        <v>111</v>
      </c>
      <c r="D66" s="55" t="s">
        <v>20</v>
      </c>
      <c r="E66" s="56">
        <v>193571583</v>
      </c>
      <c r="F66" s="56">
        <v>193571583</v>
      </c>
      <c r="G66" s="75">
        <f t="shared" si="8"/>
        <v>1</v>
      </c>
      <c r="H66" s="56">
        <v>193571583</v>
      </c>
      <c r="I66" s="75">
        <f t="shared" si="2"/>
        <v>1</v>
      </c>
      <c r="J66" s="42"/>
      <c r="K66" s="46">
        <f>(F66/40245)*3386</f>
        <v>16286082.247185986</v>
      </c>
      <c r="L66" s="87">
        <f t="shared" si="3"/>
        <v>8.4134675114921106E-2</v>
      </c>
      <c r="M66" s="46">
        <f>(F66/40245)*17198</f>
        <v>82719445.507118911</v>
      </c>
      <c r="N66" s="87">
        <f t="shared" si="5"/>
        <v>0.42733258789911799</v>
      </c>
      <c r="O66" s="46">
        <f>(F66/40245)*17028</f>
        <v>81901774.514200523</v>
      </c>
      <c r="P66" s="87">
        <f t="shared" si="6"/>
        <v>0.42310846067834512</v>
      </c>
      <c r="Q66" s="46">
        <f>(H66/40245)*2633</f>
        <v>12664280.731494596</v>
      </c>
      <c r="R66" s="87">
        <f t="shared" si="7"/>
        <v>6.5424276307615853E-2</v>
      </c>
      <c r="S66" s="44"/>
    </row>
    <row r="67" spans="1:19" s="45" customFormat="1" ht="28.8" x14ac:dyDescent="0.3">
      <c r="A67" s="41"/>
      <c r="B67" s="32">
        <v>3</v>
      </c>
      <c r="C67" s="33" t="s">
        <v>111</v>
      </c>
      <c r="D67" s="55" t="s">
        <v>41</v>
      </c>
      <c r="E67" s="56">
        <v>3119997</v>
      </c>
      <c r="F67" s="56">
        <v>3119997</v>
      </c>
      <c r="G67" s="75">
        <f t="shared" si="8"/>
        <v>1</v>
      </c>
      <c r="H67" s="56">
        <v>3119997</v>
      </c>
      <c r="I67" s="75">
        <f t="shared" si="2"/>
        <v>1</v>
      </c>
      <c r="J67" s="42"/>
      <c r="K67" s="46">
        <f>(F67/40245)*3386</f>
        <v>262499.93395452847</v>
      </c>
      <c r="L67" s="87">
        <f t="shared" si="3"/>
        <v>8.4134675114921093E-2</v>
      </c>
      <c r="M67" s="46">
        <f>(F67/40245)*17198</f>
        <v>1333276.3922474841</v>
      </c>
      <c r="N67" s="87">
        <f t="shared" si="5"/>
        <v>0.42733258789911788</v>
      </c>
      <c r="O67" s="46">
        <f>(F67/40245)*17028</f>
        <v>1320097.1279910547</v>
      </c>
      <c r="P67" s="87">
        <f t="shared" si="6"/>
        <v>0.42310846067834512</v>
      </c>
      <c r="Q67" s="46">
        <f>(H67/40245)*2633</f>
        <v>204123.54580693253</v>
      </c>
      <c r="R67" s="87">
        <f t="shared" si="7"/>
        <v>6.5424276307615853E-2</v>
      </c>
      <c r="S67" s="44"/>
    </row>
    <row r="68" spans="1:19" s="45" customFormat="1" ht="28.8" x14ac:dyDescent="0.3">
      <c r="A68" s="41"/>
      <c r="B68" s="32">
        <v>3</v>
      </c>
      <c r="C68" s="33" t="s">
        <v>111</v>
      </c>
      <c r="D68" s="55" t="s">
        <v>21</v>
      </c>
      <c r="E68" s="56">
        <v>1790258967</v>
      </c>
      <c r="F68" s="56">
        <v>1790258967</v>
      </c>
      <c r="G68" s="75">
        <f t="shared" si="8"/>
        <v>1</v>
      </c>
      <c r="H68" s="56">
        <v>1790258967</v>
      </c>
      <c r="I68" s="75">
        <f t="shared" si="2"/>
        <v>1</v>
      </c>
      <c r="J68" s="42"/>
      <c r="K68" s="46">
        <f>(F68/40245)*3386</f>
        <v>150622856.56011927</v>
      </c>
      <c r="L68" s="87">
        <f t="shared" si="3"/>
        <v>8.4134675114921106E-2</v>
      </c>
      <c r="M68" s="46">
        <f>(F68/40245)*17198</f>
        <v>765035997.37771153</v>
      </c>
      <c r="N68" s="87">
        <f t="shared" si="5"/>
        <v>0.42733258789911793</v>
      </c>
      <c r="O68" s="46">
        <f>(F68/40245)*17028</f>
        <v>757473715.74297428</v>
      </c>
      <c r="P68" s="87">
        <f t="shared" si="6"/>
        <v>0.42310846067834512</v>
      </c>
      <c r="Q68" s="46">
        <f>(H68/40245)*2633</f>
        <v>117126397.31919493</v>
      </c>
      <c r="R68" s="87">
        <f t="shared" si="7"/>
        <v>6.5424276307615853E-2</v>
      </c>
      <c r="S68" s="44"/>
    </row>
    <row r="69" spans="1:19" s="2" customFormat="1" ht="56.25" customHeight="1" x14ac:dyDescent="0.3">
      <c r="A69" s="3"/>
      <c r="B69" s="21">
        <v>3</v>
      </c>
      <c r="C69" s="17" t="s">
        <v>111</v>
      </c>
      <c r="D69" s="17" t="s">
        <v>42</v>
      </c>
      <c r="E69" s="50">
        <f>SUM(E70)</f>
        <v>19334360</v>
      </c>
      <c r="F69" s="50">
        <f t="shared" ref="F69:H69" si="45">SUM(F70)</f>
        <v>19334360</v>
      </c>
      <c r="G69" s="72">
        <f t="shared" si="8"/>
        <v>1</v>
      </c>
      <c r="H69" s="50">
        <f t="shared" si="45"/>
        <v>19334360</v>
      </c>
      <c r="I69" s="72">
        <f t="shared" si="2"/>
        <v>1</v>
      </c>
      <c r="J69" s="28"/>
      <c r="K69" s="51">
        <f>+K70</f>
        <v>0</v>
      </c>
      <c r="L69" s="89">
        <f t="shared" si="3"/>
        <v>0</v>
      </c>
      <c r="M69" s="51">
        <f t="shared" ref="M69:Q69" si="46">+M70</f>
        <v>7871846.5714285718</v>
      </c>
      <c r="N69" s="89">
        <f t="shared" si="5"/>
        <v>0.40714285714285714</v>
      </c>
      <c r="O69" s="51">
        <f t="shared" si="46"/>
        <v>11462513.428571429</v>
      </c>
      <c r="P69" s="89">
        <f t="shared" si="6"/>
        <v>0.59285714285714286</v>
      </c>
      <c r="Q69" s="51">
        <f t="shared" si="46"/>
        <v>0</v>
      </c>
      <c r="R69" s="89">
        <f t="shared" si="7"/>
        <v>0</v>
      </c>
      <c r="S69" s="31"/>
    </row>
    <row r="70" spans="1:19" s="2" customFormat="1" ht="28.8" x14ac:dyDescent="0.3">
      <c r="A70" s="3"/>
      <c r="B70" s="5">
        <v>3</v>
      </c>
      <c r="C70" s="6" t="s">
        <v>111</v>
      </c>
      <c r="D70" s="16" t="s">
        <v>9</v>
      </c>
      <c r="E70" s="12">
        <v>19334360</v>
      </c>
      <c r="F70" s="12">
        <v>19334360</v>
      </c>
      <c r="G70" s="73">
        <f t="shared" si="8"/>
        <v>1</v>
      </c>
      <c r="H70" s="12">
        <v>19334360</v>
      </c>
      <c r="I70" s="73">
        <f t="shared" si="2"/>
        <v>1</v>
      </c>
      <c r="J70" s="28"/>
      <c r="K70" s="34"/>
      <c r="L70" s="90">
        <f t="shared" si="3"/>
        <v>0</v>
      </c>
      <c r="M70" s="34">
        <v>7871846.5714285718</v>
      </c>
      <c r="N70" s="90">
        <f t="shared" si="5"/>
        <v>0.40714285714285714</v>
      </c>
      <c r="O70" s="34">
        <v>11462513.428571429</v>
      </c>
      <c r="P70" s="90">
        <f t="shared" si="6"/>
        <v>0.59285714285714286</v>
      </c>
      <c r="Q70" s="34"/>
      <c r="R70" s="90">
        <f t="shared" si="7"/>
        <v>0</v>
      </c>
      <c r="S70" s="31"/>
    </row>
    <row r="71" spans="1:19" s="4" customFormat="1" ht="43.2" x14ac:dyDescent="0.3">
      <c r="A71" s="27"/>
      <c r="B71" s="22">
        <v>6</v>
      </c>
      <c r="C71" s="23" t="s">
        <v>113</v>
      </c>
      <c r="D71" s="23" t="s">
        <v>127</v>
      </c>
      <c r="E71" s="57">
        <f>E72+E75+E77+E80+E83+E85</f>
        <v>1067412570</v>
      </c>
      <c r="F71" s="57">
        <f t="shared" ref="F71:H71" si="47">F72+F75+F77+F80+F83+F85</f>
        <v>1067412570</v>
      </c>
      <c r="G71" s="76">
        <f t="shared" ref="G71:G134" si="48">+F71/E71</f>
        <v>1</v>
      </c>
      <c r="H71" s="57">
        <f t="shared" si="47"/>
        <v>1067412570</v>
      </c>
      <c r="I71" s="76">
        <f t="shared" ref="I71:I134" si="49">+H71/E71</f>
        <v>1</v>
      </c>
      <c r="J71" s="30"/>
      <c r="K71" s="57">
        <f>+K72+K75+K77+K80+K83+K85</f>
        <v>122638290.52212769</v>
      </c>
      <c r="L71" s="76">
        <f t="shared" ref="L71:L134" si="50">+K71/F71</f>
        <v>0.11489305444672408</v>
      </c>
      <c r="M71" s="57">
        <f t="shared" ref="M71:Q71" si="51">+M72+M75+M77+M80+M83+M85</f>
        <v>239929497.16699919</v>
      </c>
      <c r="N71" s="76">
        <f t="shared" ref="N71:N134" si="52">+M71/F71</f>
        <v>0.22477672074538077</v>
      </c>
      <c r="O71" s="57">
        <f t="shared" si="51"/>
        <v>280702191.81821078</v>
      </c>
      <c r="P71" s="76">
        <f t="shared" ref="P71:P134" si="53">+O71/F71</f>
        <v>0.26297441093298235</v>
      </c>
      <c r="Q71" s="57">
        <f t="shared" si="51"/>
        <v>424142590.49266231</v>
      </c>
      <c r="R71" s="76">
        <f t="shared" ref="R71:R134" si="54">+Q71/F71</f>
        <v>0.39735581387491276</v>
      </c>
      <c r="S71" s="31"/>
    </row>
    <row r="72" spans="1:19" s="2" customFormat="1" ht="56.25" customHeight="1" x14ac:dyDescent="0.3">
      <c r="A72" s="3"/>
      <c r="B72" s="21">
        <v>11</v>
      </c>
      <c r="C72" s="17" t="s">
        <v>119</v>
      </c>
      <c r="D72" s="17" t="s">
        <v>43</v>
      </c>
      <c r="E72" s="50">
        <f>SUM(E73:E74)</f>
        <v>72201500</v>
      </c>
      <c r="F72" s="50">
        <f t="shared" ref="F72:H72" si="55">SUM(F73:F74)</f>
        <v>72201500</v>
      </c>
      <c r="G72" s="72">
        <f t="shared" si="48"/>
        <v>1</v>
      </c>
      <c r="H72" s="50">
        <f t="shared" si="55"/>
        <v>72201500</v>
      </c>
      <c r="I72" s="72">
        <f t="shared" si="49"/>
        <v>1</v>
      </c>
      <c r="J72" s="28"/>
      <c r="K72" s="51">
        <f>+K73+K74</f>
        <v>3330144.650972622</v>
      </c>
      <c r="L72" s="89">
        <f t="shared" si="50"/>
        <v>4.6122928899989916E-2</v>
      </c>
      <c r="M72" s="51">
        <f t="shared" ref="M72:Q72" si="56">+M73+M74</f>
        <v>2987043.0249563619</v>
      </c>
      <c r="N72" s="89">
        <f t="shared" si="52"/>
        <v>4.1370927542452189E-2</v>
      </c>
      <c r="O72" s="51">
        <f t="shared" si="56"/>
        <v>5926180.6702206284</v>
      </c>
      <c r="P72" s="89">
        <f t="shared" si="53"/>
        <v>8.2078359455421676E-2</v>
      </c>
      <c r="Q72" s="51">
        <f t="shared" si="56"/>
        <v>59958131.653850392</v>
      </c>
      <c r="R72" s="89">
        <f t="shared" si="54"/>
        <v>0.83042778410213625</v>
      </c>
      <c r="S72" s="31"/>
    </row>
    <row r="73" spans="1:19" s="45" customFormat="1" ht="15.6" x14ac:dyDescent="0.3">
      <c r="A73" s="41"/>
      <c r="B73" s="32">
        <v>11</v>
      </c>
      <c r="C73" s="33" t="s">
        <v>119</v>
      </c>
      <c r="D73" s="55" t="s">
        <v>9</v>
      </c>
      <c r="E73" s="56">
        <v>42201500</v>
      </c>
      <c r="F73" s="56">
        <v>42201500</v>
      </c>
      <c r="G73" s="75">
        <f t="shared" si="48"/>
        <v>1</v>
      </c>
      <c r="H73" s="56">
        <v>42201500</v>
      </c>
      <c r="I73" s="75">
        <f t="shared" si="49"/>
        <v>1</v>
      </c>
      <c r="J73" s="42"/>
      <c r="K73" s="46">
        <v>2401711.3821138213</v>
      </c>
      <c r="L73" s="87">
        <f t="shared" si="50"/>
        <v>5.6910569105691061E-2</v>
      </c>
      <c r="M73" s="46">
        <v>2058609.756097561</v>
      </c>
      <c r="N73" s="87">
        <f t="shared" si="52"/>
        <v>4.878048780487805E-2</v>
      </c>
      <c r="O73" s="46">
        <v>3431016.2601626017</v>
      </c>
      <c r="P73" s="87">
        <f t="shared" si="53"/>
        <v>8.1300813008130079E-2</v>
      </c>
      <c r="Q73" s="46">
        <v>34310162.601626016</v>
      </c>
      <c r="R73" s="87">
        <f t="shared" si="54"/>
        <v>0.81300813008130079</v>
      </c>
      <c r="S73" s="44"/>
    </row>
    <row r="74" spans="1:19" s="45" customFormat="1" ht="15.6" x14ac:dyDescent="0.3">
      <c r="A74" s="41"/>
      <c r="B74" s="32">
        <v>11</v>
      </c>
      <c r="C74" s="33" t="s">
        <v>119</v>
      </c>
      <c r="D74" s="55" t="s">
        <v>18</v>
      </c>
      <c r="E74" s="56">
        <v>30000000</v>
      </c>
      <c r="F74" s="56">
        <v>30000000</v>
      </c>
      <c r="G74" s="75">
        <f t="shared" si="48"/>
        <v>1</v>
      </c>
      <c r="H74" s="56">
        <v>30000000</v>
      </c>
      <c r="I74" s="75">
        <f t="shared" si="49"/>
        <v>1</v>
      </c>
      <c r="J74" s="42"/>
      <c r="K74" s="46">
        <v>928433.26885880076</v>
      </c>
      <c r="L74" s="87">
        <f t="shared" si="50"/>
        <v>3.0947775628626693E-2</v>
      </c>
      <c r="M74" s="46">
        <v>928433.26885880076</v>
      </c>
      <c r="N74" s="87">
        <f t="shared" si="52"/>
        <v>3.0947775628626693E-2</v>
      </c>
      <c r="O74" s="46">
        <v>2495164.4100580271</v>
      </c>
      <c r="P74" s="87">
        <f t="shared" si="53"/>
        <v>8.3172147001934232E-2</v>
      </c>
      <c r="Q74" s="46">
        <v>25647969.052224372</v>
      </c>
      <c r="R74" s="87">
        <f t="shared" si="54"/>
        <v>0.85493230174081236</v>
      </c>
      <c r="S74" s="44"/>
    </row>
    <row r="75" spans="1:19" s="2" customFormat="1" ht="43.2" x14ac:dyDescent="0.3">
      <c r="A75" s="3"/>
      <c r="B75" s="21">
        <v>6</v>
      </c>
      <c r="C75" s="17" t="s">
        <v>113</v>
      </c>
      <c r="D75" s="17" t="s">
        <v>44</v>
      </c>
      <c r="E75" s="50">
        <f>SUM(E76)</f>
        <v>23850296</v>
      </c>
      <c r="F75" s="50">
        <f t="shared" ref="F75:H75" si="57">SUM(F76)</f>
        <v>23850296</v>
      </c>
      <c r="G75" s="72">
        <f t="shared" si="48"/>
        <v>1</v>
      </c>
      <c r="H75" s="50">
        <f t="shared" si="57"/>
        <v>23850296</v>
      </c>
      <c r="I75" s="72">
        <f t="shared" si="49"/>
        <v>1</v>
      </c>
      <c r="J75" s="28"/>
      <c r="K75" s="51">
        <f>+K76</f>
        <v>778381.45979084028</v>
      </c>
      <c r="L75" s="89">
        <f t="shared" si="50"/>
        <v>3.2636134150739272E-2</v>
      </c>
      <c r="M75" s="51">
        <f t="shared" ref="M75:Q75" si="58">+M76</f>
        <v>4283248.2538766675</v>
      </c>
      <c r="N75" s="89">
        <f t="shared" si="52"/>
        <v>0.17958889289578073</v>
      </c>
      <c r="O75" s="51">
        <f t="shared" si="58"/>
        <v>7405374.9931482151</v>
      </c>
      <c r="P75" s="89">
        <f t="shared" si="53"/>
        <v>0.31049404976559686</v>
      </c>
      <c r="Q75" s="51">
        <f t="shared" si="58"/>
        <v>11383291.293184277</v>
      </c>
      <c r="R75" s="89">
        <f t="shared" si="54"/>
        <v>0.47728092318788312</v>
      </c>
      <c r="S75" s="31"/>
    </row>
    <row r="76" spans="1:19" s="2" customFormat="1" ht="43.2" x14ac:dyDescent="0.3">
      <c r="A76" s="3"/>
      <c r="B76" s="5">
        <v>6</v>
      </c>
      <c r="C76" s="6" t="s">
        <v>113</v>
      </c>
      <c r="D76" s="16" t="s">
        <v>9</v>
      </c>
      <c r="E76" s="12">
        <v>23850296</v>
      </c>
      <c r="F76" s="12">
        <v>23850296</v>
      </c>
      <c r="G76" s="73">
        <f t="shared" si="48"/>
        <v>1</v>
      </c>
      <c r="H76" s="12">
        <v>23850296</v>
      </c>
      <c r="I76" s="73">
        <f t="shared" si="49"/>
        <v>1</v>
      </c>
      <c r="J76" s="28"/>
      <c r="K76" s="34">
        <v>778381.45979084028</v>
      </c>
      <c r="L76" s="90">
        <f t="shared" si="50"/>
        <v>3.2636134150739272E-2</v>
      </c>
      <c r="M76" s="34">
        <v>4283248.2538766675</v>
      </c>
      <c r="N76" s="90">
        <f t="shared" si="52"/>
        <v>0.17958889289578073</v>
      </c>
      <c r="O76" s="34">
        <v>7405374.9931482151</v>
      </c>
      <c r="P76" s="90">
        <f t="shared" si="53"/>
        <v>0.31049404976559686</v>
      </c>
      <c r="Q76" s="34">
        <v>11383291.293184277</v>
      </c>
      <c r="R76" s="90">
        <f t="shared" si="54"/>
        <v>0.47728092318788312</v>
      </c>
      <c r="S76" s="31"/>
    </row>
    <row r="77" spans="1:19" s="2" customFormat="1" ht="43.2" x14ac:dyDescent="0.3">
      <c r="A77" s="3"/>
      <c r="B77" s="21">
        <v>6</v>
      </c>
      <c r="C77" s="17" t="s">
        <v>113</v>
      </c>
      <c r="D77" s="17" t="s">
        <v>45</v>
      </c>
      <c r="E77" s="50">
        <f>SUM(E78:E79)</f>
        <v>79007667</v>
      </c>
      <c r="F77" s="50">
        <f t="shared" ref="F77:H77" si="59">SUM(F78:F79)</f>
        <v>79007667</v>
      </c>
      <c r="G77" s="72">
        <f t="shared" si="48"/>
        <v>1</v>
      </c>
      <c r="H77" s="50">
        <f t="shared" si="59"/>
        <v>79007667</v>
      </c>
      <c r="I77" s="72">
        <f t="shared" si="49"/>
        <v>1</v>
      </c>
      <c r="J77" s="28"/>
      <c r="K77" s="51">
        <f>+K78+K79</f>
        <v>53367043.455527134</v>
      </c>
      <c r="L77" s="89">
        <f t="shared" si="50"/>
        <v>0.67546664117454747</v>
      </c>
      <c r="M77" s="51">
        <f t="shared" ref="M77:Q77" si="60">+M78+M79</f>
        <v>1977250.3617504975</v>
      </c>
      <c r="N77" s="89">
        <f t="shared" si="52"/>
        <v>2.5026056797127012E-2</v>
      </c>
      <c r="O77" s="51">
        <f t="shared" si="60"/>
        <v>11151392.751349814</v>
      </c>
      <c r="P77" s="89">
        <f t="shared" si="53"/>
        <v>0.14114317223605419</v>
      </c>
      <c r="Q77" s="51">
        <f t="shared" si="60"/>
        <v>12511980.431372549</v>
      </c>
      <c r="R77" s="89">
        <f t="shared" si="54"/>
        <v>0.1583641297922713</v>
      </c>
      <c r="S77" s="31"/>
    </row>
    <row r="78" spans="1:19" s="2" customFormat="1" ht="43.2" x14ac:dyDescent="0.3">
      <c r="A78" s="3"/>
      <c r="B78" s="5">
        <v>6</v>
      </c>
      <c r="C78" s="6" t="s">
        <v>113</v>
      </c>
      <c r="D78" s="16" t="s">
        <v>9</v>
      </c>
      <c r="E78" s="12">
        <v>64092667</v>
      </c>
      <c r="F78" s="12">
        <v>64092667</v>
      </c>
      <c r="G78" s="73">
        <f t="shared" si="48"/>
        <v>1</v>
      </c>
      <c r="H78" s="12">
        <v>64092667</v>
      </c>
      <c r="I78" s="73">
        <f t="shared" si="49"/>
        <v>1</v>
      </c>
      <c r="J78" s="28"/>
      <c r="K78" s="34">
        <v>50268758.431372546</v>
      </c>
      <c r="L78" s="90">
        <f t="shared" si="50"/>
        <v>0.78431372549019607</v>
      </c>
      <c r="M78" s="34">
        <v>1256718.9607843137</v>
      </c>
      <c r="N78" s="90">
        <f t="shared" si="52"/>
        <v>1.9607843137254902E-2</v>
      </c>
      <c r="O78" s="34">
        <v>5026875.8431372549</v>
      </c>
      <c r="P78" s="90">
        <f t="shared" si="53"/>
        <v>7.8431372549019607E-2</v>
      </c>
      <c r="Q78" s="34">
        <v>7540313.7647058824</v>
      </c>
      <c r="R78" s="90">
        <f t="shared" si="54"/>
        <v>0.11764705882352941</v>
      </c>
      <c r="S78" s="31"/>
    </row>
    <row r="79" spans="1:19" s="2" customFormat="1" ht="43.2" x14ac:dyDescent="0.3">
      <c r="A79" s="3"/>
      <c r="B79" s="5">
        <v>6</v>
      </c>
      <c r="C79" s="6" t="s">
        <v>113</v>
      </c>
      <c r="D79" s="16" t="s">
        <v>18</v>
      </c>
      <c r="E79" s="12">
        <v>14915000</v>
      </c>
      <c r="F79" s="12">
        <v>14915000</v>
      </c>
      <c r="G79" s="73">
        <f t="shared" si="48"/>
        <v>1</v>
      </c>
      <c r="H79" s="12">
        <v>14915000</v>
      </c>
      <c r="I79" s="73">
        <f t="shared" si="49"/>
        <v>1</v>
      </c>
      <c r="J79" s="28"/>
      <c r="K79" s="34">
        <v>3098285.0241545895</v>
      </c>
      <c r="L79" s="90">
        <f t="shared" si="50"/>
        <v>0.20772946859903382</v>
      </c>
      <c r="M79" s="34">
        <v>720531.40096618363</v>
      </c>
      <c r="N79" s="90">
        <f t="shared" si="52"/>
        <v>4.8309178743961359E-2</v>
      </c>
      <c r="O79" s="34">
        <v>6124516.9082125602</v>
      </c>
      <c r="P79" s="90">
        <f t="shared" si="53"/>
        <v>0.41062801932367149</v>
      </c>
      <c r="Q79" s="34">
        <v>4971666.666666667</v>
      </c>
      <c r="R79" s="90">
        <f t="shared" si="54"/>
        <v>0.33333333333333337</v>
      </c>
      <c r="S79" s="31"/>
    </row>
    <row r="80" spans="1:19" s="2" customFormat="1" ht="43.2" x14ac:dyDescent="0.3">
      <c r="A80" s="3"/>
      <c r="B80" s="21">
        <v>6</v>
      </c>
      <c r="C80" s="17" t="s">
        <v>113</v>
      </c>
      <c r="D80" s="17" t="s">
        <v>46</v>
      </c>
      <c r="E80" s="50">
        <f>SUM(E81:E82)</f>
        <v>686028071</v>
      </c>
      <c r="F80" s="50">
        <f t="shared" ref="F80:H80" si="61">SUM(F81:F82)</f>
        <v>686028071</v>
      </c>
      <c r="G80" s="72">
        <f t="shared" si="48"/>
        <v>1</v>
      </c>
      <c r="H80" s="50">
        <f t="shared" si="61"/>
        <v>686028071</v>
      </c>
      <c r="I80" s="72">
        <f t="shared" si="49"/>
        <v>1</v>
      </c>
      <c r="J80" s="28"/>
      <c r="K80" s="51">
        <f>+K81+K82</f>
        <v>62052426.838190041</v>
      </c>
      <c r="L80" s="89">
        <f t="shared" si="50"/>
        <v>9.0451731439703781E-2</v>
      </c>
      <c r="M80" s="51">
        <f t="shared" ref="M80:Q80" si="62">+M81+M82</f>
        <v>212072312.19130933</v>
      </c>
      <c r="N80" s="89">
        <f t="shared" si="52"/>
        <v>0.30913066265958866</v>
      </c>
      <c r="O80" s="51">
        <f t="shared" si="62"/>
        <v>120749932.3700667</v>
      </c>
      <c r="P80" s="89">
        <f t="shared" si="53"/>
        <v>0.17601310715180152</v>
      </c>
      <c r="Q80" s="51">
        <f t="shared" si="62"/>
        <v>291153399.60043389</v>
      </c>
      <c r="R80" s="89">
        <f t="shared" si="54"/>
        <v>0.42440449874890601</v>
      </c>
      <c r="S80" s="31"/>
    </row>
    <row r="81" spans="1:19" s="2" customFormat="1" ht="43.2" x14ac:dyDescent="0.3">
      <c r="A81" s="3"/>
      <c r="B81" s="5">
        <v>6</v>
      </c>
      <c r="C81" s="6" t="s">
        <v>113</v>
      </c>
      <c r="D81" s="16" t="s">
        <v>9</v>
      </c>
      <c r="E81" s="12">
        <v>396163539</v>
      </c>
      <c r="F81" s="12">
        <v>396163539</v>
      </c>
      <c r="G81" s="73">
        <f t="shared" si="48"/>
        <v>1</v>
      </c>
      <c r="H81" s="12">
        <v>396163539</v>
      </c>
      <c r="I81" s="73">
        <f t="shared" si="49"/>
        <v>1</v>
      </c>
      <c r="J81" s="28"/>
      <c r="K81" s="34">
        <v>40878976.728621013</v>
      </c>
      <c r="L81" s="90">
        <f t="shared" si="50"/>
        <v>0.10318712527611233</v>
      </c>
      <c r="M81" s="34">
        <v>114886176.1883875</v>
      </c>
      <c r="N81" s="90">
        <f t="shared" si="52"/>
        <v>0.28999684443041968</v>
      </c>
      <c r="O81" s="34">
        <v>65381360.333543703</v>
      </c>
      <c r="P81" s="90">
        <f t="shared" si="53"/>
        <v>0.16503628905017356</v>
      </c>
      <c r="Q81" s="34">
        <v>175017025.74944776</v>
      </c>
      <c r="R81" s="90">
        <f t="shared" si="54"/>
        <v>0.44177974124329439</v>
      </c>
      <c r="S81" s="31"/>
    </row>
    <row r="82" spans="1:19" s="2" customFormat="1" ht="43.2" x14ac:dyDescent="0.3">
      <c r="A82" s="3"/>
      <c r="B82" s="5">
        <v>6</v>
      </c>
      <c r="C82" s="6" t="s">
        <v>113</v>
      </c>
      <c r="D82" s="16" t="s">
        <v>18</v>
      </c>
      <c r="E82" s="12">
        <v>289864532</v>
      </c>
      <c r="F82" s="12">
        <v>289864532</v>
      </c>
      <c r="G82" s="73">
        <f t="shared" si="48"/>
        <v>1</v>
      </c>
      <c r="H82" s="12">
        <v>289864532</v>
      </c>
      <c r="I82" s="73">
        <f t="shared" si="49"/>
        <v>1</v>
      </c>
      <c r="J82" s="28"/>
      <c r="K82" s="34">
        <v>21173450.109569028</v>
      </c>
      <c r="L82" s="90">
        <f t="shared" si="50"/>
        <v>7.3046018991964931E-2</v>
      </c>
      <c r="M82" s="34">
        <v>97186136.002921835</v>
      </c>
      <c r="N82" s="90">
        <f t="shared" si="52"/>
        <v>0.33528122717311903</v>
      </c>
      <c r="O82" s="34">
        <v>55368572.036523007</v>
      </c>
      <c r="P82" s="90">
        <f t="shared" si="53"/>
        <v>0.19101533966398831</v>
      </c>
      <c r="Q82" s="34">
        <v>116136373.85098612</v>
      </c>
      <c r="R82" s="90">
        <f t="shared" si="54"/>
        <v>0.40065741417092771</v>
      </c>
      <c r="S82" s="31"/>
    </row>
    <row r="83" spans="1:19" s="2" customFormat="1" ht="43.2" x14ac:dyDescent="0.3">
      <c r="A83" s="3"/>
      <c r="B83" s="47">
        <v>6</v>
      </c>
      <c r="C83" s="48" t="s">
        <v>113</v>
      </c>
      <c r="D83" s="48" t="s">
        <v>47</v>
      </c>
      <c r="E83" s="58">
        <f>E84</f>
        <v>18000000</v>
      </c>
      <c r="F83" s="58">
        <f t="shared" ref="F83:H83" si="63">F84</f>
        <v>18000000</v>
      </c>
      <c r="G83" s="77">
        <f t="shared" si="48"/>
        <v>1</v>
      </c>
      <c r="H83" s="58">
        <f t="shared" si="63"/>
        <v>18000000</v>
      </c>
      <c r="I83" s="77">
        <f t="shared" si="49"/>
        <v>1</v>
      </c>
      <c r="J83" s="28"/>
      <c r="K83" s="51">
        <f>+K84</f>
        <v>3110294.1176470588</v>
      </c>
      <c r="L83" s="89">
        <f t="shared" si="50"/>
        <v>0.17279411764705882</v>
      </c>
      <c r="M83" s="51">
        <f t="shared" ref="M83:Q83" si="64">+M84</f>
        <v>6832720.5882352944</v>
      </c>
      <c r="N83" s="89">
        <f t="shared" si="52"/>
        <v>0.37959558823529416</v>
      </c>
      <c r="O83" s="51">
        <f t="shared" si="64"/>
        <v>3292279.411764706</v>
      </c>
      <c r="P83" s="89">
        <f t="shared" si="53"/>
        <v>0.1829044117647059</v>
      </c>
      <c r="Q83" s="51">
        <f t="shared" si="64"/>
        <v>4764705.8823529407</v>
      </c>
      <c r="R83" s="89">
        <f t="shared" si="54"/>
        <v>0.26470588235294118</v>
      </c>
      <c r="S83" s="31"/>
    </row>
    <row r="84" spans="1:19" s="45" customFormat="1" ht="43.2" x14ac:dyDescent="0.3">
      <c r="A84" s="41"/>
      <c r="B84" s="32">
        <v>6</v>
      </c>
      <c r="C84" s="33" t="s">
        <v>113</v>
      </c>
      <c r="D84" s="55" t="s">
        <v>9</v>
      </c>
      <c r="E84" s="56">
        <v>18000000</v>
      </c>
      <c r="F84" s="56">
        <v>18000000</v>
      </c>
      <c r="G84" s="75">
        <f t="shared" si="48"/>
        <v>1</v>
      </c>
      <c r="H84" s="56">
        <v>18000000</v>
      </c>
      <c r="I84" s="75">
        <f t="shared" si="49"/>
        <v>1</v>
      </c>
      <c r="J84" s="42"/>
      <c r="K84" s="46">
        <v>3110294.1176470588</v>
      </c>
      <c r="L84" s="87">
        <f t="shared" si="50"/>
        <v>0.17279411764705882</v>
      </c>
      <c r="M84" s="46">
        <v>6832720.5882352944</v>
      </c>
      <c r="N84" s="87">
        <f t="shared" si="52"/>
        <v>0.37959558823529416</v>
      </c>
      <c r="O84" s="46">
        <v>3292279.411764706</v>
      </c>
      <c r="P84" s="87">
        <f t="shared" si="53"/>
        <v>0.1829044117647059</v>
      </c>
      <c r="Q84" s="46">
        <v>4764705.8823529407</v>
      </c>
      <c r="R84" s="87">
        <f t="shared" si="54"/>
        <v>0.26470588235294118</v>
      </c>
      <c r="S84" s="44"/>
    </row>
    <row r="85" spans="1:19" s="2" customFormat="1" ht="43.2" x14ac:dyDescent="0.3">
      <c r="A85" s="3"/>
      <c r="B85" s="47">
        <v>6</v>
      </c>
      <c r="C85" s="48" t="s">
        <v>113</v>
      </c>
      <c r="D85" s="48" t="s">
        <v>48</v>
      </c>
      <c r="E85" s="58">
        <f>E86</f>
        <v>188325036</v>
      </c>
      <c r="F85" s="58">
        <f t="shared" ref="F85:H85" si="65">F86</f>
        <v>188325036</v>
      </c>
      <c r="G85" s="77">
        <f t="shared" si="48"/>
        <v>1</v>
      </c>
      <c r="H85" s="58">
        <f t="shared" si="65"/>
        <v>188325036</v>
      </c>
      <c r="I85" s="77">
        <f t="shared" si="49"/>
        <v>1</v>
      </c>
      <c r="J85" s="28"/>
      <c r="K85" s="51">
        <f>+K86</f>
        <v>0</v>
      </c>
      <c r="L85" s="89">
        <f t="shared" si="50"/>
        <v>0</v>
      </c>
      <c r="M85" s="51">
        <f t="shared" ref="M85:Q85" si="66">+M86</f>
        <v>11776922.746871065</v>
      </c>
      <c r="N85" s="89">
        <f t="shared" si="52"/>
        <v>6.2535088254920421E-2</v>
      </c>
      <c r="O85" s="51">
        <f t="shared" si="66"/>
        <v>132177031.62166069</v>
      </c>
      <c r="P85" s="89">
        <f t="shared" si="53"/>
        <v>0.70185586807300915</v>
      </c>
      <c r="Q85" s="51">
        <f t="shared" si="66"/>
        <v>44371081.631468229</v>
      </c>
      <c r="R85" s="89">
        <f t="shared" si="54"/>
        <v>0.23560904367207039</v>
      </c>
      <c r="S85" s="31"/>
    </row>
    <row r="86" spans="1:19" s="45" customFormat="1" ht="43.2" x14ac:dyDescent="0.3">
      <c r="A86" s="41"/>
      <c r="B86" s="32">
        <v>6</v>
      </c>
      <c r="C86" s="33" t="s">
        <v>113</v>
      </c>
      <c r="D86" s="55" t="s">
        <v>9</v>
      </c>
      <c r="E86" s="56">
        <v>188325036</v>
      </c>
      <c r="F86" s="56">
        <v>188325036</v>
      </c>
      <c r="G86" s="75">
        <f t="shared" si="48"/>
        <v>1</v>
      </c>
      <c r="H86" s="56">
        <v>188325036</v>
      </c>
      <c r="I86" s="75">
        <f t="shared" si="49"/>
        <v>1</v>
      </c>
      <c r="J86" s="42"/>
      <c r="K86" s="46"/>
      <c r="L86" s="87">
        <f t="shared" si="50"/>
        <v>0</v>
      </c>
      <c r="M86" s="46">
        <v>11776922.746871065</v>
      </c>
      <c r="N86" s="87">
        <f t="shared" si="52"/>
        <v>6.2535088254920421E-2</v>
      </c>
      <c r="O86" s="46">
        <v>132177031.62166069</v>
      </c>
      <c r="P86" s="87">
        <f t="shared" si="53"/>
        <v>0.70185586807300915</v>
      </c>
      <c r="Q86" s="46">
        <v>44371081.631468229</v>
      </c>
      <c r="R86" s="87">
        <f t="shared" si="54"/>
        <v>0.23560904367207039</v>
      </c>
      <c r="S86" s="44"/>
    </row>
    <row r="87" spans="1:19" s="9" customFormat="1" ht="25.5" customHeight="1" x14ac:dyDescent="0.3">
      <c r="A87" s="26"/>
      <c r="B87" s="19">
        <v>1</v>
      </c>
      <c r="C87" s="14" t="s">
        <v>114</v>
      </c>
      <c r="D87" s="14" t="s">
        <v>128</v>
      </c>
      <c r="E87" s="11">
        <f>E88+E91+E94+E96+E98+E100+E105+E115+E117+E119+E121+E123+E125+E127+E130+E133+E135+E137+E139+E145+E147+E149+E151+E154+E157+E160+E165</f>
        <v>29960074511</v>
      </c>
      <c r="F87" s="11">
        <f t="shared" ref="F87:H87" si="67">F88+F91+F94+F96+F98+F100+F105+F115+F117+F119+F121+F123+F125+F127+F130+F133+F135+F137+F139+F145+F147+F149+F151+F154+F157+F160+F165</f>
        <v>29960074511</v>
      </c>
      <c r="G87" s="71">
        <f t="shared" si="48"/>
        <v>1</v>
      </c>
      <c r="H87" s="11">
        <f t="shared" si="67"/>
        <v>29960074511</v>
      </c>
      <c r="I87" s="71">
        <f t="shared" si="49"/>
        <v>1</v>
      </c>
      <c r="J87" s="29"/>
      <c r="K87" s="11">
        <f>+K88+K91+K94+K96+K98+K100+K105+K115+K117+K119+K121+K123+K125+K127+K130+K133+K135+K137+K139+K145+K147+K149+K151+K154+K157+K160+K165</f>
        <v>2413583030.5011091</v>
      </c>
      <c r="L87" s="71">
        <f t="shared" si="50"/>
        <v>8.0559980904418294E-2</v>
      </c>
      <c r="M87" s="11">
        <f>+M88+M91+M94+M96+M98+M100+M105+M115+M117+M119+M121+M123+M125+M127+M130+M133+M135+M137+M139+M145+M147+M149+M151+M154+M157+M160+M165</f>
        <v>2182836600.6327772</v>
      </c>
      <c r="N87" s="71">
        <f t="shared" si="52"/>
        <v>7.2858183307632871E-2</v>
      </c>
      <c r="O87" s="11">
        <f t="shared" ref="O87:Q87" si="68">+O88+O91+O94+O96+O98+O100+O105+O115+O117+O119+O121+O123+O125+O127+O130+O133+O135+O137+O139+O145+O147+O149+O151+O154+O157+O160+O165</f>
        <v>2405734543.9397383</v>
      </c>
      <c r="P87" s="71">
        <f t="shared" si="53"/>
        <v>8.0298016049875312E-2</v>
      </c>
      <c r="Q87" s="11">
        <f t="shared" si="68"/>
        <v>22957920335.926369</v>
      </c>
      <c r="R87" s="71">
        <f t="shared" si="54"/>
        <v>0.76628381973807336</v>
      </c>
      <c r="S87" s="31"/>
    </row>
    <row r="88" spans="1:19" s="2" customFormat="1" ht="25.5" customHeight="1" x14ac:dyDescent="0.3">
      <c r="A88" s="3"/>
      <c r="B88" s="52">
        <v>1</v>
      </c>
      <c r="C88" s="53" t="s">
        <v>114</v>
      </c>
      <c r="D88" s="17" t="s">
        <v>49</v>
      </c>
      <c r="E88" s="50">
        <f>SUM(E89:E90)</f>
        <v>27916233</v>
      </c>
      <c r="F88" s="50">
        <f t="shared" ref="F88:H88" si="69">SUM(F89:F90)</f>
        <v>27916233</v>
      </c>
      <c r="G88" s="72">
        <f t="shared" si="48"/>
        <v>1</v>
      </c>
      <c r="H88" s="50">
        <f t="shared" si="69"/>
        <v>27916233</v>
      </c>
      <c r="I88" s="72">
        <f t="shared" si="49"/>
        <v>1</v>
      </c>
      <c r="J88" s="28"/>
      <c r="K88" s="51">
        <f>+K89+K90</f>
        <v>2261214.8730000001</v>
      </c>
      <c r="L88" s="89">
        <f t="shared" si="50"/>
        <v>8.1000000000000003E-2</v>
      </c>
      <c r="M88" s="51">
        <f t="shared" ref="M88:Q88" si="70">+M89+M90</f>
        <v>2009968.7760000001</v>
      </c>
      <c r="N88" s="89">
        <f t="shared" si="52"/>
        <v>7.2000000000000008E-2</v>
      </c>
      <c r="O88" s="51">
        <f t="shared" si="70"/>
        <v>2177466.1740000001</v>
      </c>
      <c r="P88" s="89">
        <f t="shared" si="53"/>
        <v>7.8E-2</v>
      </c>
      <c r="Q88" s="51">
        <f t="shared" si="70"/>
        <v>21467583.177000001</v>
      </c>
      <c r="R88" s="89">
        <f t="shared" si="54"/>
        <v>0.76900000000000002</v>
      </c>
      <c r="S88" s="31"/>
    </row>
    <row r="89" spans="1:19" s="2" customFormat="1" ht="26.25" customHeight="1" x14ac:dyDescent="0.3">
      <c r="A89" s="3"/>
      <c r="B89" s="5">
        <v>1</v>
      </c>
      <c r="C89" s="6" t="s">
        <v>114</v>
      </c>
      <c r="D89" s="16" t="s">
        <v>50</v>
      </c>
      <c r="E89" s="12">
        <v>18960000</v>
      </c>
      <c r="F89" s="12">
        <v>18960000</v>
      </c>
      <c r="G89" s="73">
        <f t="shared" si="48"/>
        <v>1</v>
      </c>
      <c r="H89" s="12">
        <v>18960000</v>
      </c>
      <c r="I89" s="73">
        <f t="shared" si="49"/>
        <v>1</v>
      </c>
      <c r="J89" s="28"/>
      <c r="K89" s="34">
        <v>1535760</v>
      </c>
      <c r="L89" s="90">
        <f t="shared" si="50"/>
        <v>8.1000000000000003E-2</v>
      </c>
      <c r="M89" s="34">
        <v>1365120</v>
      </c>
      <c r="N89" s="90">
        <f t="shared" si="52"/>
        <v>7.1999999999999995E-2</v>
      </c>
      <c r="O89" s="34">
        <v>1478880</v>
      </c>
      <c r="P89" s="90">
        <f t="shared" si="53"/>
        <v>7.8E-2</v>
      </c>
      <c r="Q89" s="34">
        <v>14580240</v>
      </c>
      <c r="R89" s="90">
        <f t="shared" si="54"/>
        <v>0.76900000000000002</v>
      </c>
      <c r="S89" s="31"/>
    </row>
    <row r="90" spans="1:19" s="45" customFormat="1" ht="28.8" x14ac:dyDescent="0.3">
      <c r="A90" s="41"/>
      <c r="B90" s="32">
        <v>1</v>
      </c>
      <c r="C90" s="33" t="s">
        <v>114</v>
      </c>
      <c r="D90" s="55" t="s">
        <v>51</v>
      </c>
      <c r="E90" s="56">
        <v>8956233</v>
      </c>
      <c r="F90" s="56">
        <v>8956233</v>
      </c>
      <c r="G90" s="75">
        <f t="shared" si="48"/>
        <v>1</v>
      </c>
      <c r="H90" s="56">
        <v>8956233</v>
      </c>
      <c r="I90" s="75">
        <f t="shared" si="49"/>
        <v>1</v>
      </c>
      <c r="J90" s="42"/>
      <c r="K90" s="46">
        <f>+F90*8.1%</f>
        <v>725454.87300000002</v>
      </c>
      <c r="L90" s="87">
        <f t="shared" si="50"/>
        <v>8.1000000000000003E-2</v>
      </c>
      <c r="M90" s="46">
        <f>+F90*7.2%</f>
        <v>644848.77600000007</v>
      </c>
      <c r="N90" s="87">
        <f t="shared" si="52"/>
        <v>7.2000000000000008E-2</v>
      </c>
      <c r="O90" s="46">
        <f>+F90*7.8%</f>
        <v>698586.174</v>
      </c>
      <c r="P90" s="87">
        <f t="shared" si="53"/>
        <v>7.8E-2</v>
      </c>
      <c r="Q90" s="46">
        <f>+F90*76.9%</f>
        <v>6887343.1770000001</v>
      </c>
      <c r="R90" s="87">
        <f t="shared" si="54"/>
        <v>0.76900000000000002</v>
      </c>
      <c r="S90" s="44"/>
    </row>
    <row r="91" spans="1:19" s="2" customFormat="1" ht="15.6" x14ac:dyDescent="0.3">
      <c r="A91" s="3"/>
      <c r="B91" s="24">
        <v>11</v>
      </c>
      <c r="C91" s="25" t="s">
        <v>119</v>
      </c>
      <c r="D91" s="25" t="s">
        <v>52</v>
      </c>
      <c r="E91" s="50">
        <f>SUM(E92:E93)</f>
        <v>96470000</v>
      </c>
      <c r="F91" s="50">
        <f t="shared" ref="F91:H91" si="71">SUM(F92:F93)</f>
        <v>96470000</v>
      </c>
      <c r="G91" s="72">
        <f t="shared" si="48"/>
        <v>1</v>
      </c>
      <c r="H91" s="50">
        <f t="shared" si="71"/>
        <v>96470000</v>
      </c>
      <c r="I91" s="72">
        <f t="shared" si="49"/>
        <v>1</v>
      </c>
      <c r="J91" s="28"/>
      <c r="K91" s="51">
        <f>+K92+K93</f>
        <v>7814070</v>
      </c>
      <c r="L91" s="89">
        <f t="shared" si="50"/>
        <v>8.1000000000000003E-2</v>
      </c>
      <c r="M91" s="51">
        <f t="shared" ref="M91:Q91" si="72">+M92+M93</f>
        <v>6945840</v>
      </c>
      <c r="N91" s="89">
        <f t="shared" si="52"/>
        <v>7.1999999999999995E-2</v>
      </c>
      <c r="O91" s="51">
        <f t="shared" si="72"/>
        <v>7524660</v>
      </c>
      <c r="P91" s="89">
        <f t="shared" si="53"/>
        <v>7.8E-2</v>
      </c>
      <c r="Q91" s="51">
        <f t="shared" si="72"/>
        <v>74185430</v>
      </c>
      <c r="R91" s="89">
        <f t="shared" si="54"/>
        <v>0.76900000000000002</v>
      </c>
      <c r="S91" s="31"/>
    </row>
    <row r="92" spans="1:19" s="45" customFormat="1" ht="15.6" x14ac:dyDescent="0.3">
      <c r="A92" s="41"/>
      <c r="B92" s="32">
        <v>11</v>
      </c>
      <c r="C92" s="33" t="s">
        <v>119</v>
      </c>
      <c r="D92" s="55" t="s">
        <v>50</v>
      </c>
      <c r="E92" s="56">
        <v>81470000</v>
      </c>
      <c r="F92" s="56">
        <v>81470000</v>
      </c>
      <c r="G92" s="75">
        <f t="shared" si="48"/>
        <v>1</v>
      </c>
      <c r="H92" s="56">
        <v>81470000</v>
      </c>
      <c r="I92" s="75">
        <f t="shared" si="49"/>
        <v>1</v>
      </c>
      <c r="J92" s="42"/>
      <c r="K92" s="46">
        <v>6599070</v>
      </c>
      <c r="L92" s="87">
        <f t="shared" si="50"/>
        <v>8.1000000000000003E-2</v>
      </c>
      <c r="M92" s="46">
        <v>5865840</v>
      </c>
      <c r="N92" s="87">
        <f t="shared" si="52"/>
        <v>7.1999999999999995E-2</v>
      </c>
      <c r="O92" s="46">
        <v>6354660</v>
      </c>
      <c r="P92" s="87">
        <f t="shared" si="53"/>
        <v>7.8E-2</v>
      </c>
      <c r="Q92" s="46">
        <v>62650430</v>
      </c>
      <c r="R92" s="87">
        <f t="shared" si="54"/>
        <v>0.76900000000000002</v>
      </c>
      <c r="S92" s="44"/>
    </row>
    <row r="93" spans="1:19" s="45" customFormat="1" ht="15.6" x14ac:dyDescent="0.3">
      <c r="A93" s="41"/>
      <c r="B93" s="32">
        <v>11</v>
      </c>
      <c r="C93" s="33" t="s">
        <v>119</v>
      </c>
      <c r="D93" s="55" t="s">
        <v>9</v>
      </c>
      <c r="E93" s="56">
        <v>15000000</v>
      </c>
      <c r="F93" s="56">
        <v>15000000</v>
      </c>
      <c r="G93" s="75">
        <f t="shared" si="48"/>
        <v>1</v>
      </c>
      <c r="H93" s="56">
        <v>15000000</v>
      </c>
      <c r="I93" s="75">
        <f t="shared" si="49"/>
        <v>1</v>
      </c>
      <c r="J93" s="42"/>
      <c r="K93" s="46">
        <f>+F93*8.1%</f>
        <v>1215000</v>
      </c>
      <c r="L93" s="87">
        <f t="shared" si="50"/>
        <v>8.1000000000000003E-2</v>
      </c>
      <c r="M93" s="46">
        <f>+F93*7.2%</f>
        <v>1080000.0000000002</v>
      </c>
      <c r="N93" s="87">
        <f t="shared" si="52"/>
        <v>7.2000000000000022E-2</v>
      </c>
      <c r="O93" s="46">
        <f>+F93*7.8%</f>
        <v>1170000</v>
      </c>
      <c r="P93" s="87">
        <f t="shared" si="53"/>
        <v>7.8E-2</v>
      </c>
      <c r="Q93" s="46">
        <f>+F93*76.9%</f>
        <v>11535000</v>
      </c>
      <c r="R93" s="87">
        <f t="shared" si="54"/>
        <v>0.76900000000000002</v>
      </c>
      <c r="S93" s="44"/>
    </row>
    <row r="94" spans="1:19" s="2" customFormat="1" ht="15.6" x14ac:dyDescent="0.3">
      <c r="A94" s="3"/>
      <c r="B94" s="21">
        <v>11</v>
      </c>
      <c r="C94" s="17" t="s">
        <v>119</v>
      </c>
      <c r="D94" s="17" t="s">
        <v>53</v>
      </c>
      <c r="E94" s="50">
        <f>SUM(E95)</f>
        <v>42988636</v>
      </c>
      <c r="F94" s="50">
        <f t="shared" ref="F94:H94" si="73">SUM(F95)</f>
        <v>42988636</v>
      </c>
      <c r="G94" s="72">
        <f t="shared" si="48"/>
        <v>1</v>
      </c>
      <c r="H94" s="50">
        <f t="shared" si="73"/>
        <v>42988636</v>
      </c>
      <c r="I94" s="72">
        <f t="shared" si="49"/>
        <v>1</v>
      </c>
      <c r="J94" s="28"/>
      <c r="K94" s="51">
        <f>+K95</f>
        <v>3482079.5160000003</v>
      </c>
      <c r="L94" s="89">
        <f t="shared" si="50"/>
        <v>8.1000000000000003E-2</v>
      </c>
      <c r="M94" s="51">
        <f t="shared" ref="M94:Q94" si="74">+M95</f>
        <v>3095181.7919999999</v>
      </c>
      <c r="N94" s="89">
        <f t="shared" si="52"/>
        <v>7.1999999999999995E-2</v>
      </c>
      <c r="O94" s="51">
        <f t="shared" si="74"/>
        <v>3353113.608</v>
      </c>
      <c r="P94" s="89">
        <f t="shared" si="53"/>
        <v>7.8E-2</v>
      </c>
      <c r="Q94" s="51">
        <f t="shared" si="74"/>
        <v>33058261.083999999</v>
      </c>
      <c r="R94" s="89">
        <f t="shared" si="54"/>
        <v>0.76900000000000002</v>
      </c>
      <c r="S94" s="31"/>
    </row>
    <row r="95" spans="1:19" s="45" customFormat="1" ht="15.6" x14ac:dyDescent="0.3">
      <c r="A95" s="41"/>
      <c r="B95" s="32">
        <v>11</v>
      </c>
      <c r="C95" s="33" t="s">
        <v>119</v>
      </c>
      <c r="D95" s="55" t="s">
        <v>50</v>
      </c>
      <c r="E95" s="56">
        <v>42988636</v>
      </c>
      <c r="F95" s="56">
        <v>42988636</v>
      </c>
      <c r="G95" s="75">
        <f t="shared" si="48"/>
        <v>1</v>
      </c>
      <c r="H95" s="56">
        <v>42988636</v>
      </c>
      <c r="I95" s="75">
        <f t="shared" si="49"/>
        <v>1</v>
      </c>
      <c r="J95" s="42"/>
      <c r="K95" s="46">
        <v>3482079.5160000003</v>
      </c>
      <c r="L95" s="87">
        <f t="shared" si="50"/>
        <v>8.1000000000000003E-2</v>
      </c>
      <c r="M95" s="46">
        <v>3095181.7919999999</v>
      </c>
      <c r="N95" s="87">
        <f t="shared" si="52"/>
        <v>7.1999999999999995E-2</v>
      </c>
      <c r="O95" s="46">
        <v>3353113.608</v>
      </c>
      <c r="P95" s="87">
        <f t="shared" si="53"/>
        <v>7.8E-2</v>
      </c>
      <c r="Q95" s="46">
        <v>33058261.083999999</v>
      </c>
      <c r="R95" s="87">
        <f t="shared" si="54"/>
        <v>0.76900000000000002</v>
      </c>
      <c r="S95" s="44"/>
    </row>
    <row r="96" spans="1:19" s="2" customFormat="1" ht="15.6" x14ac:dyDescent="0.3">
      <c r="A96" s="3"/>
      <c r="B96" s="21">
        <v>11</v>
      </c>
      <c r="C96" s="17" t="s">
        <v>119</v>
      </c>
      <c r="D96" s="17" t="s">
        <v>54</v>
      </c>
      <c r="E96" s="50">
        <f>SUM(E97)</f>
        <v>460817165</v>
      </c>
      <c r="F96" s="50">
        <f t="shared" ref="F96:H96" si="75">SUM(F97)</f>
        <v>460817165</v>
      </c>
      <c r="G96" s="72">
        <f t="shared" si="48"/>
        <v>1</v>
      </c>
      <c r="H96" s="50">
        <f t="shared" si="75"/>
        <v>460817165</v>
      </c>
      <c r="I96" s="72">
        <f t="shared" si="49"/>
        <v>1</v>
      </c>
      <c r="J96" s="28"/>
      <c r="K96" s="51">
        <f>+K97</f>
        <v>37326190.365000002</v>
      </c>
      <c r="L96" s="89">
        <f t="shared" si="50"/>
        <v>8.1000000000000003E-2</v>
      </c>
      <c r="M96" s="51">
        <f t="shared" ref="M96:Q96" si="76">+M97</f>
        <v>33178835.879999999</v>
      </c>
      <c r="N96" s="89">
        <f t="shared" si="52"/>
        <v>7.1999999999999995E-2</v>
      </c>
      <c r="O96" s="51">
        <f t="shared" si="76"/>
        <v>35943738.869999997</v>
      </c>
      <c r="P96" s="89">
        <f t="shared" si="53"/>
        <v>7.8E-2</v>
      </c>
      <c r="Q96" s="51">
        <f t="shared" si="76"/>
        <v>354368399.88499999</v>
      </c>
      <c r="R96" s="89">
        <f t="shared" si="54"/>
        <v>0.76900000000000002</v>
      </c>
      <c r="S96" s="31"/>
    </row>
    <row r="97" spans="1:19" s="45" customFormat="1" ht="15.6" x14ac:dyDescent="0.3">
      <c r="A97" s="41"/>
      <c r="B97" s="32">
        <v>11</v>
      </c>
      <c r="C97" s="33" t="s">
        <v>119</v>
      </c>
      <c r="D97" s="55" t="s">
        <v>50</v>
      </c>
      <c r="E97" s="56">
        <v>460817165</v>
      </c>
      <c r="F97" s="56">
        <v>460817165</v>
      </c>
      <c r="G97" s="75">
        <f t="shared" si="48"/>
        <v>1</v>
      </c>
      <c r="H97" s="56">
        <v>460817165</v>
      </c>
      <c r="I97" s="75">
        <f t="shared" si="49"/>
        <v>1</v>
      </c>
      <c r="J97" s="42"/>
      <c r="K97" s="46">
        <v>37326190.365000002</v>
      </c>
      <c r="L97" s="87">
        <f t="shared" si="50"/>
        <v>8.1000000000000003E-2</v>
      </c>
      <c r="M97" s="46">
        <v>33178835.879999999</v>
      </c>
      <c r="N97" s="87">
        <f t="shared" si="52"/>
        <v>7.1999999999999995E-2</v>
      </c>
      <c r="O97" s="46">
        <v>35943738.869999997</v>
      </c>
      <c r="P97" s="87">
        <f t="shared" si="53"/>
        <v>7.8E-2</v>
      </c>
      <c r="Q97" s="46">
        <v>354368399.88499999</v>
      </c>
      <c r="R97" s="87">
        <f t="shared" si="54"/>
        <v>0.76900000000000002</v>
      </c>
      <c r="S97" s="44"/>
    </row>
    <row r="98" spans="1:19" s="2" customFormat="1" ht="28.8" x14ac:dyDescent="0.3">
      <c r="A98" s="3"/>
      <c r="B98" s="21">
        <v>1</v>
      </c>
      <c r="C98" s="17" t="s">
        <v>114</v>
      </c>
      <c r="D98" s="17" t="s">
        <v>55</v>
      </c>
      <c r="E98" s="50">
        <f>SUM(E99)</f>
        <v>182396999</v>
      </c>
      <c r="F98" s="50">
        <f t="shared" ref="F98:H98" si="77">SUM(F99)</f>
        <v>182396999</v>
      </c>
      <c r="G98" s="72">
        <f t="shared" si="48"/>
        <v>1</v>
      </c>
      <c r="H98" s="50">
        <f t="shared" si="77"/>
        <v>182396999</v>
      </c>
      <c r="I98" s="72">
        <f t="shared" si="49"/>
        <v>1</v>
      </c>
      <c r="J98" s="28"/>
      <c r="K98" s="51">
        <f>+K99</f>
        <v>14774156.919</v>
      </c>
      <c r="L98" s="89">
        <f t="shared" si="50"/>
        <v>8.1000000000000003E-2</v>
      </c>
      <c r="M98" s="51">
        <f t="shared" ref="M98:Q98" si="78">+M99</f>
        <v>13132583.927999999</v>
      </c>
      <c r="N98" s="89">
        <f t="shared" si="52"/>
        <v>7.1999999999999995E-2</v>
      </c>
      <c r="O98" s="51">
        <f t="shared" si="78"/>
        <v>14226965.922</v>
      </c>
      <c r="P98" s="89">
        <f t="shared" si="53"/>
        <v>7.8E-2</v>
      </c>
      <c r="Q98" s="51">
        <f t="shared" si="78"/>
        <v>140263292.23100001</v>
      </c>
      <c r="R98" s="89">
        <f t="shared" si="54"/>
        <v>0.76900000000000002</v>
      </c>
      <c r="S98" s="31"/>
    </row>
    <row r="99" spans="1:19" s="2" customFormat="1" ht="15.6" x14ac:dyDescent="0.3">
      <c r="A99" s="3"/>
      <c r="B99" s="5">
        <v>1</v>
      </c>
      <c r="C99" s="6" t="s">
        <v>114</v>
      </c>
      <c r="D99" s="16" t="s">
        <v>50</v>
      </c>
      <c r="E99" s="12">
        <v>182396999</v>
      </c>
      <c r="F99" s="12">
        <v>182396999</v>
      </c>
      <c r="G99" s="73">
        <f t="shared" si="48"/>
        <v>1</v>
      </c>
      <c r="H99" s="12">
        <v>182396999</v>
      </c>
      <c r="I99" s="73">
        <f t="shared" si="49"/>
        <v>1</v>
      </c>
      <c r="J99" s="28"/>
      <c r="K99" s="34">
        <v>14774156.919</v>
      </c>
      <c r="L99" s="90">
        <f t="shared" si="50"/>
        <v>8.1000000000000003E-2</v>
      </c>
      <c r="M99" s="34">
        <v>13132583.927999999</v>
      </c>
      <c r="N99" s="90">
        <f t="shared" si="52"/>
        <v>7.1999999999999995E-2</v>
      </c>
      <c r="O99" s="34">
        <v>14226965.922</v>
      </c>
      <c r="P99" s="90">
        <f t="shared" si="53"/>
        <v>7.8E-2</v>
      </c>
      <c r="Q99" s="34">
        <v>140263292.23100001</v>
      </c>
      <c r="R99" s="90">
        <f t="shared" si="54"/>
        <v>0.76900000000000002</v>
      </c>
      <c r="S99" s="31"/>
    </row>
    <row r="100" spans="1:19" s="2" customFormat="1" ht="31.5" customHeight="1" x14ac:dyDescent="0.3">
      <c r="A100" s="3"/>
      <c r="B100" s="21">
        <v>1</v>
      </c>
      <c r="C100" s="17" t="s">
        <v>114</v>
      </c>
      <c r="D100" s="17" t="s">
        <v>56</v>
      </c>
      <c r="E100" s="50">
        <f>SUM(E101:E104)</f>
        <v>724433200</v>
      </c>
      <c r="F100" s="50">
        <f t="shared" ref="F100:H100" si="79">SUM(F101:F104)</f>
        <v>724433200</v>
      </c>
      <c r="G100" s="72">
        <f t="shared" si="48"/>
        <v>1</v>
      </c>
      <c r="H100" s="50">
        <f t="shared" si="79"/>
        <v>724433200</v>
      </c>
      <c r="I100" s="72">
        <f t="shared" si="49"/>
        <v>1</v>
      </c>
      <c r="J100" s="28"/>
      <c r="K100" s="51">
        <f>+K101+K102+K103+K104</f>
        <v>58679089.20000001</v>
      </c>
      <c r="L100" s="89">
        <f t="shared" si="50"/>
        <v>8.1000000000000016E-2</v>
      </c>
      <c r="M100" s="51">
        <f t="shared" ref="M100:Q100" si="80">+M101+M102+M103+M104</f>
        <v>52159190.400000006</v>
      </c>
      <c r="N100" s="89">
        <f t="shared" si="52"/>
        <v>7.2000000000000008E-2</v>
      </c>
      <c r="O100" s="51">
        <f t="shared" si="80"/>
        <v>56505789.600000001</v>
      </c>
      <c r="P100" s="89">
        <f t="shared" si="53"/>
        <v>7.8E-2</v>
      </c>
      <c r="Q100" s="51">
        <f t="shared" si="80"/>
        <v>557089130.79999995</v>
      </c>
      <c r="R100" s="89">
        <f t="shared" si="54"/>
        <v>0.76899999999999991</v>
      </c>
      <c r="S100" s="31"/>
    </row>
    <row r="101" spans="1:19" s="2" customFormat="1" ht="27" customHeight="1" x14ac:dyDescent="0.3">
      <c r="A101" s="3"/>
      <c r="B101" s="5">
        <v>1</v>
      </c>
      <c r="C101" s="6" t="s">
        <v>114</v>
      </c>
      <c r="D101" s="16" t="s">
        <v>50</v>
      </c>
      <c r="E101" s="12">
        <v>567542047</v>
      </c>
      <c r="F101" s="12">
        <v>567542047</v>
      </c>
      <c r="G101" s="73">
        <f t="shared" si="48"/>
        <v>1</v>
      </c>
      <c r="H101" s="12">
        <v>567542047</v>
      </c>
      <c r="I101" s="73">
        <f t="shared" si="49"/>
        <v>1</v>
      </c>
      <c r="J101" s="28"/>
      <c r="K101" s="34">
        <v>45970905.807000004</v>
      </c>
      <c r="L101" s="90">
        <f t="shared" si="50"/>
        <v>8.1000000000000003E-2</v>
      </c>
      <c r="M101" s="34">
        <v>40863027.384000003</v>
      </c>
      <c r="N101" s="90">
        <f t="shared" si="52"/>
        <v>7.2000000000000008E-2</v>
      </c>
      <c r="O101" s="34">
        <v>44268279.666000001</v>
      </c>
      <c r="P101" s="90">
        <f t="shared" si="53"/>
        <v>7.8E-2</v>
      </c>
      <c r="Q101" s="34">
        <v>436439834.14300001</v>
      </c>
      <c r="R101" s="90">
        <f t="shared" si="54"/>
        <v>0.76900000000000002</v>
      </c>
      <c r="S101" s="31"/>
    </row>
    <row r="102" spans="1:19" s="45" customFormat="1" ht="28.8" x14ac:dyDescent="0.3">
      <c r="A102" s="41"/>
      <c r="B102" s="32">
        <v>1</v>
      </c>
      <c r="C102" s="33" t="s">
        <v>114</v>
      </c>
      <c r="D102" s="55" t="s">
        <v>21</v>
      </c>
      <c r="E102" s="56">
        <v>33078292</v>
      </c>
      <c r="F102" s="56">
        <v>33078292</v>
      </c>
      <c r="G102" s="75">
        <f t="shared" si="48"/>
        <v>1</v>
      </c>
      <c r="H102" s="56">
        <v>33078292</v>
      </c>
      <c r="I102" s="75">
        <f t="shared" si="49"/>
        <v>1</v>
      </c>
      <c r="J102" s="42"/>
      <c r="K102" s="46">
        <f>+F102*8.1%</f>
        <v>2679341.6520000002</v>
      </c>
      <c r="L102" s="87">
        <f t="shared" si="50"/>
        <v>8.1000000000000003E-2</v>
      </c>
      <c r="M102" s="46">
        <f>+F102*7.2%</f>
        <v>2381637.0240000002</v>
      </c>
      <c r="N102" s="87">
        <f t="shared" si="52"/>
        <v>7.2000000000000008E-2</v>
      </c>
      <c r="O102" s="46">
        <f>+F102*7.8%</f>
        <v>2580106.7760000001</v>
      </c>
      <c r="P102" s="87">
        <f t="shared" si="53"/>
        <v>7.8E-2</v>
      </c>
      <c r="Q102" s="46">
        <f>+F102*76.9%</f>
        <v>25437206.548</v>
      </c>
      <c r="R102" s="87">
        <f t="shared" si="54"/>
        <v>0.76900000000000002</v>
      </c>
      <c r="S102" s="44"/>
    </row>
    <row r="103" spans="1:19" s="45" customFormat="1" ht="15.6" x14ac:dyDescent="0.3">
      <c r="A103" s="41"/>
      <c r="B103" s="32">
        <v>1</v>
      </c>
      <c r="C103" s="33" t="s">
        <v>114</v>
      </c>
      <c r="D103" s="55" t="s">
        <v>18</v>
      </c>
      <c r="E103" s="56">
        <v>90734569</v>
      </c>
      <c r="F103" s="56">
        <v>90734569</v>
      </c>
      <c r="G103" s="75">
        <f t="shared" si="48"/>
        <v>1</v>
      </c>
      <c r="H103" s="56">
        <v>90734569</v>
      </c>
      <c r="I103" s="75">
        <f t="shared" si="49"/>
        <v>1</v>
      </c>
      <c r="J103" s="42"/>
      <c r="K103" s="46">
        <f>+F103*8.1%</f>
        <v>7349500.0890000006</v>
      </c>
      <c r="L103" s="87">
        <f t="shared" si="50"/>
        <v>8.1000000000000003E-2</v>
      </c>
      <c r="M103" s="46">
        <f>+F103*7.2%</f>
        <v>6532888.9680000003</v>
      </c>
      <c r="N103" s="87">
        <f t="shared" si="52"/>
        <v>7.2000000000000008E-2</v>
      </c>
      <c r="O103" s="46">
        <f>+F103*7.8%</f>
        <v>7077296.3820000002</v>
      </c>
      <c r="P103" s="87">
        <f t="shared" si="53"/>
        <v>7.8E-2</v>
      </c>
      <c r="Q103" s="46">
        <f>+F103*76.9%</f>
        <v>69774883.561000004</v>
      </c>
      <c r="R103" s="87">
        <f t="shared" si="54"/>
        <v>0.76900000000000002</v>
      </c>
      <c r="S103" s="44"/>
    </row>
    <row r="104" spans="1:19" s="45" customFormat="1" ht="28.8" x14ac:dyDescent="0.3">
      <c r="A104" s="41"/>
      <c r="B104" s="32">
        <v>1</v>
      </c>
      <c r="C104" s="33" t="s">
        <v>114</v>
      </c>
      <c r="D104" s="55" t="s">
        <v>57</v>
      </c>
      <c r="E104" s="56">
        <v>33078292</v>
      </c>
      <c r="F104" s="56">
        <v>33078292</v>
      </c>
      <c r="G104" s="75">
        <f t="shared" si="48"/>
        <v>1</v>
      </c>
      <c r="H104" s="56">
        <v>33078292</v>
      </c>
      <c r="I104" s="75">
        <f t="shared" si="49"/>
        <v>1</v>
      </c>
      <c r="J104" s="42"/>
      <c r="K104" s="46">
        <f>+F104*8.1%</f>
        <v>2679341.6520000002</v>
      </c>
      <c r="L104" s="87">
        <f t="shared" si="50"/>
        <v>8.1000000000000003E-2</v>
      </c>
      <c r="M104" s="46">
        <f>+F104*7.2%</f>
        <v>2381637.0240000002</v>
      </c>
      <c r="N104" s="87">
        <f t="shared" si="52"/>
        <v>7.2000000000000008E-2</v>
      </c>
      <c r="O104" s="46">
        <f>+F104*7.8%</f>
        <v>2580106.7760000001</v>
      </c>
      <c r="P104" s="87">
        <f t="shared" si="53"/>
        <v>7.8E-2</v>
      </c>
      <c r="Q104" s="46">
        <f>+F104*76.9%</f>
        <v>25437206.548</v>
      </c>
      <c r="R104" s="87">
        <f t="shared" si="54"/>
        <v>0.76900000000000002</v>
      </c>
      <c r="S104" s="44"/>
    </row>
    <row r="105" spans="1:19" s="2" customFormat="1" ht="43.2" x14ac:dyDescent="0.3">
      <c r="A105" s="3"/>
      <c r="B105" s="21">
        <v>1</v>
      </c>
      <c r="C105" s="17" t="s">
        <v>114</v>
      </c>
      <c r="D105" s="17" t="s">
        <v>58</v>
      </c>
      <c r="E105" s="50">
        <f>SUM(E106:E114)</f>
        <v>22997469122</v>
      </c>
      <c r="F105" s="50">
        <f t="shared" ref="F105:H105" si="81">SUM(F106:F114)</f>
        <v>22997469122</v>
      </c>
      <c r="G105" s="72">
        <f t="shared" si="48"/>
        <v>1</v>
      </c>
      <c r="H105" s="50">
        <f t="shared" si="81"/>
        <v>22997469122</v>
      </c>
      <c r="I105" s="72">
        <f t="shared" si="49"/>
        <v>1</v>
      </c>
      <c r="J105" s="28"/>
      <c r="K105" s="51">
        <f>+K106+K107+K108+K109+K110+K111+K112+K113+K114</f>
        <v>1862794998.882</v>
      </c>
      <c r="L105" s="89">
        <f t="shared" si="50"/>
        <v>8.1000000000000003E-2</v>
      </c>
      <c r="M105" s="51">
        <f t="shared" ref="M105:Q105" si="82">+M106+M107+M108+M109+M110+M111+M112+M113+M114</f>
        <v>1655817776.7840002</v>
      </c>
      <c r="N105" s="89">
        <f t="shared" si="52"/>
        <v>7.2000000000000008E-2</v>
      </c>
      <c r="O105" s="51">
        <f t="shared" si="82"/>
        <v>1793802591.516</v>
      </c>
      <c r="P105" s="89">
        <f t="shared" si="53"/>
        <v>7.8E-2</v>
      </c>
      <c r="Q105" s="51">
        <f t="shared" si="82"/>
        <v>17685053754.818001</v>
      </c>
      <c r="R105" s="89">
        <f t="shared" si="54"/>
        <v>0.76900000000000002</v>
      </c>
      <c r="S105" s="31"/>
    </row>
    <row r="106" spans="1:19" s="2" customFormat="1" ht="15.6" x14ac:dyDescent="0.3">
      <c r="A106" s="3"/>
      <c r="B106" s="5">
        <v>1</v>
      </c>
      <c r="C106" s="6" t="s">
        <v>114</v>
      </c>
      <c r="D106" s="16" t="s">
        <v>59</v>
      </c>
      <c r="E106" s="12">
        <v>1583722600</v>
      </c>
      <c r="F106" s="12">
        <v>1583722600</v>
      </c>
      <c r="G106" s="73">
        <f t="shared" si="48"/>
        <v>1</v>
      </c>
      <c r="H106" s="12">
        <v>1583722600</v>
      </c>
      <c r="I106" s="73">
        <f t="shared" si="49"/>
        <v>1</v>
      </c>
      <c r="J106" s="28"/>
      <c r="K106" s="34">
        <v>128281530.60000001</v>
      </c>
      <c r="L106" s="90">
        <f t="shared" si="50"/>
        <v>8.1000000000000003E-2</v>
      </c>
      <c r="M106" s="34">
        <v>114028027.19999999</v>
      </c>
      <c r="N106" s="90">
        <f t="shared" si="52"/>
        <v>7.1999999999999995E-2</v>
      </c>
      <c r="O106" s="34">
        <v>123530362.8</v>
      </c>
      <c r="P106" s="90">
        <f t="shared" si="53"/>
        <v>7.8E-2</v>
      </c>
      <c r="Q106" s="34">
        <v>1217882679.4000001</v>
      </c>
      <c r="R106" s="90">
        <f t="shared" si="54"/>
        <v>0.76900000000000002</v>
      </c>
      <c r="S106" s="31"/>
    </row>
    <row r="107" spans="1:19" s="45" customFormat="1" ht="28.8" x14ac:dyDescent="0.3">
      <c r="A107" s="41"/>
      <c r="B107" s="32">
        <v>1</v>
      </c>
      <c r="C107" s="33" t="s">
        <v>114</v>
      </c>
      <c r="D107" s="55" t="s">
        <v>60</v>
      </c>
      <c r="E107" s="56">
        <v>3174382705</v>
      </c>
      <c r="F107" s="56">
        <v>3174382705</v>
      </c>
      <c r="G107" s="75">
        <f t="shared" si="48"/>
        <v>1</v>
      </c>
      <c r="H107" s="56">
        <v>3174382705</v>
      </c>
      <c r="I107" s="75">
        <f t="shared" si="49"/>
        <v>1</v>
      </c>
      <c r="J107" s="42"/>
      <c r="K107" s="46">
        <f t="shared" ref="K107:K114" si="83">+F107*8.1%</f>
        <v>257124999.10500002</v>
      </c>
      <c r="L107" s="87">
        <f t="shared" si="50"/>
        <v>8.1000000000000003E-2</v>
      </c>
      <c r="M107" s="46">
        <f t="shared" ref="M107:M114" si="84">+F107*7.2%</f>
        <v>228555554.76000002</v>
      </c>
      <c r="N107" s="87">
        <f t="shared" si="52"/>
        <v>7.2000000000000008E-2</v>
      </c>
      <c r="O107" s="46">
        <f t="shared" ref="O107:O114" si="85">+F107*7.8%</f>
        <v>247601850.99000001</v>
      </c>
      <c r="P107" s="87">
        <f t="shared" si="53"/>
        <v>7.8E-2</v>
      </c>
      <c r="Q107" s="46">
        <f t="shared" ref="Q107:Q114" si="86">+F107*76.9%</f>
        <v>2441100300.145</v>
      </c>
      <c r="R107" s="87">
        <f t="shared" si="54"/>
        <v>0.76900000000000002</v>
      </c>
      <c r="S107" s="44"/>
    </row>
    <row r="108" spans="1:19" s="45" customFormat="1" ht="15.6" x14ac:dyDescent="0.3">
      <c r="A108" s="41"/>
      <c r="B108" s="32">
        <v>1</v>
      </c>
      <c r="C108" s="33" t="s">
        <v>114</v>
      </c>
      <c r="D108" s="55" t="s">
        <v>61</v>
      </c>
      <c r="E108" s="56">
        <v>3434211</v>
      </c>
      <c r="F108" s="56">
        <v>3434211</v>
      </c>
      <c r="G108" s="75">
        <f t="shared" si="48"/>
        <v>1</v>
      </c>
      <c r="H108" s="56">
        <v>3434211</v>
      </c>
      <c r="I108" s="75">
        <f t="shared" si="49"/>
        <v>1</v>
      </c>
      <c r="J108" s="42"/>
      <c r="K108" s="46">
        <f t="shared" si="83"/>
        <v>278171.09100000001</v>
      </c>
      <c r="L108" s="87">
        <f t="shared" si="50"/>
        <v>8.1000000000000003E-2</v>
      </c>
      <c r="M108" s="46">
        <f t="shared" si="84"/>
        <v>247263.19200000004</v>
      </c>
      <c r="N108" s="87">
        <f t="shared" si="52"/>
        <v>7.2000000000000008E-2</v>
      </c>
      <c r="O108" s="46">
        <f t="shared" si="85"/>
        <v>267868.45799999998</v>
      </c>
      <c r="P108" s="87">
        <f t="shared" si="53"/>
        <v>7.8E-2</v>
      </c>
      <c r="Q108" s="46">
        <f t="shared" si="86"/>
        <v>2640908.2590000001</v>
      </c>
      <c r="R108" s="87">
        <f t="shared" si="54"/>
        <v>0.76900000000000002</v>
      </c>
      <c r="S108" s="44"/>
    </row>
    <row r="109" spans="1:19" s="45" customFormat="1" ht="28.8" x14ac:dyDescent="0.3">
      <c r="A109" s="41"/>
      <c r="B109" s="32">
        <v>1</v>
      </c>
      <c r="C109" s="33" t="s">
        <v>114</v>
      </c>
      <c r="D109" s="55" t="s">
        <v>62</v>
      </c>
      <c r="E109" s="56">
        <v>746584654</v>
      </c>
      <c r="F109" s="56">
        <v>746584654</v>
      </c>
      <c r="G109" s="75">
        <f t="shared" si="48"/>
        <v>1</v>
      </c>
      <c r="H109" s="56">
        <v>746584654</v>
      </c>
      <c r="I109" s="75">
        <f t="shared" si="49"/>
        <v>1</v>
      </c>
      <c r="J109" s="42"/>
      <c r="K109" s="46">
        <f t="shared" si="83"/>
        <v>60473356.973999999</v>
      </c>
      <c r="L109" s="87">
        <f t="shared" si="50"/>
        <v>8.1000000000000003E-2</v>
      </c>
      <c r="M109" s="46">
        <f t="shared" si="84"/>
        <v>53754095.088000007</v>
      </c>
      <c r="N109" s="87">
        <f t="shared" si="52"/>
        <v>7.2000000000000008E-2</v>
      </c>
      <c r="O109" s="46">
        <f t="shared" si="85"/>
        <v>58233603.012000002</v>
      </c>
      <c r="P109" s="87">
        <f t="shared" si="53"/>
        <v>7.8E-2</v>
      </c>
      <c r="Q109" s="46">
        <f t="shared" si="86"/>
        <v>574123598.926</v>
      </c>
      <c r="R109" s="87">
        <f t="shared" si="54"/>
        <v>0.76900000000000002</v>
      </c>
      <c r="S109" s="44"/>
    </row>
    <row r="110" spans="1:19" s="45" customFormat="1" ht="15.6" x14ac:dyDescent="0.3">
      <c r="A110" s="41"/>
      <c r="B110" s="32">
        <v>1</v>
      </c>
      <c r="C110" s="33" t="s">
        <v>114</v>
      </c>
      <c r="D110" s="55" t="s">
        <v>63</v>
      </c>
      <c r="E110" s="56">
        <v>1238821851</v>
      </c>
      <c r="F110" s="56">
        <v>1238821851</v>
      </c>
      <c r="G110" s="75">
        <f t="shared" si="48"/>
        <v>1</v>
      </c>
      <c r="H110" s="56">
        <v>1238821851</v>
      </c>
      <c r="I110" s="75">
        <f t="shared" si="49"/>
        <v>1</v>
      </c>
      <c r="J110" s="42"/>
      <c r="K110" s="46">
        <f t="shared" si="83"/>
        <v>100344569.93100001</v>
      </c>
      <c r="L110" s="87">
        <f t="shared" si="50"/>
        <v>8.1000000000000003E-2</v>
      </c>
      <c r="M110" s="46">
        <f t="shared" si="84"/>
        <v>89195173.272000015</v>
      </c>
      <c r="N110" s="87">
        <f t="shared" si="52"/>
        <v>7.2000000000000008E-2</v>
      </c>
      <c r="O110" s="46">
        <f t="shared" si="85"/>
        <v>96628104.378000006</v>
      </c>
      <c r="P110" s="87">
        <f t="shared" si="53"/>
        <v>7.8E-2</v>
      </c>
      <c r="Q110" s="46">
        <f t="shared" si="86"/>
        <v>952654003.41900003</v>
      </c>
      <c r="R110" s="87">
        <f t="shared" si="54"/>
        <v>0.76900000000000002</v>
      </c>
      <c r="S110" s="44"/>
    </row>
    <row r="111" spans="1:19" s="45" customFormat="1" ht="43.2" x14ac:dyDescent="0.3">
      <c r="A111" s="41"/>
      <c r="B111" s="32">
        <v>1</v>
      </c>
      <c r="C111" s="33" t="s">
        <v>114</v>
      </c>
      <c r="D111" s="55" t="s">
        <v>20</v>
      </c>
      <c r="E111" s="56">
        <v>400000000</v>
      </c>
      <c r="F111" s="56">
        <v>400000000</v>
      </c>
      <c r="G111" s="75">
        <f t="shared" si="48"/>
        <v>1</v>
      </c>
      <c r="H111" s="56">
        <v>400000000</v>
      </c>
      <c r="I111" s="75">
        <f t="shared" si="49"/>
        <v>1</v>
      </c>
      <c r="J111" s="42"/>
      <c r="K111" s="46">
        <f t="shared" si="83"/>
        <v>32400000</v>
      </c>
      <c r="L111" s="87">
        <f t="shared" si="50"/>
        <v>8.1000000000000003E-2</v>
      </c>
      <c r="M111" s="46">
        <f t="shared" si="84"/>
        <v>28800000.000000004</v>
      </c>
      <c r="N111" s="87">
        <f t="shared" si="52"/>
        <v>7.2000000000000008E-2</v>
      </c>
      <c r="O111" s="46">
        <f t="shared" si="85"/>
        <v>31200000</v>
      </c>
      <c r="P111" s="87">
        <f t="shared" si="53"/>
        <v>7.8E-2</v>
      </c>
      <c r="Q111" s="46">
        <f t="shared" si="86"/>
        <v>307600000</v>
      </c>
      <c r="R111" s="87">
        <f t="shared" si="54"/>
        <v>0.76900000000000002</v>
      </c>
      <c r="S111" s="44"/>
    </row>
    <row r="112" spans="1:19" s="45" customFormat="1" ht="15.6" x14ac:dyDescent="0.3">
      <c r="A112" s="41"/>
      <c r="B112" s="32">
        <v>1</v>
      </c>
      <c r="C112" s="33" t="s">
        <v>114</v>
      </c>
      <c r="D112" s="55" t="s">
        <v>18</v>
      </c>
      <c r="E112" s="56">
        <v>6748035496</v>
      </c>
      <c r="F112" s="56">
        <v>6748035496</v>
      </c>
      <c r="G112" s="75">
        <f t="shared" si="48"/>
        <v>1</v>
      </c>
      <c r="H112" s="56">
        <v>6748035496</v>
      </c>
      <c r="I112" s="75">
        <f t="shared" si="49"/>
        <v>1</v>
      </c>
      <c r="J112" s="42"/>
      <c r="K112" s="46">
        <f t="shared" si="83"/>
        <v>546590875.176</v>
      </c>
      <c r="L112" s="87">
        <f t="shared" si="50"/>
        <v>8.1000000000000003E-2</v>
      </c>
      <c r="M112" s="46">
        <f t="shared" si="84"/>
        <v>485858555.71200007</v>
      </c>
      <c r="N112" s="87">
        <f t="shared" si="52"/>
        <v>7.2000000000000008E-2</v>
      </c>
      <c r="O112" s="46">
        <f t="shared" si="85"/>
        <v>526346768.68800002</v>
      </c>
      <c r="P112" s="87">
        <f t="shared" si="53"/>
        <v>7.8E-2</v>
      </c>
      <c r="Q112" s="46">
        <f t="shared" si="86"/>
        <v>5189239296.4239998</v>
      </c>
      <c r="R112" s="87">
        <f t="shared" si="54"/>
        <v>0.76900000000000002</v>
      </c>
      <c r="S112" s="44"/>
    </row>
    <row r="113" spans="1:19" s="45" customFormat="1" ht="15.6" x14ac:dyDescent="0.3">
      <c r="A113" s="41"/>
      <c r="B113" s="32">
        <v>1</v>
      </c>
      <c r="C113" s="33" t="s">
        <v>114</v>
      </c>
      <c r="D113" s="55" t="s">
        <v>38</v>
      </c>
      <c r="E113" s="56">
        <v>400000000</v>
      </c>
      <c r="F113" s="56">
        <v>400000000</v>
      </c>
      <c r="G113" s="75">
        <f t="shared" si="48"/>
        <v>1</v>
      </c>
      <c r="H113" s="56">
        <v>400000000</v>
      </c>
      <c r="I113" s="75">
        <f t="shared" si="49"/>
        <v>1</v>
      </c>
      <c r="J113" s="42"/>
      <c r="K113" s="46">
        <f t="shared" si="83"/>
        <v>32400000</v>
      </c>
      <c r="L113" s="87">
        <f t="shared" si="50"/>
        <v>8.1000000000000003E-2</v>
      </c>
      <c r="M113" s="46">
        <f t="shared" si="84"/>
        <v>28800000.000000004</v>
      </c>
      <c r="N113" s="87">
        <f t="shared" si="52"/>
        <v>7.2000000000000008E-2</v>
      </c>
      <c r="O113" s="46">
        <f t="shared" si="85"/>
        <v>31200000</v>
      </c>
      <c r="P113" s="87">
        <f t="shared" si="53"/>
        <v>7.8E-2</v>
      </c>
      <c r="Q113" s="46">
        <f t="shared" si="86"/>
        <v>307600000</v>
      </c>
      <c r="R113" s="87">
        <f t="shared" si="54"/>
        <v>0.76900000000000002</v>
      </c>
      <c r="S113" s="44"/>
    </row>
    <row r="114" spans="1:19" s="45" customFormat="1" ht="28.8" x14ac:dyDescent="0.3">
      <c r="A114" s="41"/>
      <c r="B114" s="32">
        <v>1</v>
      </c>
      <c r="C114" s="33" t="s">
        <v>114</v>
      </c>
      <c r="D114" s="55" t="s">
        <v>39</v>
      </c>
      <c r="E114" s="56">
        <v>8702487605</v>
      </c>
      <c r="F114" s="56">
        <v>8702487605</v>
      </c>
      <c r="G114" s="75">
        <f t="shared" si="48"/>
        <v>1</v>
      </c>
      <c r="H114" s="56">
        <v>8702487605</v>
      </c>
      <c r="I114" s="75">
        <f t="shared" si="49"/>
        <v>1</v>
      </c>
      <c r="J114" s="42"/>
      <c r="K114" s="46">
        <f t="shared" si="83"/>
        <v>704901496.005</v>
      </c>
      <c r="L114" s="87">
        <f t="shared" si="50"/>
        <v>8.1000000000000003E-2</v>
      </c>
      <c r="M114" s="46">
        <f t="shared" si="84"/>
        <v>626579107.56000006</v>
      </c>
      <c r="N114" s="87">
        <f t="shared" si="52"/>
        <v>7.2000000000000008E-2</v>
      </c>
      <c r="O114" s="46">
        <f t="shared" si="85"/>
        <v>678794033.19000006</v>
      </c>
      <c r="P114" s="87">
        <f t="shared" si="53"/>
        <v>7.8E-2</v>
      </c>
      <c r="Q114" s="46">
        <f t="shared" si="86"/>
        <v>6692212968.2449999</v>
      </c>
      <c r="R114" s="87">
        <f t="shared" si="54"/>
        <v>0.76900000000000002</v>
      </c>
      <c r="S114" s="44"/>
    </row>
    <row r="115" spans="1:19" s="2" customFormat="1" ht="28.8" x14ac:dyDescent="0.3">
      <c r="A115" s="3"/>
      <c r="B115" s="21">
        <v>1</v>
      </c>
      <c r="C115" s="17" t="s">
        <v>114</v>
      </c>
      <c r="D115" s="17" t="s">
        <v>64</v>
      </c>
      <c r="E115" s="50">
        <f>SUM(E116)</f>
        <v>25676500</v>
      </c>
      <c r="F115" s="50">
        <f t="shared" ref="F115:H115" si="87">SUM(F116)</f>
        <v>25676500</v>
      </c>
      <c r="G115" s="72">
        <f t="shared" si="48"/>
        <v>1</v>
      </c>
      <c r="H115" s="50">
        <f t="shared" si="87"/>
        <v>25676500</v>
      </c>
      <c r="I115" s="72">
        <f t="shared" si="49"/>
        <v>1</v>
      </c>
      <c r="J115" s="28"/>
      <c r="K115" s="51">
        <f>+K116</f>
        <v>2079796.5</v>
      </c>
      <c r="L115" s="89">
        <f t="shared" si="50"/>
        <v>8.1000000000000003E-2</v>
      </c>
      <c r="M115" s="51">
        <f t="shared" ref="M115:Q115" si="88">+M116</f>
        <v>1848707.9999999998</v>
      </c>
      <c r="N115" s="89">
        <f t="shared" si="52"/>
        <v>7.1999999999999995E-2</v>
      </c>
      <c r="O115" s="51">
        <f t="shared" si="88"/>
        <v>2002767</v>
      </c>
      <c r="P115" s="89">
        <f t="shared" si="53"/>
        <v>7.8E-2</v>
      </c>
      <c r="Q115" s="51">
        <f t="shared" si="88"/>
        <v>19745228.5</v>
      </c>
      <c r="R115" s="89">
        <f t="shared" si="54"/>
        <v>0.76900000000000002</v>
      </c>
      <c r="S115" s="31"/>
    </row>
    <row r="116" spans="1:19" s="2" customFormat="1" ht="15.6" x14ac:dyDescent="0.3">
      <c r="A116" s="3"/>
      <c r="B116" s="5">
        <v>1</v>
      </c>
      <c r="C116" s="6" t="s">
        <v>114</v>
      </c>
      <c r="D116" s="16" t="s">
        <v>50</v>
      </c>
      <c r="E116" s="12">
        <v>25676500</v>
      </c>
      <c r="F116" s="12">
        <v>25676500</v>
      </c>
      <c r="G116" s="73">
        <f t="shared" si="48"/>
        <v>1</v>
      </c>
      <c r="H116" s="12">
        <v>25676500</v>
      </c>
      <c r="I116" s="73">
        <f t="shared" si="49"/>
        <v>1</v>
      </c>
      <c r="J116" s="28"/>
      <c r="K116" s="34">
        <v>2079796.5</v>
      </c>
      <c r="L116" s="90">
        <f t="shared" si="50"/>
        <v>8.1000000000000003E-2</v>
      </c>
      <c r="M116" s="34">
        <v>1848707.9999999998</v>
      </c>
      <c r="N116" s="90">
        <f t="shared" si="52"/>
        <v>7.1999999999999995E-2</v>
      </c>
      <c r="O116" s="34">
        <v>2002767</v>
      </c>
      <c r="P116" s="90">
        <f t="shared" si="53"/>
        <v>7.8E-2</v>
      </c>
      <c r="Q116" s="34">
        <v>19745228.5</v>
      </c>
      <c r="R116" s="90">
        <f t="shared" si="54"/>
        <v>0.76900000000000002</v>
      </c>
      <c r="S116" s="31"/>
    </row>
    <row r="117" spans="1:19" s="2" customFormat="1" ht="28.8" x14ac:dyDescent="0.3">
      <c r="A117" s="3"/>
      <c r="B117" s="21">
        <v>1</v>
      </c>
      <c r="C117" s="17" t="s">
        <v>114</v>
      </c>
      <c r="D117" s="17" t="s">
        <v>65</v>
      </c>
      <c r="E117" s="50">
        <f>SUM(E118)</f>
        <v>19906500</v>
      </c>
      <c r="F117" s="50">
        <f t="shared" ref="F117:H117" si="89">SUM(F118)</f>
        <v>19906500</v>
      </c>
      <c r="G117" s="72">
        <f t="shared" si="48"/>
        <v>1</v>
      </c>
      <c r="H117" s="50">
        <f t="shared" si="89"/>
        <v>19906500</v>
      </c>
      <c r="I117" s="72">
        <f t="shared" si="49"/>
        <v>1</v>
      </c>
      <c r="J117" s="28"/>
      <c r="K117" s="51">
        <f>+K118</f>
        <v>1612426.5</v>
      </c>
      <c r="L117" s="89">
        <f t="shared" si="50"/>
        <v>8.1000000000000003E-2</v>
      </c>
      <c r="M117" s="51">
        <f t="shared" ref="M117:Q117" si="90">+M118</f>
        <v>1433268</v>
      </c>
      <c r="N117" s="89">
        <f t="shared" si="52"/>
        <v>7.1999999999999995E-2</v>
      </c>
      <c r="O117" s="51">
        <f t="shared" si="90"/>
        <v>1552707</v>
      </c>
      <c r="P117" s="89">
        <f t="shared" si="53"/>
        <v>7.8E-2</v>
      </c>
      <c r="Q117" s="51">
        <f t="shared" si="90"/>
        <v>15308098.5</v>
      </c>
      <c r="R117" s="89">
        <f t="shared" si="54"/>
        <v>0.76900000000000002</v>
      </c>
      <c r="S117" s="31"/>
    </row>
    <row r="118" spans="1:19" s="2" customFormat="1" ht="18" customHeight="1" x14ac:dyDescent="0.3">
      <c r="A118" s="3"/>
      <c r="B118" s="5">
        <v>1</v>
      </c>
      <c r="C118" s="6" t="s">
        <v>114</v>
      </c>
      <c r="D118" s="16" t="s">
        <v>50</v>
      </c>
      <c r="E118" s="12">
        <v>19906500</v>
      </c>
      <c r="F118" s="12">
        <v>19906500</v>
      </c>
      <c r="G118" s="73">
        <f t="shared" si="48"/>
        <v>1</v>
      </c>
      <c r="H118" s="12">
        <v>19906500</v>
      </c>
      <c r="I118" s="73">
        <f t="shared" si="49"/>
        <v>1</v>
      </c>
      <c r="J118" s="28"/>
      <c r="K118" s="34">
        <v>1612426.5</v>
      </c>
      <c r="L118" s="90">
        <f t="shared" si="50"/>
        <v>8.1000000000000003E-2</v>
      </c>
      <c r="M118" s="34">
        <v>1433268</v>
      </c>
      <c r="N118" s="90">
        <f t="shared" si="52"/>
        <v>7.1999999999999995E-2</v>
      </c>
      <c r="O118" s="34">
        <v>1552707</v>
      </c>
      <c r="P118" s="90">
        <f t="shared" si="53"/>
        <v>7.8E-2</v>
      </c>
      <c r="Q118" s="34">
        <v>15308098.5</v>
      </c>
      <c r="R118" s="90">
        <f t="shared" si="54"/>
        <v>0.76900000000000002</v>
      </c>
      <c r="S118" s="31"/>
    </row>
    <row r="119" spans="1:19" s="2" customFormat="1" ht="25.5" customHeight="1" x14ac:dyDescent="0.3">
      <c r="A119" s="3"/>
      <c r="B119" s="21">
        <v>1</v>
      </c>
      <c r="C119" s="17" t="s">
        <v>114</v>
      </c>
      <c r="D119" s="17" t="s">
        <v>66</v>
      </c>
      <c r="E119" s="50">
        <f>SUM(E120)</f>
        <v>93920000</v>
      </c>
      <c r="F119" s="50">
        <f t="shared" ref="F119:H119" si="91">SUM(F120)</f>
        <v>93920000</v>
      </c>
      <c r="G119" s="72">
        <f t="shared" si="48"/>
        <v>1</v>
      </c>
      <c r="H119" s="50">
        <f t="shared" si="91"/>
        <v>93920000</v>
      </c>
      <c r="I119" s="72">
        <f t="shared" si="49"/>
        <v>1</v>
      </c>
      <c r="J119" s="28"/>
      <c r="K119" s="51">
        <f>+K120</f>
        <v>7607520</v>
      </c>
      <c r="L119" s="89">
        <f t="shared" si="50"/>
        <v>8.1000000000000003E-2</v>
      </c>
      <c r="M119" s="51">
        <f t="shared" ref="M119:Q119" si="92">+M120</f>
        <v>6762239.9999999991</v>
      </c>
      <c r="N119" s="89">
        <f t="shared" si="52"/>
        <v>7.1999999999999995E-2</v>
      </c>
      <c r="O119" s="51">
        <f t="shared" si="92"/>
        <v>7325760</v>
      </c>
      <c r="P119" s="89">
        <f t="shared" si="53"/>
        <v>7.8E-2</v>
      </c>
      <c r="Q119" s="51">
        <f t="shared" si="92"/>
        <v>72224480</v>
      </c>
      <c r="R119" s="89">
        <f t="shared" si="54"/>
        <v>0.76900000000000002</v>
      </c>
      <c r="S119" s="31"/>
    </row>
    <row r="120" spans="1:19" s="2" customFormat="1" ht="15.6" x14ac:dyDescent="0.3">
      <c r="A120" s="3"/>
      <c r="B120" s="5">
        <v>1</v>
      </c>
      <c r="C120" s="6" t="s">
        <v>114</v>
      </c>
      <c r="D120" s="16" t="s">
        <v>50</v>
      </c>
      <c r="E120" s="12">
        <v>93920000</v>
      </c>
      <c r="F120" s="12">
        <v>93920000</v>
      </c>
      <c r="G120" s="73">
        <f t="shared" si="48"/>
        <v>1</v>
      </c>
      <c r="H120" s="12">
        <v>93920000</v>
      </c>
      <c r="I120" s="73">
        <f t="shared" si="49"/>
        <v>1</v>
      </c>
      <c r="J120" s="28"/>
      <c r="K120" s="34">
        <v>7607520</v>
      </c>
      <c r="L120" s="90">
        <f t="shared" si="50"/>
        <v>8.1000000000000003E-2</v>
      </c>
      <c r="M120" s="34">
        <v>6762239.9999999991</v>
      </c>
      <c r="N120" s="90">
        <f t="shared" si="52"/>
        <v>7.1999999999999995E-2</v>
      </c>
      <c r="O120" s="34">
        <v>7325760</v>
      </c>
      <c r="P120" s="90">
        <f t="shared" si="53"/>
        <v>7.8E-2</v>
      </c>
      <c r="Q120" s="34">
        <v>72224480</v>
      </c>
      <c r="R120" s="90">
        <f t="shared" si="54"/>
        <v>0.76900000000000002</v>
      </c>
      <c r="S120" s="31"/>
    </row>
    <row r="121" spans="1:19" s="2" customFormat="1" ht="24.75" customHeight="1" x14ac:dyDescent="0.3">
      <c r="A121" s="3"/>
      <c r="B121" s="21">
        <v>1</v>
      </c>
      <c r="C121" s="17" t="s">
        <v>114</v>
      </c>
      <c r="D121" s="17" t="s">
        <v>67</v>
      </c>
      <c r="E121" s="50">
        <f>SUM(E122)</f>
        <v>14614667</v>
      </c>
      <c r="F121" s="50">
        <f t="shared" ref="F121:H121" si="93">SUM(F122)</f>
        <v>14614667</v>
      </c>
      <c r="G121" s="72">
        <f t="shared" si="48"/>
        <v>1</v>
      </c>
      <c r="H121" s="50">
        <f t="shared" si="93"/>
        <v>14614667</v>
      </c>
      <c r="I121" s="72">
        <f t="shared" si="49"/>
        <v>1</v>
      </c>
      <c r="J121" s="28"/>
      <c r="K121" s="51">
        <f>+K122</f>
        <v>1183788.027</v>
      </c>
      <c r="L121" s="89">
        <f t="shared" si="50"/>
        <v>8.1000000000000003E-2</v>
      </c>
      <c r="M121" s="51">
        <f t="shared" ref="M121:Q121" si="94">+M122</f>
        <v>1052256.024</v>
      </c>
      <c r="N121" s="89">
        <f t="shared" si="52"/>
        <v>7.1999999999999995E-2</v>
      </c>
      <c r="O121" s="51">
        <f t="shared" si="94"/>
        <v>1139944.0260000001</v>
      </c>
      <c r="P121" s="89">
        <f t="shared" si="53"/>
        <v>7.8E-2</v>
      </c>
      <c r="Q121" s="51">
        <f t="shared" si="94"/>
        <v>11238678.923</v>
      </c>
      <c r="R121" s="89">
        <f t="shared" si="54"/>
        <v>0.76900000000000002</v>
      </c>
      <c r="S121" s="31"/>
    </row>
    <row r="122" spans="1:19" s="2" customFormat="1" ht="15.6" x14ac:dyDescent="0.3">
      <c r="A122" s="3"/>
      <c r="B122" s="5">
        <v>1</v>
      </c>
      <c r="C122" s="6" t="s">
        <v>114</v>
      </c>
      <c r="D122" s="16" t="s">
        <v>50</v>
      </c>
      <c r="E122" s="12">
        <v>14614667</v>
      </c>
      <c r="F122" s="12">
        <v>14614667</v>
      </c>
      <c r="G122" s="73">
        <f t="shared" si="48"/>
        <v>1</v>
      </c>
      <c r="H122" s="12">
        <v>14614667</v>
      </c>
      <c r="I122" s="73">
        <f t="shared" si="49"/>
        <v>1</v>
      </c>
      <c r="J122" s="28"/>
      <c r="K122" s="34">
        <v>1183788.027</v>
      </c>
      <c r="L122" s="90">
        <f t="shared" si="50"/>
        <v>8.1000000000000003E-2</v>
      </c>
      <c r="M122" s="34">
        <v>1052256.024</v>
      </c>
      <c r="N122" s="90">
        <f t="shared" si="52"/>
        <v>7.1999999999999995E-2</v>
      </c>
      <c r="O122" s="34">
        <v>1139944.0260000001</v>
      </c>
      <c r="P122" s="90">
        <f t="shared" si="53"/>
        <v>7.8E-2</v>
      </c>
      <c r="Q122" s="34">
        <v>11238678.923</v>
      </c>
      <c r="R122" s="90">
        <f t="shared" si="54"/>
        <v>0.76900000000000002</v>
      </c>
      <c r="S122" s="31"/>
    </row>
    <row r="123" spans="1:19" s="2" customFormat="1" ht="28.8" x14ac:dyDescent="0.3">
      <c r="A123" s="3"/>
      <c r="B123" s="21">
        <v>1</v>
      </c>
      <c r="C123" s="17" t="s">
        <v>114</v>
      </c>
      <c r="D123" s="17" t="s">
        <v>68</v>
      </c>
      <c r="E123" s="50">
        <f>SUM(E124)</f>
        <v>11540000</v>
      </c>
      <c r="F123" s="50">
        <f t="shared" ref="F123:H123" si="95">SUM(F124)</f>
        <v>11540000</v>
      </c>
      <c r="G123" s="72">
        <f t="shared" si="48"/>
        <v>1</v>
      </c>
      <c r="H123" s="50">
        <f t="shared" si="95"/>
        <v>11540000</v>
      </c>
      <c r="I123" s="72">
        <f t="shared" si="49"/>
        <v>1</v>
      </c>
      <c r="J123" s="28"/>
      <c r="K123" s="51">
        <f>+K124</f>
        <v>934740</v>
      </c>
      <c r="L123" s="89">
        <f t="shared" si="50"/>
        <v>8.1000000000000003E-2</v>
      </c>
      <c r="M123" s="51">
        <f t="shared" ref="M123:Q123" si="96">+M124</f>
        <v>830879.99999999988</v>
      </c>
      <c r="N123" s="89">
        <f t="shared" si="52"/>
        <v>7.1999999999999995E-2</v>
      </c>
      <c r="O123" s="51">
        <f t="shared" si="96"/>
        <v>900120</v>
      </c>
      <c r="P123" s="89">
        <f t="shared" si="53"/>
        <v>7.8E-2</v>
      </c>
      <c r="Q123" s="51">
        <f t="shared" si="96"/>
        <v>8874260</v>
      </c>
      <c r="R123" s="89">
        <f t="shared" si="54"/>
        <v>0.76900000000000002</v>
      </c>
      <c r="S123" s="31"/>
    </row>
    <row r="124" spans="1:19" s="2" customFormat="1" ht="15.6" x14ac:dyDescent="0.3">
      <c r="A124" s="3"/>
      <c r="B124" s="5">
        <v>1</v>
      </c>
      <c r="C124" s="6" t="s">
        <v>114</v>
      </c>
      <c r="D124" s="16" t="s">
        <v>50</v>
      </c>
      <c r="E124" s="12">
        <v>11540000</v>
      </c>
      <c r="F124" s="12">
        <v>11540000</v>
      </c>
      <c r="G124" s="73">
        <f t="shared" si="48"/>
        <v>1</v>
      </c>
      <c r="H124" s="12">
        <v>11540000</v>
      </c>
      <c r="I124" s="73">
        <f t="shared" si="49"/>
        <v>1</v>
      </c>
      <c r="J124" s="28"/>
      <c r="K124" s="34">
        <v>934740</v>
      </c>
      <c r="L124" s="90">
        <f t="shared" si="50"/>
        <v>8.1000000000000003E-2</v>
      </c>
      <c r="M124" s="34">
        <v>830879.99999999988</v>
      </c>
      <c r="N124" s="90">
        <f t="shared" si="52"/>
        <v>7.1999999999999995E-2</v>
      </c>
      <c r="O124" s="34">
        <v>900120</v>
      </c>
      <c r="P124" s="90">
        <f t="shared" si="53"/>
        <v>7.8E-2</v>
      </c>
      <c r="Q124" s="34">
        <v>8874260</v>
      </c>
      <c r="R124" s="90">
        <f t="shared" si="54"/>
        <v>0.76900000000000002</v>
      </c>
      <c r="S124" s="31"/>
    </row>
    <row r="125" spans="1:19" s="2" customFormat="1" ht="28.8" x14ac:dyDescent="0.3">
      <c r="A125" s="3"/>
      <c r="B125" s="21">
        <v>1</v>
      </c>
      <c r="C125" s="17" t="s">
        <v>114</v>
      </c>
      <c r="D125" s="17" t="s">
        <v>69</v>
      </c>
      <c r="E125" s="50">
        <f>SUM(E126)</f>
        <v>39666667</v>
      </c>
      <c r="F125" s="50">
        <f t="shared" ref="F125:H125" si="97">SUM(F126)</f>
        <v>39666667</v>
      </c>
      <c r="G125" s="72">
        <f t="shared" si="48"/>
        <v>1</v>
      </c>
      <c r="H125" s="50">
        <f t="shared" si="97"/>
        <v>39666667</v>
      </c>
      <c r="I125" s="72">
        <f t="shared" si="49"/>
        <v>1</v>
      </c>
      <c r="J125" s="28"/>
      <c r="K125" s="51">
        <f>+K126</f>
        <v>3213000.0270000002</v>
      </c>
      <c r="L125" s="89">
        <f t="shared" si="50"/>
        <v>8.1000000000000003E-2</v>
      </c>
      <c r="M125" s="51">
        <f t="shared" ref="M125:Q125" si="98">+M126</f>
        <v>2856000.0239999997</v>
      </c>
      <c r="N125" s="89">
        <f t="shared" si="52"/>
        <v>7.1999999999999995E-2</v>
      </c>
      <c r="O125" s="51">
        <f t="shared" si="98"/>
        <v>3094000.0260000001</v>
      </c>
      <c r="P125" s="89">
        <f t="shared" si="53"/>
        <v>7.8E-2</v>
      </c>
      <c r="Q125" s="51">
        <f t="shared" si="98"/>
        <v>30503666.923</v>
      </c>
      <c r="R125" s="89">
        <f t="shared" si="54"/>
        <v>0.76900000000000002</v>
      </c>
      <c r="S125" s="31"/>
    </row>
    <row r="126" spans="1:19" s="2" customFormat="1" ht="15.6" x14ac:dyDescent="0.3">
      <c r="A126" s="3"/>
      <c r="B126" s="5">
        <v>1</v>
      </c>
      <c r="C126" s="6" t="s">
        <v>114</v>
      </c>
      <c r="D126" s="16" t="s">
        <v>50</v>
      </c>
      <c r="E126" s="12">
        <v>39666667</v>
      </c>
      <c r="F126" s="12">
        <v>39666667</v>
      </c>
      <c r="G126" s="73">
        <f t="shared" si="48"/>
        <v>1</v>
      </c>
      <c r="H126" s="12">
        <v>39666667</v>
      </c>
      <c r="I126" s="73">
        <f t="shared" si="49"/>
        <v>1</v>
      </c>
      <c r="J126" s="28"/>
      <c r="K126" s="34">
        <v>3213000.0270000002</v>
      </c>
      <c r="L126" s="90">
        <f t="shared" si="50"/>
        <v>8.1000000000000003E-2</v>
      </c>
      <c r="M126" s="34">
        <v>2856000.0239999997</v>
      </c>
      <c r="N126" s="90">
        <f t="shared" si="52"/>
        <v>7.1999999999999995E-2</v>
      </c>
      <c r="O126" s="34">
        <v>3094000.0260000001</v>
      </c>
      <c r="P126" s="90">
        <f t="shared" si="53"/>
        <v>7.8E-2</v>
      </c>
      <c r="Q126" s="34">
        <v>30503666.923</v>
      </c>
      <c r="R126" s="90">
        <f t="shared" si="54"/>
        <v>0.76900000000000002</v>
      </c>
      <c r="S126" s="31"/>
    </row>
    <row r="127" spans="1:19" s="2" customFormat="1" ht="58.5" customHeight="1" x14ac:dyDescent="0.3">
      <c r="A127" s="3"/>
      <c r="B127" s="21">
        <v>8</v>
      </c>
      <c r="C127" s="17" t="s">
        <v>115</v>
      </c>
      <c r="D127" s="17" t="s">
        <v>70</v>
      </c>
      <c r="E127" s="50">
        <f>SUM(E128:E129)</f>
        <v>256230167</v>
      </c>
      <c r="F127" s="50">
        <f t="shared" ref="F127:H127" si="99">SUM(F128:F129)</f>
        <v>256230167</v>
      </c>
      <c r="G127" s="72">
        <f t="shared" si="48"/>
        <v>1</v>
      </c>
      <c r="H127" s="50">
        <f t="shared" si="99"/>
        <v>256230167</v>
      </c>
      <c r="I127" s="72">
        <f t="shared" si="49"/>
        <v>1</v>
      </c>
      <c r="J127" s="28"/>
      <c r="K127" s="51">
        <f>+K128+K129</f>
        <v>11540285.689251639</v>
      </c>
      <c r="L127" s="89">
        <f t="shared" si="50"/>
        <v>4.5038747093552177E-2</v>
      </c>
      <c r="M127" s="51">
        <f t="shared" ref="M127:Q127" si="100">+M128+M129</f>
        <v>38637098.827245086</v>
      </c>
      <c r="N127" s="89">
        <f t="shared" si="52"/>
        <v>0.15079059300322389</v>
      </c>
      <c r="O127" s="51">
        <f t="shared" si="100"/>
        <v>70412327.812794238</v>
      </c>
      <c r="P127" s="89">
        <f t="shared" si="53"/>
        <v>0.27480108465446318</v>
      </c>
      <c r="Q127" s="51">
        <f t="shared" si="100"/>
        <v>135640454.67070904</v>
      </c>
      <c r="R127" s="89">
        <f t="shared" si="54"/>
        <v>0.52936957524876083</v>
      </c>
      <c r="S127" s="31"/>
    </row>
    <row r="128" spans="1:19" s="2" customFormat="1" ht="28.8" x14ac:dyDescent="0.3">
      <c r="A128" s="3"/>
      <c r="B128" s="5">
        <v>8</v>
      </c>
      <c r="C128" s="6" t="s">
        <v>115</v>
      </c>
      <c r="D128" s="16" t="s">
        <v>9</v>
      </c>
      <c r="E128" s="12">
        <v>114685334</v>
      </c>
      <c r="F128" s="12">
        <v>114685334</v>
      </c>
      <c r="G128" s="73">
        <f t="shared" si="48"/>
        <v>1</v>
      </c>
      <c r="H128" s="12">
        <v>114685334</v>
      </c>
      <c r="I128" s="73">
        <f t="shared" si="49"/>
        <v>1</v>
      </c>
      <c r="J128" s="28"/>
      <c r="K128" s="34">
        <v>75154.216251638267</v>
      </c>
      <c r="L128" s="90">
        <f t="shared" si="50"/>
        <v>6.5530799475753605E-4</v>
      </c>
      <c r="M128" s="34">
        <v>28445870.851245087</v>
      </c>
      <c r="N128" s="90">
        <f t="shared" si="52"/>
        <v>0.24803407601572741</v>
      </c>
      <c r="O128" s="34">
        <v>59371830.838794231</v>
      </c>
      <c r="P128" s="90">
        <f t="shared" si="53"/>
        <v>0.51769331585845346</v>
      </c>
      <c r="Q128" s="34">
        <v>26792478.093709044</v>
      </c>
      <c r="R128" s="90">
        <f t="shared" si="54"/>
        <v>0.23361730013106161</v>
      </c>
      <c r="S128" s="31"/>
    </row>
    <row r="129" spans="1:19" s="2" customFormat="1" ht="28.8" x14ac:dyDescent="0.3">
      <c r="A129" s="3"/>
      <c r="B129" s="5">
        <v>8</v>
      </c>
      <c r="C129" s="6" t="s">
        <v>115</v>
      </c>
      <c r="D129" s="16" t="s">
        <v>50</v>
      </c>
      <c r="E129" s="12">
        <v>141544833</v>
      </c>
      <c r="F129" s="12">
        <v>141544833</v>
      </c>
      <c r="G129" s="73">
        <f t="shared" si="48"/>
        <v>1</v>
      </c>
      <c r="H129" s="12">
        <v>141544833</v>
      </c>
      <c r="I129" s="73">
        <f t="shared" si="49"/>
        <v>1</v>
      </c>
      <c r="J129" s="28"/>
      <c r="K129" s="34">
        <v>11465131.473000001</v>
      </c>
      <c r="L129" s="90">
        <f t="shared" si="50"/>
        <v>8.1000000000000003E-2</v>
      </c>
      <c r="M129" s="34">
        <v>10191227.976</v>
      </c>
      <c r="N129" s="90">
        <f t="shared" si="52"/>
        <v>7.1999999999999995E-2</v>
      </c>
      <c r="O129" s="34">
        <v>11040496.973999999</v>
      </c>
      <c r="P129" s="90">
        <f t="shared" si="53"/>
        <v>7.8E-2</v>
      </c>
      <c r="Q129" s="34">
        <v>108847976.57700001</v>
      </c>
      <c r="R129" s="90">
        <f t="shared" si="54"/>
        <v>0.76900000000000002</v>
      </c>
      <c r="S129" s="31"/>
    </row>
    <row r="130" spans="1:19" s="2" customFormat="1" ht="35.4" customHeight="1" x14ac:dyDescent="0.3">
      <c r="A130" s="3"/>
      <c r="B130" s="21">
        <v>1</v>
      </c>
      <c r="C130" s="17" t="s">
        <v>114</v>
      </c>
      <c r="D130" s="17" t="s">
        <v>71</v>
      </c>
      <c r="E130" s="50">
        <f>SUM(E131:E132)</f>
        <v>98737546</v>
      </c>
      <c r="F130" s="50">
        <f t="shared" ref="F130:H130" si="101">SUM(F131:F132)</f>
        <v>98737546</v>
      </c>
      <c r="G130" s="72">
        <f t="shared" si="48"/>
        <v>1</v>
      </c>
      <c r="H130" s="50">
        <f t="shared" si="101"/>
        <v>98737546</v>
      </c>
      <c r="I130" s="72">
        <f t="shared" si="49"/>
        <v>1</v>
      </c>
      <c r="J130" s="28"/>
      <c r="K130" s="51">
        <f>+K131+K132</f>
        <v>4029094.173857755</v>
      </c>
      <c r="L130" s="89">
        <f t="shared" si="50"/>
        <v>4.08060999800193E-2</v>
      </c>
      <c r="M130" s="51">
        <f t="shared" ref="M130:Q130" si="102">+M131+M132</f>
        <v>12631812.349532133</v>
      </c>
      <c r="N130" s="89">
        <f t="shared" si="52"/>
        <v>0.12793322156833969</v>
      </c>
      <c r="O130" s="51">
        <f t="shared" si="102"/>
        <v>26123885.882944304</v>
      </c>
      <c r="P130" s="89">
        <f t="shared" si="53"/>
        <v>0.26457904759901874</v>
      </c>
      <c r="Q130" s="51">
        <f t="shared" si="102"/>
        <v>55952753.593665808</v>
      </c>
      <c r="R130" s="89">
        <f t="shared" si="54"/>
        <v>0.56668163085262224</v>
      </c>
      <c r="S130" s="31"/>
    </row>
    <row r="131" spans="1:19" s="2" customFormat="1" ht="15.6" x14ac:dyDescent="0.3">
      <c r="A131" s="3"/>
      <c r="B131" s="5">
        <v>1</v>
      </c>
      <c r="C131" s="6" t="s">
        <v>114</v>
      </c>
      <c r="D131" s="16" t="s">
        <v>9</v>
      </c>
      <c r="E131" s="12">
        <v>51160550</v>
      </c>
      <c r="F131" s="12">
        <v>51160550</v>
      </c>
      <c r="G131" s="73">
        <f t="shared" si="48"/>
        <v>1</v>
      </c>
      <c r="H131" s="12">
        <v>51160550</v>
      </c>
      <c r="I131" s="73">
        <f t="shared" si="49"/>
        <v>1</v>
      </c>
      <c r="J131" s="28"/>
      <c r="K131" s="34">
        <v>175357.49785775493</v>
      </c>
      <c r="L131" s="90">
        <f t="shared" si="50"/>
        <v>3.4275921165381321E-3</v>
      </c>
      <c r="M131" s="34">
        <v>9206268.6375321336</v>
      </c>
      <c r="N131" s="90">
        <f t="shared" si="52"/>
        <v>0.17994858611825193</v>
      </c>
      <c r="O131" s="34">
        <v>22412880.194944303</v>
      </c>
      <c r="P131" s="90">
        <f t="shared" si="53"/>
        <v>0.43808911739503004</v>
      </c>
      <c r="Q131" s="34">
        <v>19366043.66966581</v>
      </c>
      <c r="R131" s="90">
        <f t="shared" si="54"/>
        <v>0.37853470437017994</v>
      </c>
      <c r="S131" s="31"/>
    </row>
    <row r="132" spans="1:19" s="2" customFormat="1" ht="15.6" x14ac:dyDescent="0.3">
      <c r="A132" s="3"/>
      <c r="B132" s="5">
        <v>1</v>
      </c>
      <c r="C132" s="6" t="s">
        <v>114</v>
      </c>
      <c r="D132" s="16" t="s">
        <v>50</v>
      </c>
      <c r="E132" s="12">
        <v>47576996</v>
      </c>
      <c r="F132" s="12">
        <v>47576996</v>
      </c>
      <c r="G132" s="73">
        <f t="shared" si="48"/>
        <v>1</v>
      </c>
      <c r="H132" s="12">
        <v>47576996</v>
      </c>
      <c r="I132" s="73">
        <f t="shared" si="49"/>
        <v>1</v>
      </c>
      <c r="J132" s="28"/>
      <c r="K132" s="34">
        <v>3853736.676</v>
      </c>
      <c r="L132" s="90">
        <f t="shared" si="50"/>
        <v>8.1000000000000003E-2</v>
      </c>
      <c r="M132" s="34">
        <v>3425543.7119999998</v>
      </c>
      <c r="N132" s="90">
        <f t="shared" si="52"/>
        <v>7.1999999999999995E-2</v>
      </c>
      <c r="O132" s="34">
        <v>3711005.6880000001</v>
      </c>
      <c r="P132" s="90">
        <f t="shared" si="53"/>
        <v>7.8E-2</v>
      </c>
      <c r="Q132" s="34">
        <v>36586709.924000002</v>
      </c>
      <c r="R132" s="90">
        <f t="shared" si="54"/>
        <v>0.76900000000000002</v>
      </c>
      <c r="S132" s="31"/>
    </row>
    <row r="133" spans="1:19" s="2" customFormat="1" ht="28.8" x14ac:dyDescent="0.3">
      <c r="A133" s="3"/>
      <c r="B133" s="21">
        <v>1</v>
      </c>
      <c r="C133" s="17" t="s">
        <v>114</v>
      </c>
      <c r="D133" s="17" t="s">
        <v>72</v>
      </c>
      <c r="E133" s="50">
        <f>SUM(E134)</f>
        <v>105000000</v>
      </c>
      <c r="F133" s="50">
        <f t="shared" ref="F133:H133" si="103">SUM(F134)</f>
        <v>105000000</v>
      </c>
      <c r="G133" s="72">
        <f t="shared" si="48"/>
        <v>1</v>
      </c>
      <c r="H133" s="50">
        <f t="shared" si="103"/>
        <v>105000000</v>
      </c>
      <c r="I133" s="72">
        <f t="shared" si="49"/>
        <v>1</v>
      </c>
      <c r="J133" s="28"/>
      <c r="K133" s="51">
        <f>+K134</f>
        <v>8505000</v>
      </c>
      <c r="L133" s="89">
        <f t="shared" si="50"/>
        <v>8.1000000000000003E-2</v>
      </c>
      <c r="M133" s="51">
        <f t="shared" ref="M133:Q133" si="104">+M134</f>
        <v>7559999.9999999991</v>
      </c>
      <c r="N133" s="89">
        <f t="shared" si="52"/>
        <v>7.1999999999999995E-2</v>
      </c>
      <c r="O133" s="51">
        <f t="shared" si="104"/>
        <v>8190000</v>
      </c>
      <c r="P133" s="89">
        <f t="shared" si="53"/>
        <v>7.8E-2</v>
      </c>
      <c r="Q133" s="51">
        <f t="shared" si="104"/>
        <v>80745000</v>
      </c>
      <c r="R133" s="89">
        <f t="shared" si="54"/>
        <v>0.76900000000000002</v>
      </c>
      <c r="S133" s="31"/>
    </row>
    <row r="134" spans="1:19" s="2" customFormat="1" ht="15.6" x14ac:dyDescent="0.3">
      <c r="A134" s="3"/>
      <c r="B134" s="5">
        <v>1</v>
      </c>
      <c r="C134" s="6" t="s">
        <v>114</v>
      </c>
      <c r="D134" s="16" t="s">
        <v>50</v>
      </c>
      <c r="E134" s="12">
        <v>105000000</v>
      </c>
      <c r="F134" s="12">
        <v>105000000</v>
      </c>
      <c r="G134" s="73">
        <f t="shared" si="48"/>
        <v>1</v>
      </c>
      <c r="H134" s="12">
        <v>105000000</v>
      </c>
      <c r="I134" s="73">
        <f t="shared" si="49"/>
        <v>1</v>
      </c>
      <c r="J134" s="28"/>
      <c r="K134" s="34">
        <v>8505000</v>
      </c>
      <c r="L134" s="90">
        <f t="shared" si="50"/>
        <v>8.1000000000000003E-2</v>
      </c>
      <c r="M134" s="34">
        <v>7559999.9999999991</v>
      </c>
      <c r="N134" s="90">
        <f t="shared" si="52"/>
        <v>7.1999999999999995E-2</v>
      </c>
      <c r="O134" s="34">
        <v>8190000</v>
      </c>
      <c r="P134" s="90">
        <f t="shared" si="53"/>
        <v>7.8E-2</v>
      </c>
      <c r="Q134" s="34">
        <v>80745000</v>
      </c>
      <c r="R134" s="90">
        <f t="shared" si="54"/>
        <v>0.76900000000000002</v>
      </c>
      <c r="S134" s="31"/>
    </row>
    <row r="135" spans="1:19" s="2" customFormat="1" ht="72" x14ac:dyDescent="0.3">
      <c r="A135" s="3"/>
      <c r="B135" s="21">
        <v>7</v>
      </c>
      <c r="C135" s="17" t="s">
        <v>120</v>
      </c>
      <c r="D135" s="17" t="s">
        <v>73</v>
      </c>
      <c r="E135" s="50">
        <f>SUM(E136)</f>
        <v>123291165</v>
      </c>
      <c r="F135" s="50">
        <f t="shared" ref="F135:H135" si="105">SUM(F136)</f>
        <v>123291165</v>
      </c>
      <c r="G135" s="72">
        <f t="shared" ref="G135:G201" si="106">+F135/E135</f>
        <v>1</v>
      </c>
      <c r="H135" s="50">
        <f t="shared" si="105"/>
        <v>123291165</v>
      </c>
      <c r="I135" s="72">
        <f t="shared" ref="I135:I201" si="107">+H135/E135</f>
        <v>1</v>
      </c>
      <c r="J135" s="28"/>
      <c r="K135" s="51">
        <f>+K136</f>
        <v>9986584.3650000002</v>
      </c>
      <c r="L135" s="89">
        <f t="shared" ref="L135:L201" si="108">+K135/F135</f>
        <v>8.1000000000000003E-2</v>
      </c>
      <c r="M135" s="51">
        <f t="shared" ref="M135:Q135" si="109">+M136</f>
        <v>8876963.879999999</v>
      </c>
      <c r="N135" s="89">
        <f t="shared" ref="N135:N201" si="110">+M135/F135</f>
        <v>7.1999999999999995E-2</v>
      </c>
      <c r="O135" s="51">
        <f t="shared" si="109"/>
        <v>9616710.8699999992</v>
      </c>
      <c r="P135" s="89">
        <f t="shared" ref="P135:P201" si="111">+O135/F135</f>
        <v>7.8E-2</v>
      </c>
      <c r="Q135" s="51">
        <f t="shared" si="109"/>
        <v>94810905.885000005</v>
      </c>
      <c r="R135" s="89">
        <f t="shared" ref="R135:R198" si="112">+Q135/F135</f>
        <v>0.76900000000000002</v>
      </c>
      <c r="S135" s="31"/>
    </row>
    <row r="136" spans="1:19" s="2" customFormat="1" ht="72" x14ac:dyDescent="0.3">
      <c r="A136" s="3"/>
      <c r="B136" s="5">
        <v>7</v>
      </c>
      <c r="C136" s="10" t="s">
        <v>120</v>
      </c>
      <c r="D136" s="16" t="s">
        <v>50</v>
      </c>
      <c r="E136" s="12">
        <v>123291165</v>
      </c>
      <c r="F136" s="12">
        <v>123291165</v>
      </c>
      <c r="G136" s="73">
        <f t="shared" si="106"/>
        <v>1</v>
      </c>
      <c r="H136" s="12">
        <v>123291165</v>
      </c>
      <c r="I136" s="73">
        <f t="shared" si="107"/>
        <v>1</v>
      </c>
      <c r="J136" s="28"/>
      <c r="K136" s="34">
        <v>9986584.3650000002</v>
      </c>
      <c r="L136" s="90">
        <f t="shared" si="108"/>
        <v>8.1000000000000003E-2</v>
      </c>
      <c r="M136" s="34">
        <v>8876963.879999999</v>
      </c>
      <c r="N136" s="90">
        <f t="shared" si="110"/>
        <v>7.1999999999999995E-2</v>
      </c>
      <c r="O136" s="34">
        <v>9616710.8699999992</v>
      </c>
      <c r="P136" s="90">
        <f t="shared" si="111"/>
        <v>7.8E-2</v>
      </c>
      <c r="Q136" s="34">
        <v>94810905.885000005</v>
      </c>
      <c r="R136" s="90">
        <f t="shared" si="112"/>
        <v>0.76900000000000002</v>
      </c>
      <c r="S136" s="31"/>
    </row>
    <row r="137" spans="1:19" s="2" customFormat="1" ht="28.8" x14ac:dyDescent="0.3">
      <c r="A137" s="3"/>
      <c r="B137" s="21">
        <v>1</v>
      </c>
      <c r="C137" s="17" t="s">
        <v>114</v>
      </c>
      <c r="D137" s="17" t="s">
        <v>74</v>
      </c>
      <c r="E137" s="50">
        <f>SUM(E138)</f>
        <v>82799499</v>
      </c>
      <c r="F137" s="50">
        <f t="shared" ref="F137:H137" si="113">SUM(F138)</f>
        <v>82799499</v>
      </c>
      <c r="G137" s="72">
        <f t="shared" si="106"/>
        <v>1</v>
      </c>
      <c r="H137" s="50">
        <f t="shared" si="113"/>
        <v>82799499</v>
      </c>
      <c r="I137" s="72">
        <f t="shared" si="107"/>
        <v>1</v>
      </c>
      <c r="J137" s="28"/>
      <c r="K137" s="51">
        <f>+K138</f>
        <v>6706759.4189999998</v>
      </c>
      <c r="L137" s="89">
        <f t="shared" si="108"/>
        <v>8.1000000000000003E-2</v>
      </c>
      <c r="M137" s="51">
        <f t="shared" ref="M137:Q137" si="114">+M138</f>
        <v>5961563.9279999994</v>
      </c>
      <c r="N137" s="89">
        <f t="shared" si="110"/>
        <v>7.1999999999999995E-2</v>
      </c>
      <c r="O137" s="51">
        <f t="shared" si="114"/>
        <v>6458360.9220000003</v>
      </c>
      <c r="P137" s="89">
        <f t="shared" si="111"/>
        <v>7.8E-2</v>
      </c>
      <c r="Q137" s="51">
        <f t="shared" si="114"/>
        <v>63672814.730999999</v>
      </c>
      <c r="R137" s="89">
        <f t="shared" si="112"/>
        <v>0.76900000000000002</v>
      </c>
      <c r="S137" s="31"/>
    </row>
    <row r="138" spans="1:19" s="2" customFormat="1" ht="15.6" x14ac:dyDescent="0.3">
      <c r="A138" s="3"/>
      <c r="B138" s="5">
        <v>1</v>
      </c>
      <c r="C138" s="6" t="s">
        <v>114</v>
      </c>
      <c r="D138" s="16" t="s">
        <v>50</v>
      </c>
      <c r="E138" s="12">
        <v>82799499</v>
      </c>
      <c r="F138" s="12">
        <v>82799499</v>
      </c>
      <c r="G138" s="73">
        <f t="shared" si="106"/>
        <v>1</v>
      </c>
      <c r="H138" s="12">
        <v>82799499</v>
      </c>
      <c r="I138" s="73">
        <f t="shared" si="107"/>
        <v>1</v>
      </c>
      <c r="J138" s="28"/>
      <c r="K138" s="34">
        <v>6706759.4189999998</v>
      </c>
      <c r="L138" s="90">
        <f t="shared" si="108"/>
        <v>8.1000000000000003E-2</v>
      </c>
      <c r="M138" s="34">
        <v>5961563.9279999994</v>
      </c>
      <c r="N138" s="90">
        <f t="shared" si="110"/>
        <v>7.1999999999999995E-2</v>
      </c>
      <c r="O138" s="34">
        <v>6458360.9220000003</v>
      </c>
      <c r="P138" s="90">
        <f t="shared" si="111"/>
        <v>7.8E-2</v>
      </c>
      <c r="Q138" s="34">
        <v>63672814.730999999</v>
      </c>
      <c r="R138" s="90">
        <f t="shared" si="112"/>
        <v>0.76900000000000002</v>
      </c>
      <c r="S138" s="31"/>
    </row>
    <row r="139" spans="1:19" s="2" customFormat="1" ht="28.8" x14ac:dyDescent="0.3">
      <c r="A139" s="3"/>
      <c r="B139" s="21">
        <v>1</v>
      </c>
      <c r="C139" s="17" t="s">
        <v>114</v>
      </c>
      <c r="D139" s="17" t="s">
        <v>75</v>
      </c>
      <c r="E139" s="50">
        <f>SUM(E140:E144)</f>
        <v>1959517229</v>
      </c>
      <c r="F139" s="50">
        <f t="shared" ref="F139:H139" si="115">SUM(F140:F144)</f>
        <v>1959517229</v>
      </c>
      <c r="G139" s="72">
        <f t="shared" si="106"/>
        <v>1</v>
      </c>
      <c r="H139" s="50">
        <f t="shared" si="115"/>
        <v>1959517229</v>
      </c>
      <c r="I139" s="72">
        <f t="shared" si="107"/>
        <v>1</v>
      </c>
      <c r="J139" s="28"/>
      <c r="K139" s="51">
        <f>+K140+K141+K142+K143+K144</f>
        <v>158720895.54900002</v>
      </c>
      <c r="L139" s="89">
        <f t="shared" si="108"/>
        <v>8.1000000000000016E-2</v>
      </c>
      <c r="M139" s="51">
        <f t="shared" ref="M139:Q139" si="116">+M140+M141+M142+M143+M144</f>
        <v>141085240.48800001</v>
      </c>
      <c r="N139" s="89">
        <f t="shared" si="110"/>
        <v>7.2000000000000008E-2</v>
      </c>
      <c r="O139" s="51">
        <f t="shared" si="116"/>
        <v>152842343.86199999</v>
      </c>
      <c r="P139" s="89">
        <f t="shared" si="111"/>
        <v>7.8E-2</v>
      </c>
      <c r="Q139" s="51">
        <f t="shared" si="116"/>
        <v>1506868749.1009998</v>
      </c>
      <c r="R139" s="89">
        <f t="shared" si="112"/>
        <v>0.76899999999999991</v>
      </c>
      <c r="S139" s="31"/>
    </row>
    <row r="140" spans="1:19" s="2" customFormat="1" ht="15.6" x14ac:dyDescent="0.3">
      <c r="A140" s="3"/>
      <c r="B140" s="5">
        <v>1</v>
      </c>
      <c r="C140" s="6" t="s">
        <v>114</v>
      </c>
      <c r="D140" s="16" t="s">
        <v>9</v>
      </c>
      <c r="E140" s="12">
        <v>596101794</v>
      </c>
      <c r="F140" s="12">
        <v>596101794</v>
      </c>
      <c r="G140" s="73">
        <f t="shared" si="106"/>
        <v>1</v>
      </c>
      <c r="H140" s="12">
        <v>596101794</v>
      </c>
      <c r="I140" s="73">
        <f t="shared" si="107"/>
        <v>1</v>
      </c>
      <c r="J140" s="28"/>
      <c r="K140" s="34">
        <v>48284245.314000003</v>
      </c>
      <c r="L140" s="90">
        <f t="shared" si="108"/>
        <v>8.1000000000000003E-2</v>
      </c>
      <c r="M140" s="34">
        <v>42919329.167999998</v>
      </c>
      <c r="N140" s="90">
        <f t="shared" si="110"/>
        <v>7.1999999999999995E-2</v>
      </c>
      <c r="O140" s="34">
        <v>46495939.931999996</v>
      </c>
      <c r="P140" s="90">
        <f t="shared" si="111"/>
        <v>7.8E-2</v>
      </c>
      <c r="Q140" s="34">
        <v>458402279.58600003</v>
      </c>
      <c r="R140" s="90">
        <f t="shared" si="112"/>
        <v>0.76900000000000002</v>
      </c>
      <c r="S140" s="31"/>
    </row>
    <row r="141" spans="1:19" s="2" customFormat="1" ht="15.6" x14ac:dyDescent="0.3">
      <c r="A141" s="3"/>
      <c r="B141" s="5">
        <v>1</v>
      </c>
      <c r="C141" s="6" t="s">
        <v>114</v>
      </c>
      <c r="D141" s="16" t="s">
        <v>18</v>
      </c>
      <c r="E141" s="12">
        <v>895157014</v>
      </c>
      <c r="F141" s="12">
        <v>895157014</v>
      </c>
      <c r="G141" s="73">
        <f t="shared" si="106"/>
        <v>1</v>
      </c>
      <c r="H141" s="12">
        <v>895157014</v>
      </c>
      <c r="I141" s="73">
        <f t="shared" si="107"/>
        <v>1</v>
      </c>
      <c r="J141" s="28"/>
      <c r="K141" s="34">
        <v>72507718.134000003</v>
      </c>
      <c r="L141" s="90">
        <f t="shared" si="108"/>
        <v>8.1000000000000003E-2</v>
      </c>
      <c r="M141" s="34">
        <v>64451305.007999994</v>
      </c>
      <c r="N141" s="90">
        <f t="shared" si="110"/>
        <v>7.1999999999999995E-2</v>
      </c>
      <c r="O141" s="34">
        <v>69822247.091999993</v>
      </c>
      <c r="P141" s="90">
        <f t="shared" si="111"/>
        <v>7.7999999999999986E-2</v>
      </c>
      <c r="Q141" s="34">
        <v>688375743.76600003</v>
      </c>
      <c r="R141" s="90">
        <f t="shared" si="112"/>
        <v>0.76900000000000002</v>
      </c>
      <c r="S141" s="31"/>
    </row>
    <row r="142" spans="1:19" s="2" customFormat="1" ht="15.6" x14ac:dyDescent="0.3">
      <c r="A142" s="3"/>
      <c r="B142" s="5">
        <v>1</v>
      </c>
      <c r="C142" s="6" t="s">
        <v>114</v>
      </c>
      <c r="D142" s="16" t="s">
        <v>50</v>
      </c>
      <c r="E142" s="12">
        <v>117248833</v>
      </c>
      <c r="F142" s="12">
        <v>117248833</v>
      </c>
      <c r="G142" s="73">
        <f t="shared" si="106"/>
        <v>1</v>
      </c>
      <c r="H142" s="12">
        <v>117248833</v>
      </c>
      <c r="I142" s="73">
        <f t="shared" si="107"/>
        <v>1</v>
      </c>
      <c r="J142" s="28"/>
      <c r="K142" s="34">
        <v>9497155.4730000012</v>
      </c>
      <c r="L142" s="90">
        <f t="shared" si="108"/>
        <v>8.1000000000000016E-2</v>
      </c>
      <c r="M142" s="34">
        <v>8441915.9759999998</v>
      </c>
      <c r="N142" s="90">
        <f t="shared" si="110"/>
        <v>7.1999999999999995E-2</v>
      </c>
      <c r="O142" s="34">
        <v>9145408.9739999995</v>
      </c>
      <c r="P142" s="90">
        <f t="shared" si="111"/>
        <v>7.8E-2</v>
      </c>
      <c r="Q142" s="34">
        <v>90164352.577000007</v>
      </c>
      <c r="R142" s="90">
        <f t="shared" si="112"/>
        <v>0.76900000000000002</v>
      </c>
      <c r="S142" s="31"/>
    </row>
    <row r="143" spans="1:19" s="2" customFormat="1" ht="28.8" x14ac:dyDescent="0.3">
      <c r="A143" s="3"/>
      <c r="B143" s="5">
        <v>1</v>
      </c>
      <c r="C143" s="6" t="s">
        <v>114</v>
      </c>
      <c r="D143" s="16" t="s">
        <v>39</v>
      </c>
      <c r="E143" s="12">
        <v>350229588</v>
      </c>
      <c r="F143" s="12">
        <v>350229588</v>
      </c>
      <c r="G143" s="73">
        <f t="shared" si="106"/>
        <v>1</v>
      </c>
      <c r="H143" s="12">
        <v>350229588</v>
      </c>
      <c r="I143" s="73">
        <f t="shared" si="107"/>
        <v>1</v>
      </c>
      <c r="J143" s="28"/>
      <c r="K143" s="34">
        <v>28368596.628000002</v>
      </c>
      <c r="L143" s="90">
        <f t="shared" si="108"/>
        <v>8.1000000000000003E-2</v>
      </c>
      <c r="M143" s="34">
        <v>25216530.335999999</v>
      </c>
      <c r="N143" s="90">
        <f t="shared" si="110"/>
        <v>7.1999999999999995E-2</v>
      </c>
      <c r="O143" s="34">
        <v>27317907.864</v>
      </c>
      <c r="P143" s="90">
        <f t="shared" si="111"/>
        <v>7.8E-2</v>
      </c>
      <c r="Q143" s="34">
        <v>269326553.17199999</v>
      </c>
      <c r="R143" s="90">
        <f t="shared" si="112"/>
        <v>0.76900000000000002</v>
      </c>
      <c r="S143" s="31"/>
    </row>
    <row r="144" spans="1:19" s="45" customFormat="1" ht="15.6" x14ac:dyDescent="0.3">
      <c r="A144" s="41"/>
      <c r="B144" s="32">
        <v>1</v>
      </c>
      <c r="C144" s="33" t="s">
        <v>114</v>
      </c>
      <c r="D144" s="55" t="s">
        <v>76</v>
      </c>
      <c r="E144" s="56">
        <v>780000</v>
      </c>
      <c r="F144" s="56">
        <v>780000</v>
      </c>
      <c r="G144" s="75">
        <f t="shared" si="106"/>
        <v>1</v>
      </c>
      <c r="H144" s="56">
        <v>780000</v>
      </c>
      <c r="I144" s="75">
        <f t="shared" si="107"/>
        <v>1</v>
      </c>
      <c r="J144" s="42"/>
      <c r="K144" s="46">
        <f>+F144*8.1%</f>
        <v>63180</v>
      </c>
      <c r="L144" s="87">
        <f t="shared" si="108"/>
        <v>8.1000000000000003E-2</v>
      </c>
      <c r="M144" s="46">
        <f>+F144*7.2%</f>
        <v>56160.000000000007</v>
      </c>
      <c r="N144" s="87">
        <f t="shared" si="110"/>
        <v>7.2000000000000008E-2</v>
      </c>
      <c r="O144" s="46">
        <f>+F144*7.8%</f>
        <v>60840</v>
      </c>
      <c r="P144" s="87">
        <f t="shared" si="111"/>
        <v>7.8E-2</v>
      </c>
      <c r="Q144" s="46">
        <f>+F144*76.9%</f>
        <v>599820</v>
      </c>
      <c r="R144" s="87">
        <f t="shared" si="112"/>
        <v>0.76900000000000002</v>
      </c>
      <c r="S144" s="44"/>
    </row>
    <row r="145" spans="1:19" s="2" customFormat="1" ht="28.8" x14ac:dyDescent="0.3">
      <c r="A145" s="3"/>
      <c r="B145" s="21">
        <v>1</v>
      </c>
      <c r="C145" s="17" t="s">
        <v>114</v>
      </c>
      <c r="D145" s="17" t="s">
        <v>77</v>
      </c>
      <c r="E145" s="50">
        <f>SUM(E146)</f>
        <v>64111333</v>
      </c>
      <c r="F145" s="50">
        <f t="shared" ref="F145:H145" si="117">SUM(F146)</f>
        <v>64111333</v>
      </c>
      <c r="G145" s="72">
        <f t="shared" si="106"/>
        <v>1</v>
      </c>
      <c r="H145" s="50">
        <f t="shared" si="117"/>
        <v>64111333</v>
      </c>
      <c r="I145" s="72">
        <f t="shared" si="107"/>
        <v>1</v>
      </c>
      <c r="J145" s="28"/>
      <c r="K145" s="51">
        <f>+K146</f>
        <v>5193017.9730000002</v>
      </c>
      <c r="L145" s="89">
        <f t="shared" si="108"/>
        <v>8.1000000000000003E-2</v>
      </c>
      <c r="M145" s="51">
        <f t="shared" ref="M145:Q145" si="118">+M146</f>
        <v>4616015.9759999998</v>
      </c>
      <c r="N145" s="89">
        <f t="shared" si="110"/>
        <v>7.1999999999999995E-2</v>
      </c>
      <c r="O145" s="51">
        <f t="shared" si="118"/>
        <v>5000683.9740000004</v>
      </c>
      <c r="P145" s="89">
        <f t="shared" si="111"/>
        <v>7.8E-2</v>
      </c>
      <c r="Q145" s="51">
        <f t="shared" si="118"/>
        <v>49301615.077</v>
      </c>
      <c r="R145" s="89">
        <f t="shared" si="112"/>
        <v>0.76900000000000002</v>
      </c>
      <c r="S145" s="31"/>
    </row>
    <row r="146" spans="1:19" s="2" customFormat="1" ht="15.6" x14ac:dyDescent="0.3">
      <c r="A146" s="3"/>
      <c r="B146" s="5">
        <v>1</v>
      </c>
      <c r="C146" s="6" t="s">
        <v>114</v>
      </c>
      <c r="D146" s="16" t="s">
        <v>50</v>
      </c>
      <c r="E146" s="12">
        <v>64111333</v>
      </c>
      <c r="F146" s="12">
        <v>64111333</v>
      </c>
      <c r="G146" s="73">
        <f t="shared" si="106"/>
        <v>1</v>
      </c>
      <c r="H146" s="12">
        <v>64111333</v>
      </c>
      <c r="I146" s="73">
        <f t="shared" si="107"/>
        <v>1</v>
      </c>
      <c r="J146" s="28"/>
      <c r="K146" s="34">
        <v>5193017.9730000002</v>
      </c>
      <c r="L146" s="90">
        <f t="shared" si="108"/>
        <v>8.1000000000000003E-2</v>
      </c>
      <c r="M146" s="34">
        <v>4616015.9759999998</v>
      </c>
      <c r="N146" s="90">
        <f t="shared" si="110"/>
        <v>7.1999999999999995E-2</v>
      </c>
      <c r="O146" s="34">
        <v>5000683.9740000004</v>
      </c>
      <c r="P146" s="90">
        <f t="shared" si="111"/>
        <v>7.8E-2</v>
      </c>
      <c r="Q146" s="34">
        <v>49301615.077</v>
      </c>
      <c r="R146" s="90">
        <f t="shared" si="112"/>
        <v>0.76900000000000002</v>
      </c>
      <c r="S146" s="31"/>
    </row>
    <row r="147" spans="1:19" s="2" customFormat="1" ht="43.2" x14ac:dyDescent="0.3">
      <c r="A147" s="3"/>
      <c r="B147" s="21">
        <v>2</v>
      </c>
      <c r="C147" s="17" t="s">
        <v>112</v>
      </c>
      <c r="D147" s="17" t="s">
        <v>78</v>
      </c>
      <c r="E147" s="50">
        <f>SUM(E148)</f>
        <v>38000000</v>
      </c>
      <c r="F147" s="50">
        <f t="shared" ref="F147:H147" si="119">SUM(F148)</f>
        <v>38000000</v>
      </c>
      <c r="G147" s="72">
        <f t="shared" si="106"/>
        <v>1</v>
      </c>
      <c r="H147" s="50">
        <f t="shared" si="119"/>
        <v>38000000</v>
      </c>
      <c r="I147" s="72">
        <f t="shared" si="107"/>
        <v>1</v>
      </c>
      <c r="J147" s="28"/>
      <c r="K147" s="51">
        <f>+K148</f>
        <v>3078000</v>
      </c>
      <c r="L147" s="89">
        <f t="shared" si="108"/>
        <v>8.1000000000000003E-2</v>
      </c>
      <c r="M147" s="51">
        <f t="shared" ref="M147:Q147" si="120">+M148</f>
        <v>2736000</v>
      </c>
      <c r="N147" s="89">
        <f t="shared" si="110"/>
        <v>7.1999999999999995E-2</v>
      </c>
      <c r="O147" s="51">
        <f t="shared" si="120"/>
        <v>2964000</v>
      </c>
      <c r="P147" s="89">
        <f t="shared" si="111"/>
        <v>7.8E-2</v>
      </c>
      <c r="Q147" s="51">
        <f t="shared" si="120"/>
        <v>29222000</v>
      </c>
      <c r="R147" s="89">
        <f t="shared" si="112"/>
        <v>0.76900000000000002</v>
      </c>
      <c r="S147" s="31"/>
    </row>
    <row r="148" spans="1:19" s="2" customFormat="1" ht="28.8" x14ac:dyDescent="0.3">
      <c r="A148" s="3"/>
      <c r="B148" s="5">
        <v>2</v>
      </c>
      <c r="C148" s="6" t="s">
        <v>112</v>
      </c>
      <c r="D148" s="16" t="s">
        <v>50</v>
      </c>
      <c r="E148" s="12">
        <v>38000000</v>
      </c>
      <c r="F148" s="12">
        <v>38000000</v>
      </c>
      <c r="G148" s="73">
        <f t="shared" si="106"/>
        <v>1</v>
      </c>
      <c r="H148" s="12">
        <v>38000000</v>
      </c>
      <c r="I148" s="73">
        <f t="shared" si="107"/>
        <v>1</v>
      </c>
      <c r="J148" s="28"/>
      <c r="K148" s="67">
        <v>3078000</v>
      </c>
      <c r="L148" s="88">
        <f t="shared" si="108"/>
        <v>8.1000000000000003E-2</v>
      </c>
      <c r="M148" s="67">
        <v>2736000</v>
      </c>
      <c r="N148" s="88">
        <f t="shared" si="110"/>
        <v>7.1999999999999995E-2</v>
      </c>
      <c r="O148" s="67">
        <v>2964000</v>
      </c>
      <c r="P148" s="88">
        <f t="shared" si="111"/>
        <v>7.8E-2</v>
      </c>
      <c r="Q148" s="67">
        <v>29222000</v>
      </c>
      <c r="R148" s="88">
        <f t="shared" si="112"/>
        <v>0.76900000000000002</v>
      </c>
      <c r="S148" s="31"/>
    </row>
    <row r="149" spans="1:19" s="2" customFormat="1" ht="22.5" customHeight="1" x14ac:dyDescent="0.3">
      <c r="A149" s="3"/>
      <c r="B149" s="21">
        <v>1</v>
      </c>
      <c r="C149" s="17" t="s">
        <v>114</v>
      </c>
      <c r="D149" s="17" t="s">
        <v>79</v>
      </c>
      <c r="E149" s="50">
        <f>SUM(E150)</f>
        <v>61782500</v>
      </c>
      <c r="F149" s="50">
        <f t="shared" ref="F149:H149" si="121">SUM(F150)</f>
        <v>61782500</v>
      </c>
      <c r="G149" s="72">
        <f t="shared" si="106"/>
        <v>1</v>
      </c>
      <c r="H149" s="50">
        <f t="shared" si="121"/>
        <v>61782500</v>
      </c>
      <c r="I149" s="72">
        <f t="shared" si="107"/>
        <v>1</v>
      </c>
      <c r="J149" s="28"/>
      <c r="K149" s="51">
        <f>+K150</f>
        <v>5004382.5</v>
      </c>
      <c r="L149" s="89">
        <f t="shared" si="108"/>
        <v>8.1000000000000003E-2</v>
      </c>
      <c r="M149" s="51">
        <f t="shared" ref="M149:Q149" si="122">+M150</f>
        <v>4448340</v>
      </c>
      <c r="N149" s="89">
        <f t="shared" si="110"/>
        <v>7.1999999999999995E-2</v>
      </c>
      <c r="O149" s="51">
        <f t="shared" si="122"/>
        <v>4819035</v>
      </c>
      <c r="P149" s="89">
        <f t="shared" si="111"/>
        <v>7.8E-2</v>
      </c>
      <c r="Q149" s="51">
        <f t="shared" si="122"/>
        <v>47510742.5</v>
      </c>
      <c r="R149" s="89">
        <f t="shared" si="112"/>
        <v>0.76900000000000002</v>
      </c>
      <c r="S149" s="31"/>
    </row>
    <row r="150" spans="1:19" s="2" customFormat="1" ht="15.6" x14ac:dyDescent="0.3">
      <c r="A150" s="3"/>
      <c r="B150" s="5">
        <v>1</v>
      </c>
      <c r="C150" s="6" t="s">
        <v>114</v>
      </c>
      <c r="D150" s="16" t="s">
        <v>50</v>
      </c>
      <c r="E150" s="12">
        <v>61782500</v>
      </c>
      <c r="F150" s="12">
        <v>61782500</v>
      </c>
      <c r="G150" s="73">
        <f t="shared" si="106"/>
        <v>1</v>
      </c>
      <c r="H150" s="12">
        <v>61782500</v>
      </c>
      <c r="I150" s="73">
        <f t="shared" si="107"/>
        <v>1</v>
      </c>
      <c r="J150" s="28"/>
      <c r="K150" s="68">
        <v>5004382.5</v>
      </c>
      <c r="L150" s="87">
        <f t="shared" si="108"/>
        <v>8.1000000000000003E-2</v>
      </c>
      <c r="M150" s="68">
        <v>4448340</v>
      </c>
      <c r="N150" s="87">
        <f t="shared" si="110"/>
        <v>7.1999999999999995E-2</v>
      </c>
      <c r="O150" s="68">
        <v>4819035</v>
      </c>
      <c r="P150" s="87">
        <f t="shared" si="111"/>
        <v>7.8E-2</v>
      </c>
      <c r="Q150" s="68">
        <v>47510742.5</v>
      </c>
      <c r="R150" s="87">
        <f t="shared" si="112"/>
        <v>0.76900000000000002</v>
      </c>
      <c r="S150" s="31"/>
    </row>
    <row r="151" spans="1:19" s="2" customFormat="1" ht="28.8" x14ac:dyDescent="0.3">
      <c r="A151" s="3"/>
      <c r="B151" s="21">
        <v>1</v>
      </c>
      <c r="C151" s="17" t="s">
        <v>114</v>
      </c>
      <c r="D151" s="17" t="s">
        <v>80</v>
      </c>
      <c r="E151" s="50">
        <f>SUM(E152:E153)</f>
        <v>44159833</v>
      </c>
      <c r="F151" s="50">
        <f t="shared" ref="F151:H151" si="123">SUM(F152:F153)</f>
        <v>44159833</v>
      </c>
      <c r="G151" s="72">
        <f t="shared" si="106"/>
        <v>1</v>
      </c>
      <c r="H151" s="50">
        <f t="shared" si="123"/>
        <v>44159833</v>
      </c>
      <c r="I151" s="72">
        <f t="shared" si="107"/>
        <v>1</v>
      </c>
      <c r="J151" s="28"/>
      <c r="K151" s="51">
        <f>+K152+K153</f>
        <v>3576946.4730000002</v>
      </c>
      <c r="L151" s="89">
        <f t="shared" si="108"/>
        <v>8.1000000000000003E-2</v>
      </c>
      <c r="M151" s="51">
        <f t="shared" ref="M151:Q151" si="124">+M152+M153</f>
        <v>3179507.9759999998</v>
      </c>
      <c r="N151" s="89">
        <f t="shared" si="110"/>
        <v>7.1999999999999995E-2</v>
      </c>
      <c r="O151" s="51">
        <f t="shared" si="124"/>
        <v>3444466.9739999999</v>
      </c>
      <c r="P151" s="89">
        <f t="shared" si="111"/>
        <v>7.8E-2</v>
      </c>
      <c r="Q151" s="51">
        <f t="shared" si="124"/>
        <v>33958911.577</v>
      </c>
      <c r="R151" s="89">
        <f t="shared" si="112"/>
        <v>0.76900000000000002</v>
      </c>
      <c r="S151" s="31"/>
    </row>
    <row r="152" spans="1:19" s="2" customFormat="1" ht="15.6" x14ac:dyDescent="0.3">
      <c r="A152" s="3"/>
      <c r="B152" s="5">
        <v>1</v>
      </c>
      <c r="C152" s="6" t="s">
        <v>114</v>
      </c>
      <c r="D152" s="16" t="s">
        <v>50</v>
      </c>
      <c r="E152" s="12">
        <v>24523833</v>
      </c>
      <c r="F152" s="12">
        <v>24523833</v>
      </c>
      <c r="G152" s="73">
        <f t="shared" si="106"/>
        <v>1</v>
      </c>
      <c r="H152" s="12">
        <v>24523833</v>
      </c>
      <c r="I152" s="73">
        <f t="shared" si="107"/>
        <v>1</v>
      </c>
      <c r="J152" s="28"/>
      <c r="K152" s="34">
        <v>1986430.473</v>
      </c>
      <c r="L152" s="90">
        <f t="shared" si="108"/>
        <v>8.1000000000000003E-2</v>
      </c>
      <c r="M152" s="34">
        <v>1765715.9759999998</v>
      </c>
      <c r="N152" s="90">
        <f t="shared" si="110"/>
        <v>7.1999999999999995E-2</v>
      </c>
      <c r="O152" s="34">
        <v>1912858.9739999999</v>
      </c>
      <c r="P152" s="90">
        <f t="shared" si="111"/>
        <v>7.8E-2</v>
      </c>
      <c r="Q152" s="34">
        <v>18858827.577</v>
      </c>
      <c r="R152" s="90">
        <f t="shared" si="112"/>
        <v>0.76900000000000002</v>
      </c>
      <c r="S152" s="31"/>
    </row>
    <row r="153" spans="1:19" s="45" customFormat="1" ht="15.6" x14ac:dyDescent="0.3">
      <c r="A153" s="41"/>
      <c r="B153" s="32">
        <v>1</v>
      </c>
      <c r="C153" s="33" t="s">
        <v>114</v>
      </c>
      <c r="D153" s="55" t="s">
        <v>9</v>
      </c>
      <c r="E153" s="56">
        <v>19636000</v>
      </c>
      <c r="F153" s="56">
        <v>19636000</v>
      </c>
      <c r="G153" s="75">
        <f t="shared" si="106"/>
        <v>1</v>
      </c>
      <c r="H153" s="56">
        <v>19636000</v>
      </c>
      <c r="I153" s="75">
        <f t="shared" si="107"/>
        <v>1</v>
      </c>
      <c r="J153" s="42"/>
      <c r="K153" s="46">
        <f>+F153*8.1%</f>
        <v>1590516</v>
      </c>
      <c r="L153" s="87">
        <f t="shared" si="108"/>
        <v>8.1000000000000003E-2</v>
      </c>
      <c r="M153" s="46">
        <f>+F153*7.2%</f>
        <v>1413792.0000000002</v>
      </c>
      <c r="N153" s="87">
        <f t="shared" si="110"/>
        <v>7.2000000000000008E-2</v>
      </c>
      <c r="O153" s="46">
        <f>+F153*7.8%</f>
        <v>1531608</v>
      </c>
      <c r="P153" s="87">
        <f t="shared" si="111"/>
        <v>7.8E-2</v>
      </c>
      <c r="Q153" s="46">
        <f>+F153*76.9%</f>
        <v>15100084</v>
      </c>
      <c r="R153" s="87">
        <f t="shared" si="112"/>
        <v>0.76900000000000002</v>
      </c>
      <c r="S153" s="44"/>
    </row>
    <row r="154" spans="1:19" s="2" customFormat="1" ht="24" customHeight="1" x14ac:dyDescent="0.3">
      <c r="A154" s="3"/>
      <c r="B154" s="21">
        <v>1</v>
      </c>
      <c r="C154" s="17" t="s">
        <v>114</v>
      </c>
      <c r="D154" s="17" t="s">
        <v>81</v>
      </c>
      <c r="E154" s="50">
        <f>SUM(E155:E156)</f>
        <v>142503247</v>
      </c>
      <c r="F154" s="50">
        <f t="shared" ref="F154:H154" si="125">SUM(F155:F156)</f>
        <v>142503247</v>
      </c>
      <c r="G154" s="72">
        <f t="shared" si="106"/>
        <v>1</v>
      </c>
      <c r="H154" s="50">
        <f t="shared" si="125"/>
        <v>142503247</v>
      </c>
      <c r="I154" s="72">
        <f t="shared" si="107"/>
        <v>1</v>
      </c>
      <c r="J154" s="28"/>
      <c r="K154" s="51">
        <f>+K155+K156</f>
        <v>11542763.007000001</v>
      </c>
      <c r="L154" s="89">
        <f t="shared" si="108"/>
        <v>8.1000000000000003E-2</v>
      </c>
      <c r="M154" s="51">
        <f t="shared" ref="M154:Q154" si="126">+M155+M156</f>
        <v>10260233.784</v>
      </c>
      <c r="N154" s="89">
        <f t="shared" si="110"/>
        <v>7.1999999999999995E-2</v>
      </c>
      <c r="O154" s="51">
        <f t="shared" si="126"/>
        <v>11115253.266000001</v>
      </c>
      <c r="P154" s="89">
        <f t="shared" si="111"/>
        <v>7.8E-2</v>
      </c>
      <c r="Q154" s="51">
        <f t="shared" si="126"/>
        <v>109584996.943</v>
      </c>
      <c r="R154" s="89">
        <f t="shared" si="112"/>
        <v>0.76900000000000002</v>
      </c>
      <c r="S154" s="31"/>
    </row>
    <row r="155" spans="1:19" s="2" customFormat="1" ht="15.6" x14ac:dyDescent="0.3">
      <c r="A155" s="3"/>
      <c r="B155" s="5">
        <v>1</v>
      </c>
      <c r="C155" s="6" t="s">
        <v>114</v>
      </c>
      <c r="D155" s="16" t="s">
        <v>50</v>
      </c>
      <c r="E155" s="12">
        <v>127503247</v>
      </c>
      <c r="F155" s="12">
        <v>127503247</v>
      </c>
      <c r="G155" s="73">
        <f t="shared" si="106"/>
        <v>1</v>
      </c>
      <c r="H155" s="12">
        <v>127503247</v>
      </c>
      <c r="I155" s="73">
        <f t="shared" si="107"/>
        <v>1</v>
      </c>
      <c r="J155" s="28"/>
      <c r="K155" s="68">
        <v>10327763.007000001</v>
      </c>
      <c r="L155" s="87">
        <f t="shared" si="108"/>
        <v>8.1000000000000003E-2</v>
      </c>
      <c r="M155" s="68">
        <v>9180233.784</v>
      </c>
      <c r="N155" s="87">
        <f t="shared" si="110"/>
        <v>7.1999999999999995E-2</v>
      </c>
      <c r="O155" s="68">
        <v>9945253.2660000008</v>
      </c>
      <c r="P155" s="87">
        <f t="shared" si="111"/>
        <v>7.8E-2</v>
      </c>
      <c r="Q155" s="68">
        <v>98049996.943000004</v>
      </c>
      <c r="R155" s="87">
        <f t="shared" si="112"/>
        <v>0.76900000000000002</v>
      </c>
      <c r="S155" s="31"/>
    </row>
    <row r="156" spans="1:19" s="45" customFormat="1" ht="15.6" x14ac:dyDescent="0.3">
      <c r="A156" s="41"/>
      <c r="B156" s="32">
        <v>1</v>
      </c>
      <c r="C156" s="33" t="s">
        <v>114</v>
      </c>
      <c r="D156" s="55" t="s">
        <v>9</v>
      </c>
      <c r="E156" s="56">
        <v>15000000</v>
      </c>
      <c r="F156" s="56">
        <v>15000000</v>
      </c>
      <c r="G156" s="75">
        <f t="shared" si="106"/>
        <v>1</v>
      </c>
      <c r="H156" s="56">
        <v>15000000</v>
      </c>
      <c r="I156" s="75">
        <f t="shared" si="107"/>
        <v>1</v>
      </c>
      <c r="J156" s="42"/>
      <c r="K156" s="46">
        <f>+F156*8.1%</f>
        <v>1215000</v>
      </c>
      <c r="L156" s="87">
        <f t="shared" si="108"/>
        <v>8.1000000000000003E-2</v>
      </c>
      <c r="M156" s="46">
        <f>+F156*7.2%</f>
        <v>1080000.0000000002</v>
      </c>
      <c r="N156" s="87">
        <f t="shared" si="110"/>
        <v>7.2000000000000022E-2</v>
      </c>
      <c r="O156" s="46">
        <f>+F156*7.8%</f>
        <v>1170000</v>
      </c>
      <c r="P156" s="87">
        <f t="shared" si="111"/>
        <v>7.8E-2</v>
      </c>
      <c r="Q156" s="46">
        <f>+F156*76.9%</f>
        <v>11535000</v>
      </c>
      <c r="R156" s="87">
        <f t="shared" si="112"/>
        <v>0.76900000000000002</v>
      </c>
      <c r="S156" s="44"/>
    </row>
    <row r="157" spans="1:19" s="2" customFormat="1" ht="34.5" customHeight="1" x14ac:dyDescent="0.3">
      <c r="A157" s="3"/>
      <c r="B157" s="21">
        <v>1</v>
      </c>
      <c r="C157" s="17" t="s">
        <v>114</v>
      </c>
      <c r="D157" s="17" t="s">
        <v>82</v>
      </c>
      <c r="E157" s="50">
        <f>SUM(E158:E159)</f>
        <v>1429845199</v>
      </c>
      <c r="F157" s="50">
        <f t="shared" ref="F157:H157" si="127">SUM(F158:F159)</f>
        <v>1429845199</v>
      </c>
      <c r="G157" s="72">
        <f t="shared" si="106"/>
        <v>1</v>
      </c>
      <c r="H157" s="50">
        <f t="shared" si="127"/>
        <v>1429845199</v>
      </c>
      <c r="I157" s="72">
        <f t="shared" si="107"/>
        <v>1</v>
      </c>
      <c r="J157" s="28"/>
      <c r="K157" s="51">
        <f>+K158+K159</f>
        <v>115817461.119</v>
      </c>
      <c r="L157" s="89">
        <f t="shared" si="108"/>
        <v>8.1000000000000003E-2</v>
      </c>
      <c r="M157" s="51">
        <f t="shared" ref="M157:Q157" si="128">+M158+M159</f>
        <v>102948854.32799999</v>
      </c>
      <c r="N157" s="89">
        <f t="shared" si="110"/>
        <v>7.1999999999999995E-2</v>
      </c>
      <c r="O157" s="51">
        <f t="shared" si="128"/>
        <v>111527925.522</v>
      </c>
      <c r="P157" s="89">
        <f t="shared" si="111"/>
        <v>7.8E-2</v>
      </c>
      <c r="Q157" s="51">
        <f t="shared" si="128"/>
        <v>1099550958.0310001</v>
      </c>
      <c r="R157" s="89">
        <f t="shared" si="112"/>
        <v>0.76900000000000013</v>
      </c>
      <c r="S157" s="31"/>
    </row>
    <row r="158" spans="1:19" s="2" customFormat="1" ht="15.6" x14ac:dyDescent="0.3">
      <c r="A158" s="3"/>
      <c r="B158" s="5">
        <v>1</v>
      </c>
      <c r="C158" s="6" t="s">
        <v>114</v>
      </c>
      <c r="D158" s="16" t="s">
        <v>50</v>
      </c>
      <c r="E158" s="12">
        <v>1159875199</v>
      </c>
      <c r="F158" s="12">
        <v>1159875199</v>
      </c>
      <c r="G158" s="73">
        <f t="shared" si="106"/>
        <v>1</v>
      </c>
      <c r="H158" s="12">
        <v>1159875199</v>
      </c>
      <c r="I158" s="73">
        <f t="shared" si="107"/>
        <v>1</v>
      </c>
      <c r="J158" s="28"/>
      <c r="K158" s="34">
        <v>93949891.119000003</v>
      </c>
      <c r="L158" s="90">
        <f t="shared" si="108"/>
        <v>8.1000000000000003E-2</v>
      </c>
      <c r="M158" s="34">
        <v>83511014.327999994</v>
      </c>
      <c r="N158" s="90">
        <f t="shared" si="110"/>
        <v>7.1999999999999995E-2</v>
      </c>
      <c r="O158" s="34">
        <v>90470265.522</v>
      </c>
      <c r="P158" s="90">
        <f t="shared" si="111"/>
        <v>7.8E-2</v>
      </c>
      <c r="Q158" s="34">
        <v>891944028.03100002</v>
      </c>
      <c r="R158" s="90">
        <f t="shared" si="112"/>
        <v>0.76900000000000002</v>
      </c>
      <c r="S158" s="31"/>
    </row>
    <row r="159" spans="1:19" s="45" customFormat="1" ht="28.8" x14ac:dyDescent="0.3">
      <c r="A159" s="41"/>
      <c r="B159" s="32">
        <v>1</v>
      </c>
      <c r="C159" s="33" t="s">
        <v>114</v>
      </c>
      <c r="D159" s="55" t="s">
        <v>51</v>
      </c>
      <c r="E159" s="56">
        <v>269970000</v>
      </c>
      <c r="F159" s="56">
        <v>269970000</v>
      </c>
      <c r="G159" s="75">
        <f t="shared" si="106"/>
        <v>1</v>
      </c>
      <c r="H159" s="56">
        <v>269970000</v>
      </c>
      <c r="I159" s="75">
        <f t="shared" si="107"/>
        <v>1</v>
      </c>
      <c r="J159" s="42"/>
      <c r="K159" s="46">
        <f>+F159*8.1%</f>
        <v>21867570</v>
      </c>
      <c r="L159" s="87">
        <f t="shared" si="108"/>
        <v>8.1000000000000003E-2</v>
      </c>
      <c r="M159" s="46">
        <f>+F159*7.2%</f>
        <v>19437840.000000004</v>
      </c>
      <c r="N159" s="87">
        <f t="shared" si="110"/>
        <v>7.2000000000000008E-2</v>
      </c>
      <c r="O159" s="46">
        <f>+F159*7.8%</f>
        <v>21057660</v>
      </c>
      <c r="P159" s="87">
        <f t="shared" si="111"/>
        <v>7.8E-2</v>
      </c>
      <c r="Q159" s="46">
        <f>+F159*76.9%</f>
        <v>207606930</v>
      </c>
      <c r="R159" s="87">
        <f t="shared" si="112"/>
        <v>0.76900000000000002</v>
      </c>
      <c r="S159" s="44"/>
    </row>
    <row r="160" spans="1:19" s="2" customFormat="1" ht="28.8" x14ac:dyDescent="0.3">
      <c r="A160" s="3"/>
      <c r="B160" s="21">
        <v>1</v>
      </c>
      <c r="C160" s="17" t="s">
        <v>114</v>
      </c>
      <c r="D160" s="17" t="s">
        <v>83</v>
      </c>
      <c r="E160" s="50">
        <f>SUM(E161:E164)</f>
        <v>769176272</v>
      </c>
      <c r="F160" s="50">
        <f t="shared" ref="F160:H160" si="129">SUM(F161:F164)</f>
        <v>769176272</v>
      </c>
      <c r="G160" s="72">
        <f t="shared" si="106"/>
        <v>1</v>
      </c>
      <c r="H160" s="50">
        <f t="shared" si="129"/>
        <v>769176272</v>
      </c>
      <c r="I160" s="72">
        <f t="shared" si="107"/>
        <v>1</v>
      </c>
      <c r="J160" s="28"/>
      <c r="K160" s="51">
        <f>+K161+K162+K163+K164</f>
        <v>62303278.031999998</v>
      </c>
      <c r="L160" s="89">
        <f t="shared" si="108"/>
        <v>8.1000000000000003E-2</v>
      </c>
      <c r="M160" s="51">
        <f t="shared" ref="M160:Q160" si="130">+M161+M162+M163+M164</f>
        <v>55380691.584000006</v>
      </c>
      <c r="N160" s="89">
        <f t="shared" si="110"/>
        <v>7.2000000000000008E-2</v>
      </c>
      <c r="O160" s="51">
        <f t="shared" si="130"/>
        <v>59995749.216000006</v>
      </c>
      <c r="P160" s="89">
        <f t="shared" si="111"/>
        <v>7.8000000000000014E-2</v>
      </c>
      <c r="Q160" s="51">
        <f t="shared" si="130"/>
        <v>591496553.16799998</v>
      </c>
      <c r="R160" s="89">
        <f t="shared" si="112"/>
        <v>0.76900000000000002</v>
      </c>
      <c r="S160" s="31"/>
    </row>
    <row r="161" spans="1:19" s="2" customFormat="1" ht="15.6" x14ac:dyDescent="0.3">
      <c r="A161" s="3"/>
      <c r="B161" s="5">
        <v>1</v>
      </c>
      <c r="C161" s="6" t="s">
        <v>114</v>
      </c>
      <c r="D161" s="16" t="s">
        <v>50</v>
      </c>
      <c r="E161" s="12">
        <v>22410000</v>
      </c>
      <c r="F161" s="12">
        <v>22410000</v>
      </c>
      <c r="G161" s="73">
        <f t="shared" si="106"/>
        <v>1</v>
      </c>
      <c r="H161" s="12">
        <v>22410000</v>
      </c>
      <c r="I161" s="73">
        <f t="shared" si="107"/>
        <v>1</v>
      </c>
      <c r="J161" s="28"/>
      <c r="K161" s="68">
        <v>1815210</v>
      </c>
      <c r="L161" s="87">
        <f t="shared" si="108"/>
        <v>8.1000000000000003E-2</v>
      </c>
      <c r="M161" s="68">
        <v>1613519.9999999998</v>
      </c>
      <c r="N161" s="87">
        <f t="shared" si="110"/>
        <v>7.1999999999999995E-2</v>
      </c>
      <c r="O161" s="68">
        <v>1747980</v>
      </c>
      <c r="P161" s="87">
        <f t="shared" si="111"/>
        <v>7.8E-2</v>
      </c>
      <c r="Q161" s="68">
        <v>17233290</v>
      </c>
      <c r="R161" s="87">
        <f t="shared" si="112"/>
        <v>0.76900000000000002</v>
      </c>
      <c r="S161" s="31"/>
    </row>
    <row r="162" spans="1:19" s="45" customFormat="1" ht="28.8" x14ac:dyDescent="0.3">
      <c r="A162" s="41"/>
      <c r="B162" s="32">
        <v>1</v>
      </c>
      <c r="C162" s="33" t="s">
        <v>114</v>
      </c>
      <c r="D162" s="55" t="s">
        <v>84</v>
      </c>
      <c r="E162" s="56">
        <v>570440089</v>
      </c>
      <c r="F162" s="56">
        <v>570440089</v>
      </c>
      <c r="G162" s="75">
        <f t="shared" si="106"/>
        <v>1</v>
      </c>
      <c r="H162" s="56">
        <v>570440089</v>
      </c>
      <c r="I162" s="75">
        <f t="shared" si="107"/>
        <v>1</v>
      </c>
      <c r="J162" s="42"/>
      <c r="K162" s="46">
        <f>+F162*8.1%</f>
        <v>46205647.208999999</v>
      </c>
      <c r="L162" s="87">
        <f t="shared" si="108"/>
        <v>8.1000000000000003E-2</v>
      </c>
      <c r="M162" s="46">
        <f>+F162*7.2%</f>
        <v>41071686.408000007</v>
      </c>
      <c r="N162" s="87">
        <f t="shared" si="110"/>
        <v>7.2000000000000008E-2</v>
      </c>
      <c r="O162" s="46">
        <f>+F162*7.8%</f>
        <v>44494326.942000002</v>
      </c>
      <c r="P162" s="87">
        <f t="shared" si="111"/>
        <v>7.8E-2</v>
      </c>
      <c r="Q162" s="46">
        <f>+F162*76.9%</f>
        <v>438668428.44099998</v>
      </c>
      <c r="R162" s="87">
        <f t="shared" si="112"/>
        <v>0.76900000000000002</v>
      </c>
      <c r="S162" s="44"/>
    </row>
    <row r="163" spans="1:19" s="45" customFormat="1" ht="28.8" x14ac:dyDescent="0.3">
      <c r="A163" s="41"/>
      <c r="B163" s="32">
        <v>1</v>
      </c>
      <c r="C163" s="33" t="s">
        <v>114</v>
      </c>
      <c r="D163" s="55" t="s">
        <v>57</v>
      </c>
      <c r="E163" s="56">
        <v>124888130</v>
      </c>
      <c r="F163" s="56">
        <v>124888130</v>
      </c>
      <c r="G163" s="75">
        <f t="shared" si="106"/>
        <v>1</v>
      </c>
      <c r="H163" s="56">
        <v>124888130</v>
      </c>
      <c r="I163" s="75">
        <f t="shared" si="107"/>
        <v>1</v>
      </c>
      <c r="J163" s="42"/>
      <c r="K163" s="46">
        <f>+F163*8.1%</f>
        <v>10115938.530000001</v>
      </c>
      <c r="L163" s="87">
        <f t="shared" si="108"/>
        <v>8.1000000000000016E-2</v>
      </c>
      <c r="M163" s="46">
        <f>+F163*7.2%</f>
        <v>8991945.3600000013</v>
      </c>
      <c r="N163" s="87">
        <f t="shared" si="110"/>
        <v>7.2000000000000008E-2</v>
      </c>
      <c r="O163" s="46">
        <f>+F163*7.8%</f>
        <v>9741274.1400000006</v>
      </c>
      <c r="P163" s="87">
        <f t="shared" si="111"/>
        <v>7.8E-2</v>
      </c>
      <c r="Q163" s="46">
        <f>+F163*76.9%</f>
        <v>96038971.969999999</v>
      </c>
      <c r="R163" s="87">
        <f t="shared" si="112"/>
        <v>0.76900000000000002</v>
      </c>
      <c r="S163" s="44"/>
    </row>
    <row r="164" spans="1:19" s="45" customFormat="1" ht="15.6" x14ac:dyDescent="0.3">
      <c r="A164" s="41"/>
      <c r="B164" s="32">
        <v>1</v>
      </c>
      <c r="C164" s="33" t="s">
        <v>114</v>
      </c>
      <c r="D164" s="55" t="s">
        <v>85</v>
      </c>
      <c r="E164" s="56">
        <v>51438053</v>
      </c>
      <c r="F164" s="56">
        <v>51438053</v>
      </c>
      <c r="G164" s="75">
        <f t="shared" si="106"/>
        <v>1</v>
      </c>
      <c r="H164" s="56">
        <v>51438053</v>
      </c>
      <c r="I164" s="75">
        <f t="shared" si="107"/>
        <v>1</v>
      </c>
      <c r="J164" s="42"/>
      <c r="K164" s="46">
        <f>+F164*8.1%</f>
        <v>4166482.2930000001</v>
      </c>
      <c r="L164" s="87">
        <f t="shared" si="108"/>
        <v>8.1000000000000003E-2</v>
      </c>
      <c r="M164" s="46">
        <f>+F164*7.2%</f>
        <v>3703539.8160000006</v>
      </c>
      <c r="N164" s="87">
        <f t="shared" si="110"/>
        <v>7.2000000000000008E-2</v>
      </c>
      <c r="O164" s="46">
        <f>+F164*7.8%</f>
        <v>4012168.1340000001</v>
      </c>
      <c r="P164" s="87">
        <f t="shared" si="111"/>
        <v>7.8E-2</v>
      </c>
      <c r="Q164" s="46">
        <f>+F164*76.9%</f>
        <v>39555862.756999999</v>
      </c>
      <c r="R164" s="87">
        <f t="shared" si="112"/>
        <v>0.76900000000000002</v>
      </c>
      <c r="S164" s="44"/>
    </row>
    <row r="165" spans="1:19" s="2" customFormat="1" ht="24.75" customHeight="1" x14ac:dyDescent="0.3">
      <c r="A165" s="3"/>
      <c r="B165" s="21">
        <v>1</v>
      </c>
      <c r="C165" s="17" t="s">
        <v>114</v>
      </c>
      <c r="D165" s="17" t="s">
        <v>86</v>
      </c>
      <c r="E165" s="50">
        <f>SUM(E166)</f>
        <v>47104832</v>
      </c>
      <c r="F165" s="50">
        <f t="shared" ref="F165:H165" si="131">SUM(F166)</f>
        <v>47104832</v>
      </c>
      <c r="G165" s="72">
        <f t="shared" si="106"/>
        <v>1</v>
      </c>
      <c r="H165" s="50">
        <f t="shared" si="131"/>
        <v>47104832</v>
      </c>
      <c r="I165" s="72">
        <f t="shared" si="107"/>
        <v>1</v>
      </c>
      <c r="J165" s="28"/>
      <c r="K165" s="51">
        <f>+K166</f>
        <v>3815491.392</v>
      </c>
      <c r="L165" s="89">
        <f t="shared" si="108"/>
        <v>8.1000000000000003E-2</v>
      </c>
      <c r="M165" s="51">
        <f t="shared" ref="M165:Q165" si="132">+M166</f>
        <v>3391547.9039999996</v>
      </c>
      <c r="N165" s="89">
        <f t="shared" si="110"/>
        <v>7.1999999999999995E-2</v>
      </c>
      <c r="O165" s="51">
        <f t="shared" si="132"/>
        <v>3674176.8960000002</v>
      </c>
      <c r="P165" s="89">
        <f t="shared" si="111"/>
        <v>7.8E-2</v>
      </c>
      <c r="Q165" s="51">
        <f t="shared" si="132"/>
        <v>36223615.807999998</v>
      </c>
      <c r="R165" s="89">
        <f t="shared" si="112"/>
        <v>0.76900000000000002</v>
      </c>
      <c r="S165" s="31"/>
    </row>
    <row r="166" spans="1:19" s="2" customFormat="1" ht="25.5" customHeight="1" x14ac:dyDescent="0.3">
      <c r="A166" s="3"/>
      <c r="B166" s="5">
        <v>1</v>
      </c>
      <c r="C166" s="6" t="s">
        <v>114</v>
      </c>
      <c r="D166" s="16" t="s">
        <v>50</v>
      </c>
      <c r="E166" s="12">
        <v>47104832</v>
      </c>
      <c r="F166" s="12">
        <v>47104832</v>
      </c>
      <c r="G166" s="73">
        <f t="shared" si="106"/>
        <v>1</v>
      </c>
      <c r="H166" s="12">
        <v>47104832</v>
      </c>
      <c r="I166" s="73">
        <f t="shared" si="107"/>
        <v>1</v>
      </c>
      <c r="J166" s="28"/>
      <c r="K166" s="68">
        <v>3815491.392</v>
      </c>
      <c r="L166" s="87">
        <f t="shared" si="108"/>
        <v>8.1000000000000003E-2</v>
      </c>
      <c r="M166" s="68">
        <v>3391547.9039999996</v>
      </c>
      <c r="N166" s="87">
        <f t="shared" si="110"/>
        <v>7.1999999999999995E-2</v>
      </c>
      <c r="O166" s="68">
        <v>3674176.8960000002</v>
      </c>
      <c r="P166" s="87">
        <f t="shared" si="111"/>
        <v>7.8E-2</v>
      </c>
      <c r="Q166" s="68">
        <v>36223615.807999998</v>
      </c>
      <c r="R166" s="87">
        <f t="shared" si="112"/>
        <v>0.76900000000000002</v>
      </c>
      <c r="S166" s="31"/>
    </row>
    <row r="167" spans="1:19" s="4" customFormat="1" ht="72" x14ac:dyDescent="0.3">
      <c r="A167" s="27"/>
      <c r="B167" s="22">
        <v>7</v>
      </c>
      <c r="C167" s="23" t="s">
        <v>116</v>
      </c>
      <c r="D167" s="23" t="s">
        <v>87</v>
      </c>
      <c r="E167" s="57">
        <f>E168+E170+E172+E174+E176+E181+E183</f>
        <v>3629873426</v>
      </c>
      <c r="F167" s="57">
        <f>F168+F170+F172+F174+F176+F181+F183</f>
        <v>3629873426</v>
      </c>
      <c r="G167" s="76">
        <f t="shared" si="106"/>
        <v>1</v>
      </c>
      <c r="H167" s="57">
        <f>H168+H170+H172+H174+H176+H181+H183</f>
        <v>3629873426</v>
      </c>
      <c r="I167" s="76">
        <f t="shared" si="107"/>
        <v>1</v>
      </c>
      <c r="J167" s="30"/>
      <c r="K167" s="57">
        <f>+K168+K170+K172+K174+K176+K181+K183</f>
        <v>267269799.42136812</v>
      </c>
      <c r="L167" s="76">
        <f t="shared" si="108"/>
        <v>7.3630611333985435E-2</v>
      </c>
      <c r="M167" s="57">
        <f>+M168+M170+M172+M174+M176+M181+M183</f>
        <v>260558488.75594893</v>
      </c>
      <c r="N167" s="76">
        <f t="shared" si="110"/>
        <v>7.1781700951230071E-2</v>
      </c>
      <c r="O167" s="57">
        <f>+O168+O170+O172+O174+O176+O181+O183</f>
        <v>351668844.1308229</v>
      </c>
      <c r="P167" s="76">
        <f t="shared" si="111"/>
        <v>9.6881847618127639E-2</v>
      </c>
      <c r="Q167" s="57">
        <f>+Q168+Q170+Q172+Q174+Q176+Q181+Q183</f>
        <v>2750376293.6918602</v>
      </c>
      <c r="R167" s="76">
        <f t="shared" si="112"/>
        <v>0.75770584009665687</v>
      </c>
      <c r="S167" s="31"/>
    </row>
    <row r="168" spans="1:19" s="2" customFormat="1" ht="72" x14ac:dyDescent="0.3">
      <c r="A168" s="3"/>
      <c r="B168" s="21">
        <v>7</v>
      </c>
      <c r="C168" s="17" t="s">
        <v>116</v>
      </c>
      <c r="D168" s="17" t="s">
        <v>88</v>
      </c>
      <c r="E168" s="50">
        <f>SUM(E169)</f>
        <v>852718865</v>
      </c>
      <c r="F168" s="50">
        <f t="shared" ref="F168:H168" si="133">SUM(F169)</f>
        <v>852718865</v>
      </c>
      <c r="G168" s="72">
        <f t="shared" si="106"/>
        <v>1</v>
      </c>
      <c r="H168" s="50">
        <f t="shared" si="133"/>
        <v>852718865</v>
      </c>
      <c r="I168" s="72">
        <f t="shared" si="107"/>
        <v>1</v>
      </c>
      <c r="J168" s="28"/>
      <c r="K168" s="50">
        <f>+K169</f>
        <v>82713729.904999986</v>
      </c>
      <c r="L168" s="72">
        <f t="shared" si="108"/>
        <v>9.6999999999999989E-2</v>
      </c>
      <c r="M168" s="50">
        <f>+M169</f>
        <v>79302854.445000008</v>
      </c>
      <c r="N168" s="72">
        <f t="shared" si="110"/>
        <v>9.3000000000000013E-2</v>
      </c>
      <c r="O168" s="50">
        <f t="shared" ref="O168" si="134">+O169</f>
        <v>155194833.43000001</v>
      </c>
      <c r="P168" s="72">
        <f t="shared" si="111"/>
        <v>0.182</v>
      </c>
      <c r="Q168" s="50">
        <f>+Q169</f>
        <v>535507447.22000003</v>
      </c>
      <c r="R168" s="72">
        <f t="shared" si="112"/>
        <v>0.628</v>
      </c>
      <c r="S168" s="31"/>
    </row>
    <row r="169" spans="1:19" s="2" customFormat="1" ht="72" x14ac:dyDescent="0.3">
      <c r="A169" s="3"/>
      <c r="B169" s="5">
        <v>7</v>
      </c>
      <c r="C169" s="6" t="s">
        <v>116</v>
      </c>
      <c r="D169" s="16" t="s">
        <v>89</v>
      </c>
      <c r="E169" s="12">
        <v>852718865</v>
      </c>
      <c r="F169" s="12">
        <v>852718865</v>
      </c>
      <c r="G169" s="73">
        <f t="shared" si="106"/>
        <v>1</v>
      </c>
      <c r="H169" s="12">
        <v>852718865</v>
      </c>
      <c r="I169" s="73">
        <f t="shared" si="107"/>
        <v>1</v>
      </c>
      <c r="J169" s="28"/>
      <c r="K169" s="34">
        <v>82713729.904999986</v>
      </c>
      <c r="L169" s="90">
        <f t="shared" si="108"/>
        <v>9.6999999999999989E-2</v>
      </c>
      <c r="M169" s="34">
        <v>79302854.445000008</v>
      </c>
      <c r="N169" s="90">
        <f t="shared" si="110"/>
        <v>9.3000000000000013E-2</v>
      </c>
      <c r="O169" s="34">
        <v>155194833.43000001</v>
      </c>
      <c r="P169" s="90">
        <f t="shared" si="111"/>
        <v>0.182</v>
      </c>
      <c r="Q169" s="34">
        <v>535507447.22000003</v>
      </c>
      <c r="R169" s="90">
        <f t="shared" si="112"/>
        <v>0.628</v>
      </c>
      <c r="S169" s="31"/>
    </row>
    <row r="170" spans="1:19" s="2" customFormat="1" ht="56.25" customHeight="1" x14ac:dyDescent="0.3">
      <c r="A170" s="3"/>
      <c r="B170" s="21">
        <v>11</v>
      </c>
      <c r="C170" s="17" t="s">
        <v>119</v>
      </c>
      <c r="D170" s="17" t="s">
        <v>90</v>
      </c>
      <c r="E170" s="50">
        <f>SUM(E171)</f>
        <v>100000000</v>
      </c>
      <c r="F170" s="50">
        <f t="shared" ref="F170:H170" si="135">SUM(F171)</f>
        <v>100000000</v>
      </c>
      <c r="G170" s="72">
        <f t="shared" si="106"/>
        <v>1</v>
      </c>
      <c r="H170" s="50">
        <f t="shared" si="135"/>
        <v>100000000</v>
      </c>
      <c r="I170" s="72">
        <f t="shared" si="107"/>
        <v>1</v>
      </c>
      <c r="J170" s="28"/>
      <c r="K170" s="50">
        <f>+K171</f>
        <v>5200000</v>
      </c>
      <c r="L170" s="72">
        <f t="shared" si="108"/>
        <v>5.1999999999999998E-2</v>
      </c>
      <c r="M170" s="50">
        <f t="shared" ref="M170:Q170" si="136">+M171</f>
        <v>5100000</v>
      </c>
      <c r="N170" s="72">
        <f t="shared" si="110"/>
        <v>5.0999999999999997E-2</v>
      </c>
      <c r="O170" s="50">
        <f t="shared" si="136"/>
        <v>5800000</v>
      </c>
      <c r="P170" s="72">
        <f t="shared" si="111"/>
        <v>5.8000000000000003E-2</v>
      </c>
      <c r="Q170" s="50">
        <f t="shared" si="136"/>
        <v>83900000.000000015</v>
      </c>
      <c r="R170" s="72">
        <f t="shared" si="112"/>
        <v>0.83900000000000019</v>
      </c>
      <c r="S170" s="31"/>
    </row>
    <row r="171" spans="1:19" s="2" customFormat="1" ht="40.5" customHeight="1" x14ac:dyDescent="0.3">
      <c r="A171" s="3"/>
      <c r="B171" s="32">
        <v>11</v>
      </c>
      <c r="C171" s="33" t="s">
        <v>119</v>
      </c>
      <c r="D171" s="16" t="s">
        <v>89</v>
      </c>
      <c r="E171" s="12">
        <v>100000000</v>
      </c>
      <c r="F171" s="12">
        <v>100000000</v>
      </c>
      <c r="G171" s="73">
        <f t="shared" si="106"/>
        <v>1</v>
      </c>
      <c r="H171" s="12">
        <v>100000000</v>
      </c>
      <c r="I171" s="73">
        <f t="shared" si="107"/>
        <v>1</v>
      </c>
      <c r="J171" s="28"/>
      <c r="K171" s="34">
        <v>5200000</v>
      </c>
      <c r="L171" s="90">
        <f t="shared" si="108"/>
        <v>5.1999999999999998E-2</v>
      </c>
      <c r="M171" s="34">
        <v>5100000</v>
      </c>
      <c r="N171" s="90">
        <f t="shared" si="110"/>
        <v>5.0999999999999997E-2</v>
      </c>
      <c r="O171" s="34">
        <v>5800000</v>
      </c>
      <c r="P171" s="90">
        <f t="shared" si="111"/>
        <v>5.8000000000000003E-2</v>
      </c>
      <c r="Q171" s="34">
        <v>83900000.000000015</v>
      </c>
      <c r="R171" s="90">
        <f t="shared" si="112"/>
        <v>0.83900000000000019</v>
      </c>
      <c r="S171" s="31"/>
    </row>
    <row r="172" spans="1:19" s="2" customFormat="1" ht="72" x14ac:dyDescent="0.3">
      <c r="A172" s="3"/>
      <c r="B172" s="21">
        <v>7</v>
      </c>
      <c r="C172" s="17" t="s">
        <v>116</v>
      </c>
      <c r="D172" s="17" t="s">
        <v>91</v>
      </c>
      <c r="E172" s="50">
        <f>SUM(E173)</f>
        <v>279000000</v>
      </c>
      <c r="F172" s="50">
        <f t="shared" ref="F172:H172" si="137">SUM(F173)</f>
        <v>279000000</v>
      </c>
      <c r="G172" s="72">
        <f t="shared" si="106"/>
        <v>1</v>
      </c>
      <c r="H172" s="50">
        <f t="shared" si="137"/>
        <v>279000000</v>
      </c>
      <c r="I172" s="72">
        <f t="shared" si="107"/>
        <v>1</v>
      </c>
      <c r="J172" s="28"/>
      <c r="K172" s="50">
        <f>+K173</f>
        <v>14508000.000000002</v>
      </c>
      <c r="L172" s="72">
        <f t="shared" si="108"/>
        <v>5.2000000000000005E-2</v>
      </c>
      <c r="M172" s="50">
        <f t="shared" ref="M172:Q172" si="138">+M173</f>
        <v>14229000</v>
      </c>
      <c r="N172" s="72">
        <f t="shared" si="110"/>
        <v>5.0999999999999997E-2</v>
      </c>
      <c r="O172" s="50">
        <f t="shared" si="138"/>
        <v>16181999.999999998</v>
      </c>
      <c r="P172" s="72">
        <f t="shared" si="111"/>
        <v>5.7999999999999996E-2</v>
      </c>
      <c r="Q172" s="50">
        <f t="shared" si="138"/>
        <v>234081000.00000003</v>
      </c>
      <c r="R172" s="72">
        <f t="shared" si="112"/>
        <v>0.83900000000000008</v>
      </c>
      <c r="S172" s="31"/>
    </row>
    <row r="173" spans="1:19" s="2" customFormat="1" ht="72" x14ac:dyDescent="0.3">
      <c r="A173" s="3"/>
      <c r="B173" s="5">
        <v>7</v>
      </c>
      <c r="C173" s="6" t="s">
        <v>116</v>
      </c>
      <c r="D173" s="16" t="s">
        <v>89</v>
      </c>
      <c r="E173" s="12">
        <v>279000000</v>
      </c>
      <c r="F173" s="12">
        <v>279000000</v>
      </c>
      <c r="G173" s="73">
        <f t="shared" si="106"/>
        <v>1</v>
      </c>
      <c r="H173" s="12">
        <v>279000000</v>
      </c>
      <c r="I173" s="73">
        <f t="shared" si="107"/>
        <v>1</v>
      </c>
      <c r="J173" s="28"/>
      <c r="K173" s="34">
        <v>14508000.000000002</v>
      </c>
      <c r="L173" s="90">
        <f t="shared" si="108"/>
        <v>5.2000000000000005E-2</v>
      </c>
      <c r="M173" s="34">
        <v>14229000</v>
      </c>
      <c r="N173" s="90">
        <f t="shared" si="110"/>
        <v>5.0999999999999997E-2</v>
      </c>
      <c r="O173" s="34">
        <v>16181999.999999998</v>
      </c>
      <c r="P173" s="90">
        <f t="shared" si="111"/>
        <v>5.7999999999999996E-2</v>
      </c>
      <c r="Q173" s="34">
        <v>234081000.00000003</v>
      </c>
      <c r="R173" s="90">
        <f t="shared" si="112"/>
        <v>0.83900000000000008</v>
      </c>
      <c r="S173" s="31"/>
    </row>
    <row r="174" spans="1:19" s="2" customFormat="1" ht="44.25" customHeight="1" x14ac:dyDescent="0.3">
      <c r="A174" s="3"/>
      <c r="B174" s="21">
        <v>11</v>
      </c>
      <c r="C174" s="17" t="s">
        <v>119</v>
      </c>
      <c r="D174" s="17" t="s">
        <v>92</v>
      </c>
      <c r="E174" s="50">
        <f>SUM(E175)</f>
        <v>629000000</v>
      </c>
      <c r="F174" s="50">
        <f t="shared" ref="F174:H174" si="139">SUM(F175)</f>
        <v>629000000</v>
      </c>
      <c r="G174" s="72">
        <f t="shared" si="106"/>
        <v>1</v>
      </c>
      <c r="H174" s="50">
        <f t="shared" si="139"/>
        <v>629000000</v>
      </c>
      <c r="I174" s="72">
        <f t="shared" si="107"/>
        <v>1</v>
      </c>
      <c r="J174" s="28"/>
      <c r="K174" s="50">
        <f>+K175</f>
        <v>32708000.000000004</v>
      </c>
      <c r="L174" s="72">
        <f t="shared" si="108"/>
        <v>5.2000000000000005E-2</v>
      </c>
      <c r="M174" s="50">
        <f t="shared" ref="M174:Q174" si="140">+M175</f>
        <v>32078999.999999996</v>
      </c>
      <c r="N174" s="72">
        <f t="shared" si="110"/>
        <v>5.0999999999999997E-2</v>
      </c>
      <c r="O174" s="50">
        <f t="shared" si="140"/>
        <v>36482000</v>
      </c>
      <c r="P174" s="72">
        <f t="shared" si="111"/>
        <v>5.8000000000000003E-2</v>
      </c>
      <c r="Q174" s="50">
        <f t="shared" si="140"/>
        <v>527731000.00000006</v>
      </c>
      <c r="R174" s="72">
        <f t="shared" si="112"/>
        <v>0.83900000000000008</v>
      </c>
      <c r="S174" s="31"/>
    </row>
    <row r="175" spans="1:19" s="2" customFormat="1" ht="58.5" customHeight="1" x14ac:dyDescent="0.3">
      <c r="A175" s="3"/>
      <c r="B175" s="32">
        <v>11</v>
      </c>
      <c r="C175" s="33" t="s">
        <v>119</v>
      </c>
      <c r="D175" s="16" t="s">
        <v>89</v>
      </c>
      <c r="E175" s="12">
        <v>629000000</v>
      </c>
      <c r="F175" s="12">
        <v>629000000</v>
      </c>
      <c r="G175" s="73">
        <f t="shared" si="106"/>
        <v>1</v>
      </c>
      <c r="H175" s="12">
        <v>629000000</v>
      </c>
      <c r="I175" s="73">
        <f t="shared" si="107"/>
        <v>1</v>
      </c>
      <c r="J175" s="28"/>
      <c r="K175" s="34">
        <v>32708000.000000004</v>
      </c>
      <c r="L175" s="90">
        <f t="shared" si="108"/>
        <v>5.2000000000000005E-2</v>
      </c>
      <c r="M175" s="34">
        <v>32078999.999999996</v>
      </c>
      <c r="N175" s="90">
        <f t="shared" si="110"/>
        <v>5.0999999999999997E-2</v>
      </c>
      <c r="O175" s="34">
        <v>36482000</v>
      </c>
      <c r="P175" s="90">
        <f t="shared" si="111"/>
        <v>5.8000000000000003E-2</v>
      </c>
      <c r="Q175" s="34">
        <v>527731000.00000006</v>
      </c>
      <c r="R175" s="90">
        <f t="shared" si="112"/>
        <v>0.83900000000000008</v>
      </c>
      <c r="S175" s="31"/>
    </row>
    <row r="176" spans="1:19" s="2" customFormat="1" ht="72" x14ac:dyDescent="0.3">
      <c r="A176" s="3"/>
      <c r="B176" s="21">
        <v>7</v>
      </c>
      <c r="C176" s="17" t="s">
        <v>116</v>
      </c>
      <c r="D176" s="17" t="s">
        <v>93</v>
      </c>
      <c r="E176" s="50">
        <f>SUM(E177:E180)</f>
        <v>410737789</v>
      </c>
      <c r="F176" s="50">
        <f t="shared" ref="F176:H176" si="141">SUM(F177:F180)</f>
        <v>410737789</v>
      </c>
      <c r="G176" s="72">
        <f t="shared" si="106"/>
        <v>1</v>
      </c>
      <c r="H176" s="50">
        <f t="shared" si="141"/>
        <v>410737789</v>
      </c>
      <c r="I176" s="72">
        <f t="shared" si="107"/>
        <v>1</v>
      </c>
      <c r="J176" s="28"/>
      <c r="K176" s="51">
        <f>+K177+K178+K179+K180</f>
        <v>33680498.697999999</v>
      </c>
      <c r="L176" s="89">
        <f t="shared" si="108"/>
        <v>8.2000000000000003E-2</v>
      </c>
      <c r="M176" s="51">
        <f>+M177+M178+M179+M180</f>
        <v>32037547.542000003</v>
      </c>
      <c r="N176" s="89">
        <f t="shared" si="110"/>
        <v>7.8000000000000014E-2</v>
      </c>
      <c r="O176" s="51">
        <f t="shared" ref="O176:Q176" si="142">+O177+O178+O179+O180</f>
        <v>32037547.542000003</v>
      </c>
      <c r="P176" s="89">
        <f t="shared" si="111"/>
        <v>7.8000000000000014E-2</v>
      </c>
      <c r="Q176" s="51">
        <f t="shared" si="142"/>
        <v>312982195.21799999</v>
      </c>
      <c r="R176" s="89">
        <f t="shared" si="112"/>
        <v>0.76200000000000001</v>
      </c>
      <c r="S176" s="31"/>
    </row>
    <row r="177" spans="1:19" s="2" customFormat="1" ht="72" x14ac:dyDescent="0.3">
      <c r="A177" s="3"/>
      <c r="B177" s="5">
        <v>7</v>
      </c>
      <c r="C177" s="6" t="s">
        <v>116</v>
      </c>
      <c r="D177" s="16" t="s">
        <v>89</v>
      </c>
      <c r="E177" s="12">
        <v>230774762</v>
      </c>
      <c r="F177" s="12">
        <v>230774762</v>
      </c>
      <c r="G177" s="73">
        <f t="shared" si="106"/>
        <v>1</v>
      </c>
      <c r="H177" s="12">
        <v>230774762</v>
      </c>
      <c r="I177" s="73">
        <f t="shared" si="107"/>
        <v>1</v>
      </c>
      <c r="J177" s="28"/>
      <c r="K177" s="34">
        <f>+F177*8.2%</f>
        <v>18923530.483999997</v>
      </c>
      <c r="L177" s="90">
        <f t="shared" si="108"/>
        <v>8.199999999999999E-2</v>
      </c>
      <c r="M177" s="34">
        <f>+F177*7.8%</f>
        <v>18000431.436000001</v>
      </c>
      <c r="N177" s="90">
        <f t="shared" si="110"/>
        <v>7.8E-2</v>
      </c>
      <c r="O177" s="34">
        <f>+F177*7.8%</f>
        <v>18000431.436000001</v>
      </c>
      <c r="P177" s="90">
        <f t="shared" si="111"/>
        <v>7.8E-2</v>
      </c>
      <c r="Q177" s="34">
        <f>+F177*76.2%</f>
        <v>175850368.64399999</v>
      </c>
      <c r="R177" s="90">
        <f t="shared" si="112"/>
        <v>0.76200000000000001</v>
      </c>
      <c r="S177" s="31"/>
    </row>
    <row r="178" spans="1:19" s="45" customFormat="1" ht="72" x14ac:dyDescent="0.3">
      <c r="A178" s="41"/>
      <c r="B178" s="32">
        <v>7</v>
      </c>
      <c r="C178" s="33" t="s">
        <v>116</v>
      </c>
      <c r="D178" s="55" t="s">
        <v>94</v>
      </c>
      <c r="E178" s="56">
        <v>18402776</v>
      </c>
      <c r="F178" s="56">
        <v>18402776</v>
      </c>
      <c r="G178" s="75">
        <f t="shared" si="106"/>
        <v>1</v>
      </c>
      <c r="H178" s="56">
        <v>18402776</v>
      </c>
      <c r="I178" s="75">
        <f t="shared" si="107"/>
        <v>1</v>
      </c>
      <c r="J178" s="42"/>
      <c r="K178" s="56">
        <f>+F178*8.2%</f>
        <v>1509027.6319999998</v>
      </c>
      <c r="L178" s="75">
        <f t="shared" si="108"/>
        <v>8.199999999999999E-2</v>
      </c>
      <c r="M178" s="56">
        <f>+F178*7.8%</f>
        <v>1435416.5279999999</v>
      </c>
      <c r="N178" s="75">
        <f t="shared" si="110"/>
        <v>7.8E-2</v>
      </c>
      <c r="O178" s="56">
        <f>+F178*7.8%</f>
        <v>1435416.5279999999</v>
      </c>
      <c r="P178" s="75">
        <f t="shared" si="111"/>
        <v>7.8E-2</v>
      </c>
      <c r="Q178" s="56">
        <f>+F178*76.2%</f>
        <v>14022915.312000001</v>
      </c>
      <c r="R178" s="75">
        <f t="shared" si="112"/>
        <v>0.76200000000000001</v>
      </c>
      <c r="S178" s="44"/>
    </row>
    <row r="179" spans="1:19" s="45" customFormat="1" ht="72" x14ac:dyDescent="0.3">
      <c r="A179" s="41"/>
      <c r="B179" s="32">
        <v>7</v>
      </c>
      <c r="C179" s="33" t="s">
        <v>116</v>
      </c>
      <c r="D179" s="55" t="s">
        <v>11</v>
      </c>
      <c r="E179" s="56">
        <v>6579872</v>
      </c>
      <c r="F179" s="56">
        <v>6579872</v>
      </c>
      <c r="G179" s="75">
        <f t="shared" si="106"/>
        <v>1</v>
      </c>
      <c r="H179" s="56">
        <v>6579872</v>
      </c>
      <c r="I179" s="75">
        <f t="shared" si="107"/>
        <v>1</v>
      </c>
      <c r="J179" s="42"/>
      <c r="K179" s="56">
        <f>+F179*8.2%</f>
        <v>539549.50399999996</v>
      </c>
      <c r="L179" s="75">
        <f t="shared" si="108"/>
        <v>8.199999999999999E-2</v>
      </c>
      <c r="M179" s="56">
        <f>+F179*7.8%</f>
        <v>513230.016</v>
      </c>
      <c r="N179" s="75">
        <f t="shared" si="110"/>
        <v>7.8E-2</v>
      </c>
      <c r="O179" s="56">
        <f>+F179*7.8%</f>
        <v>513230.016</v>
      </c>
      <c r="P179" s="75">
        <f t="shared" si="111"/>
        <v>7.8E-2</v>
      </c>
      <c r="Q179" s="56">
        <f>+F179*76.2%</f>
        <v>5013862.4639999997</v>
      </c>
      <c r="R179" s="75">
        <f t="shared" si="112"/>
        <v>0.7619999999999999</v>
      </c>
      <c r="S179" s="44"/>
    </row>
    <row r="180" spans="1:19" s="45" customFormat="1" ht="72" x14ac:dyDescent="0.3">
      <c r="A180" s="41"/>
      <c r="B180" s="32">
        <v>7</v>
      </c>
      <c r="C180" s="33" t="s">
        <v>116</v>
      </c>
      <c r="D180" s="55" t="s">
        <v>95</v>
      </c>
      <c r="E180" s="56">
        <v>154980379</v>
      </c>
      <c r="F180" s="56">
        <v>154980379</v>
      </c>
      <c r="G180" s="75">
        <f t="shared" si="106"/>
        <v>1</v>
      </c>
      <c r="H180" s="56">
        <v>154980379</v>
      </c>
      <c r="I180" s="75">
        <f t="shared" si="107"/>
        <v>1</v>
      </c>
      <c r="J180" s="42"/>
      <c r="K180" s="56">
        <f>+F180*8.2%</f>
        <v>12708391.077999998</v>
      </c>
      <c r="L180" s="75">
        <f t="shared" si="108"/>
        <v>8.199999999999999E-2</v>
      </c>
      <c r="M180" s="56">
        <f>+F180*7.8%</f>
        <v>12088469.562000001</v>
      </c>
      <c r="N180" s="75">
        <f t="shared" si="110"/>
        <v>7.8E-2</v>
      </c>
      <c r="O180" s="56">
        <f>+F180*7.8%</f>
        <v>12088469.562000001</v>
      </c>
      <c r="P180" s="75">
        <f t="shared" si="111"/>
        <v>7.8E-2</v>
      </c>
      <c r="Q180" s="56">
        <f>+F180*76.2%</f>
        <v>118095048.79800001</v>
      </c>
      <c r="R180" s="75">
        <f t="shared" si="112"/>
        <v>0.76200000000000001</v>
      </c>
      <c r="S180" s="44"/>
    </row>
    <row r="181" spans="1:19" s="2" customFormat="1" ht="72" x14ac:dyDescent="0.3">
      <c r="A181" s="3"/>
      <c r="B181" s="21">
        <v>7</v>
      </c>
      <c r="C181" s="17" t="s">
        <v>116</v>
      </c>
      <c r="D181" s="17" t="s">
        <v>96</v>
      </c>
      <c r="E181" s="50">
        <f>SUM(E182)</f>
        <v>785236459</v>
      </c>
      <c r="F181" s="50">
        <f>SUM(F182)</f>
        <v>785236459</v>
      </c>
      <c r="G181" s="72">
        <f t="shared" si="106"/>
        <v>1</v>
      </c>
      <c r="H181" s="50">
        <f t="shared" ref="H181" si="143">SUM(H182)</f>
        <v>785236459</v>
      </c>
      <c r="I181" s="72">
        <f t="shared" si="107"/>
        <v>1</v>
      </c>
      <c r="J181" s="28"/>
      <c r="K181" s="51">
        <f>+K182</f>
        <v>47905067.211768128</v>
      </c>
      <c r="L181" s="89">
        <f t="shared" si="108"/>
        <v>6.1007186641302051E-2</v>
      </c>
      <c r="M181" s="51">
        <f t="shared" ref="M181:Q181" si="144">+M182</f>
        <v>48631215.913548931</v>
      </c>
      <c r="N181" s="89">
        <f t="shared" si="110"/>
        <v>6.1931938279433524E-2</v>
      </c>
      <c r="O181" s="51">
        <f t="shared" si="144"/>
        <v>50373972.79782287</v>
      </c>
      <c r="P181" s="89">
        <f t="shared" si="111"/>
        <v>6.4151342210949064E-2</v>
      </c>
      <c r="Q181" s="51">
        <f t="shared" si="144"/>
        <v>638326203.07686007</v>
      </c>
      <c r="R181" s="89">
        <f t="shared" si="112"/>
        <v>0.81290953286831535</v>
      </c>
      <c r="S181" s="31"/>
    </row>
    <row r="182" spans="1:19" s="2" customFormat="1" ht="72" x14ac:dyDescent="0.3">
      <c r="A182" s="3"/>
      <c r="B182" s="5">
        <v>7</v>
      </c>
      <c r="C182" s="6" t="s">
        <v>116</v>
      </c>
      <c r="D182" s="16" t="s">
        <v>89</v>
      </c>
      <c r="E182" s="12">
        <v>785236459</v>
      </c>
      <c r="F182" s="12">
        <v>785236459</v>
      </c>
      <c r="G182" s="73">
        <f t="shared" si="106"/>
        <v>1</v>
      </c>
      <c r="H182" s="12">
        <v>785236459</v>
      </c>
      <c r="I182" s="73">
        <f t="shared" si="107"/>
        <v>1</v>
      </c>
      <c r="J182" s="28"/>
      <c r="K182" s="34">
        <f>(F182*4618)/75696</f>
        <v>47905067.211768128</v>
      </c>
      <c r="L182" s="90">
        <f>+K182/F182</f>
        <v>6.1007186641302051E-2</v>
      </c>
      <c r="M182" s="34">
        <f>(F182*4688)/75696</f>
        <v>48631215.913548931</v>
      </c>
      <c r="N182" s="90">
        <f>+M182/F182</f>
        <v>6.1931938279433524E-2</v>
      </c>
      <c r="O182" s="34">
        <f>(F182*4856)/75696</f>
        <v>50373972.79782287</v>
      </c>
      <c r="P182" s="90">
        <f>+O182/F182</f>
        <v>6.4151342210949064E-2</v>
      </c>
      <c r="Q182" s="34">
        <f>(F182*61534)/75696</f>
        <v>638326203.07686007</v>
      </c>
      <c r="R182" s="90">
        <f t="shared" si="112"/>
        <v>0.81290953286831535</v>
      </c>
      <c r="S182" s="31"/>
    </row>
    <row r="183" spans="1:19" s="2" customFormat="1" ht="72" x14ac:dyDescent="0.3">
      <c r="A183" s="3"/>
      <c r="B183" s="59">
        <v>7</v>
      </c>
      <c r="C183" s="60" t="s">
        <v>116</v>
      </c>
      <c r="D183" s="60" t="s">
        <v>123</v>
      </c>
      <c r="E183" s="61">
        <f>+E185+E184</f>
        <v>573180313</v>
      </c>
      <c r="F183" s="61">
        <f>+F185+F184</f>
        <v>573180313</v>
      </c>
      <c r="G183" s="78">
        <f t="shared" si="106"/>
        <v>1</v>
      </c>
      <c r="H183" s="61">
        <f>+H185+H184</f>
        <v>573180313</v>
      </c>
      <c r="I183" s="78">
        <f t="shared" si="107"/>
        <v>1</v>
      </c>
      <c r="J183" s="28"/>
      <c r="K183" s="51">
        <f>+K184+K185</f>
        <v>50554503.606600001</v>
      </c>
      <c r="L183" s="89">
        <f>+K183/F183</f>
        <v>8.8200000000000001E-2</v>
      </c>
      <c r="M183" s="51">
        <f>+M184+M185</f>
        <v>49178870.855399996</v>
      </c>
      <c r="N183" s="89">
        <f>+M183/F183</f>
        <v>8.5799999999999987E-2</v>
      </c>
      <c r="O183" s="51">
        <f>+O184+O185</f>
        <v>55598490.361000001</v>
      </c>
      <c r="P183" s="89">
        <f>+O183/F183</f>
        <v>9.7000000000000003E-2</v>
      </c>
      <c r="Q183" s="51">
        <f>+Q184+Q185</f>
        <v>417848448.17700005</v>
      </c>
      <c r="R183" s="89">
        <f t="shared" si="112"/>
        <v>0.72900000000000009</v>
      </c>
      <c r="S183" s="31"/>
    </row>
    <row r="184" spans="1:19" s="45" customFormat="1" ht="72" x14ac:dyDescent="0.3">
      <c r="A184" s="41"/>
      <c r="B184" s="32">
        <v>7</v>
      </c>
      <c r="C184" s="33" t="s">
        <v>116</v>
      </c>
      <c r="D184" s="55" t="s">
        <v>108</v>
      </c>
      <c r="E184" s="62">
        <v>389416331</v>
      </c>
      <c r="F184" s="62">
        <v>389416331</v>
      </c>
      <c r="G184" s="79">
        <f>+F184/E184</f>
        <v>1</v>
      </c>
      <c r="H184" s="62">
        <v>389416331</v>
      </c>
      <c r="I184" s="79">
        <f>+H184/E184</f>
        <v>1</v>
      </c>
      <c r="J184" s="42"/>
      <c r="K184" s="49">
        <f>+H184*8.82/100</f>
        <v>34346520.394199997</v>
      </c>
      <c r="L184" s="75">
        <f t="shared" si="108"/>
        <v>8.8199999999999987E-2</v>
      </c>
      <c r="M184" s="49">
        <f>+H184*8.58/100</f>
        <v>33411921.1998</v>
      </c>
      <c r="N184" s="75">
        <f t="shared" ref="N184:N185" si="145">+M184/F184</f>
        <v>8.5800000000000001E-2</v>
      </c>
      <c r="O184" s="49">
        <f>+H184*9.7/100</f>
        <v>37773384.107000001</v>
      </c>
      <c r="P184" s="87">
        <f>+O184/F184</f>
        <v>9.7000000000000003E-2</v>
      </c>
      <c r="Q184" s="49">
        <f>+H184*72.9/100</f>
        <v>283884505.29900002</v>
      </c>
      <c r="R184" s="87">
        <f t="shared" si="112"/>
        <v>0.72900000000000009</v>
      </c>
      <c r="S184" s="44"/>
    </row>
    <row r="185" spans="1:19" s="45" customFormat="1" ht="72" x14ac:dyDescent="0.3">
      <c r="A185" s="41"/>
      <c r="B185" s="32">
        <v>7</v>
      </c>
      <c r="C185" s="33" t="s">
        <v>116</v>
      </c>
      <c r="D185" s="55" t="s">
        <v>107</v>
      </c>
      <c r="E185" s="62">
        <v>183763982</v>
      </c>
      <c r="F185" s="62">
        <v>183763982</v>
      </c>
      <c r="G185" s="79">
        <f t="shared" si="106"/>
        <v>1</v>
      </c>
      <c r="H185" s="62">
        <v>183763982</v>
      </c>
      <c r="I185" s="79">
        <f t="shared" si="107"/>
        <v>1</v>
      </c>
      <c r="J185" s="42"/>
      <c r="K185" s="49">
        <f>+H185*8.82/100</f>
        <v>16207983.212400001</v>
      </c>
      <c r="L185" s="75">
        <f t="shared" si="108"/>
        <v>8.8200000000000001E-2</v>
      </c>
      <c r="M185" s="49">
        <f>+H185*8.58/100</f>
        <v>15766949.6556</v>
      </c>
      <c r="N185" s="75">
        <f t="shared" si="145"/>
        <v>8.5800000000000001E-2</v>
      </c>
      <c r="O185" s="49">
        <f>+H185*9.7/100</f>
        <v>17825106.253999997</v>
      </c>
      <c r="P185" s="87">
        <f t="shared" ref="P185" si="146">+O185/F185</f>
        <v>9.6999999999999989E-2</v>
      </c>
      <c r="Q185" s="49">
        <f>+H185*72.9/100</f>
        <v>133963942.87800001</v>
      </c>
      <c r="R185" s="87">
        <f t="shared" si="112"/>
        <v>0.72899999999999998</v>
      </c>
      <c r="S185" s="44"/>
    </row>
    <row r="186" spans="1:19" s="4" customFormat="1" ht="72" x14ac:dyDescent="0.3">
      <c r="A186" s="27"/>
      <c r="B186" s="22">
        <v>7</v>
      </c>
      <c r="C186" s="23" t="s">
        <v>116</v>
      </c>
      <c r="D186" s="23" t="s">
        <v>97</v>
      </c>
      <c r="E186" s="57">
        <f>+E187</f>
        <v>252752401</v>
      </c>
      <c r="F186" s="57">
        <f t="shared" ref="F186:H186" si="147">+F187</f>
        <v>252752401</v>
      </c>
      <c r="G186" s="76">
        <f t="shared" si="106"/>
        <v>1</v>
      </c>
      <c r="H186" s="57">
        <f t="shared" si="147"/>
        <v>252752401</v>
      </c>
      <c r="I186" s="76">
        <f t="shared" si="107"/>
        <v>1</v>
      </c>
      <c r="J186" s="30"/>
      <c r="K186" s="57">
        <f>+K187</f>
        <v>0</v>
      </c>
      <c r="L186" s="76">
        <f t="shared" si="108"/>
        <v>0</v>
      </c>
      <c r="M186" s="57">
        <f t="shared" ref="M186:Q186" si="148">+M187</f>
        <v>23569462.20470456</v>
      </c>
      <c r="N186" s="76">
        <f t="shared" si="110"/>
        <v>9.3251190142817117E-2</v>
      </c>
      <c r="O186" s="57">
        <f t="shared" si="148"/>
        <v>17694791.444973394</v>
      </c>
      <c r="P186" s="76">
        <f t="shared" si="111"/>
        <v>7.000840100812096E-2</v>
      </c>
      <c r="Q186" s="57">
        <f t="shared" si="148"/>
        <v>211488147.35032204</v>
      </c>
      <c r="R186" s="76">
        <f t="shared" si="112"/>
        <v>0.83674040884906187</v>
      </c>
      <c r="S186" s="31"/>
    </row>
    <row r="187" spans="1:19" s="2" customFormat="1" ht="72" x14ac:dyDescent="0.3">
      <c r="A187" s="3"/>
      <c r="B187" s="21">
        <v>7</v>
      </c>
      <c r="C187" s="17" t="s">
        <v>116</v>
      </c>
      <c r="D187" s="17" t="s">
        <v>98</v>
      </c>
      <c r="E187" s="54">
        <f>E188+E189</f>
        <v>252752401</v>
      </c>
      <c r="F187" s="54">
        <f t="shared" ref="F187:H187" si="149">F188+F189</f>
        <v>252752401</v>
      </c>
      <c r="G187" s="80">
        <f t="shared" si="106"/>
        <v>1</v>
      </c>
      <c r="H187" s="54">
        <f t="shared" si="149"/>
        <v>252752401</v>
      </c>
      <c r="I187" s="80">
        <f t="shared" si="107"/>
        <v>1</v>
      </c>
      <c r="J187" s="28"/>
      <c r="K187" s="51">
        <f>+K188+K189</f>
        <v>0</v>
      </c>
      <c r="L187" s="89">
        <f t="shared" si="108"/>
        <v>0</v>
      </c>
      <c r="M187" s="51">
        <f t="shared" ref="M187:Q187" si="150">+M188+M189</f>
        <v>23569462.20470456</v>
      </c>
      <c r="N187" s="89">
        <f t="shared" si="110"/>
        <v>9.3251190142817117E-2</v>
      </c>
      <c r="O187" s="51">
        <f t="shared" si="150"/>
        <v>17694791.444973394</v>
      </c>
      <c r="P187" s="89">
        <f t="shared" si="111"/>
        <v>7.000840100812096E-2</v>
      </c>
      <c r="Q187" s="51">
        <f t="shared" si="150"/>
        <v>211488147.35032204</v>
      </c>
      <c r="R187" s="89">
        <f t="shared" si="112"/>
        <v>0.83674040884906187</v>
      </c>
      <c r="S187" s="31"/>
    </row>
    <row r="188" spans="1:19" s="45" customFormat="1" ht="72" x14ac:dyDescent="0.3">
      <c r="A188" s="41"/>
      <c r="B188" s="32">
        <v>7</v>
      </c>
      <c r="C188" s="33" t="s">
        <v>116</v>
      </c>
      <c r="D188" s="55" t="s">
        <v>9</v>
      </c>
      <c r="E188" s="56">
        <v>30769333</v>
      </c>
      <c r="F188" s="56">
        <v>30769333</v>
      </c>
      <c r="G188" s="75">
        <f t="shared" si="106"/>
        <v>1</v>
      </c>
      <c r="H188" s="56">
        <v>30769333</v>
      </c>
      <c r="I188" s="75">
        <f t="shared" si="107"/>
        <v>1</v>
      </c>
      <c r="J188" s="42"/>
      <c r="K188" s="46"/>
      <c r="L188" s="87">
        <f t="shared" si="108"/>
        <v>0</v>
      </c>
      <c r="M188" s="46">
        <v>2869276.9221506584</v>
      </c>
      <c r="N188" s="87">
        <f t="shared" si="110"/>
        <v>9.3251190142817145E-2</v>
      </c>
      <c r="O188" s="46">
        <v>2154111.80341641</v>
      </c>
      <c r="P188" s="87">
        <f t="shared" si="111"/>
        <v>7.0008401008120974E-2</v>
      </c>
      <c r="Q188" s="46">
        <v>25745944.274432935</v>
      </c>
      <c r="R188" s="87">
        <f t="shared" si="112"/>
        <v>0.83674040884906198</v>
      </c>
      <c r="S188" s="44"/>
    </row>
    <row r="189" spans="1:19" s="45" customFormat="1" ht="72" x14ac:dyDescent="0.3">
      <c r="A189" s="41"/>
      <c r="B189" s="32">
        <v>7</v>
      </c>
      <c r="C189" s="33" t="s">
        <v>116</v>
      </c>
      <c r="D189" s="55" t="s">
        <v>18</v>
      </c>
      <c r="E189" s="56">
        <v>221983068</v>
      </c>
      <c r="F189" s="56">
        <v>221983068</v>
      </c>
      <c r="G189" s="75">
        <f t="shared" si="106"/>
        <v>1</v>
      </c>
      <c r="H189" s="56">
        <v>221983068</v>
      </c>
      <c r="I189" s="75">
        <f t="shared" si="107"/>
        <v>1</v>
      </c>
      <c r="J189" s="42"/>
      <c r="K189" s="46"/>
      <c r="L189" s="87">
        <f t="shared" si="108"/>
        <v>0</v>
      </c>
      <c r="M189" s="46">
        <v>20700185.282553904</v>
      </c>
      <c r="N189" s="87">
        <f t="shared" si="110"/>
        <v>9.3251190142817131E-2</v>
      </c>
      <c r="O189" s="46">
        <v>15540679.641556986</v>
      </c>
      <c r="P189" s="87">
        <f t="shared" si="111"/>
        <v>7.0008401008120974E-2</v>
      </c>
      <c r="Q189" s="46">
        <v>185742203.07588911</v>
      </c>
      <c r="R189" s="87">
        <f t="shared" si="112"/>
        <v>0.83674040884906187</v>
      </c>
      <c r="S189" s="44"/>
    </row>
    <row r="190" spans="1:19" s="4" customFormat="1" ht="72" x14ac:dyDescent="0.3">
      <c r="A190" s="27"/>
      <c r="B190" s="22">
        <v>7</v>
      </c>
      <c r="C190" s="23" t="s">
        <v>116</v>
      </c>
      <c r="D190" s="23" t="s">
        <v>99</v>
      </c>
      <c r="E190" s="57">
        <f>E191</f>
        <v>43120666</v>
      </c>
      <c r="F190" s="57">
        <f t="shared" ref="F190:H191" si="151">F191</f>
        <v>43120666</v>
      </c>
      <c r="G190" s="76">
        <f t="shared" si="106"/>
        <v>1</v>
      </c>
      <c r="H190" s="57">
        <f t="shared" si="151"/>
        <v>43120666</v>
      </c>
      <c r="I190" s="76">
        <f t="shared" si="107"/>
        <v>1</v>
      </c>
      <c r="J190" s="30"/>
      <c r="K190" s="57">
        <f>+K191</f>
        <v>0</v>
      </c>
      <c r="L190" s="76">
        <f t="shared" si="108"/>
        <v>0</v>
      </c>
      <c r="M190" s="57">
        <f t="shared" ref="M190:Q190" si="152">+M191</f>
        <v>10320832.735402416</v>
      </c>
      <c r="N190" s="76">
        <f t="shared" si="110"/>
        <v>0.23934771173066799</v>
      </c>
      <c r="O190" s="57">
        <f t="shared" si="152"/>
        <v>32323487.138348255</v>
      </c>
      <c r="P190" s="76">
        <f t="shared" si="111"/>
        <v>0.74960547080483997</v>
      </c>
      <c r="Q190" s="57">
        <f t="shared" si="152"/>
        <v>476346.12624934362</v>
      </c>
      <c r="R190" s="76">
        <f t="shared" si="112"/>
        <v>1.10468174644924E-2</v>
      </c>
      <c r="S190" s="31"/>
    </row>
    <row r="191" spans="1:19" s="2" customFormat="1" ht="72" x14ac:dyDescent="0.3">
      <c r="A191" s="3"/>
      <c r="B191" s="20">
        <v>7</v>
      </c>
      <c r="C191" s="15" t="s">
        <v>116</v>
      </c>
      <c r="D191" s="15" t="s">
        <v>100</v>
      </c>
      <c r="E191" s="54">
        <f>E192</f>
        <v>43120666</v>
      </c>
      <c r="F191" s="54">
        <f t="shared" si="151"/>
        <v>43120666</v>
      </c>
      <c r="G191" s="80">
        <f t="shared" si="106"/>
        <v>1</v>
      </c>
      <c r="H191" s="54">
        <f t="shared" si="151"/>
        <v>43120666</v>
      </c>
      <c r="I191" s="80">
        <f t="shared" si="107"/>
        <v>1</v>
      </c>
      <c r="J191" s="28"/>
      <c r="K191" s="51">
        <f>+K192</f>
        <v>0</v>
      </c>
      <c r="L191" s="89">
        <f t="shared" si="108"/>
        <v>0</v>
      </c>
      <c r="M191" s="51">
        <f t="shared" ref="M191:Q191" si="153">+M192</f>
        <v>10320832.735402416</v>
      </c>
      <c r="N191" s="89">
        <f t="shared" si="110"/>
        <v>0.23934771173066799</v>
      </c>
      <c r="O191" s="51">
        <f t="shared" si="153"/>
        <v>32323487.138348255</v>
      </c>
      <c r="P191" s="89">
        <f t="shared" si="111"/>
        <v>0.74960547080483997</v>
      </c>
      <c r="Q191" s="51">
        <f t="shared" si="153"/>
        <v>476346.12624934362</v>
      </c>
      <c r="R191" s="89">
        <f t="shared" si="112"/>
        <v>1.10468174644924E-2</v>
      </c>
      <c r="S191" s="31"/>
    </row>
    <row r="192" spans="1:19" s="45" customFormat="1" ht="72" x14ac:dyDescent="0.3">
      <c r="A192" s="41"/>
      <c r="B192" s="32">
        <v>7</v>
      </c>
      <c r="C192" s="33" t="s">
        <v>116</v>
      </c>
      <c r="D192" s="55" t="s">
        <v>9</v>
      </c>
      <c r="E192" s="56">
        <v>43120666</v>
      </c>
      <c r="F192" s="56">
        <v>43120666</v>
      </c>
      <c r="G192" s="75">
        <f t="shared" si="106"/>
        <v>1</v>
      </c>
      <c r="H192" s="56">
        <v>43120666</v>
      </c>
      <c r="I192" s="75">
        <f t="shared" si="107"/>
        <v>1</v>
      </c>
      <c r="J192" s="42"/>
      <c r="K192" s="46"/>
      <c r="L192" s="87">
        <f t="shared" si="108"/>
        <v>0</v>
      </c>
      <c r="M192" s="46">
        <v>10320832.735402416</v>
      </c>
      <c r="N192" s="87">
        <f t="shared" si="110"/>
        <v>0.23934771173066799</v>
      </c>
      <c r="O192" s="46">
        <v>32323487.138348255</v>
      </c>
      <c r="P192" s="87">
        <f t="shared" si="111"/>
        <v>0.74960547080483997</v>
      </c>
      <c r="Q192" s="46">
        <v>476346.12624934362</v>
      </c>
      <c r="R192" s="87">
        <f t="shared" si="112"/>
        <v>1.10468174644924E-2</v>
      </c>
      <c r="S192" s="44"/>
    </row>
    <row r="193" spans="1:19" s="4" customFormat="1" ht="72" x14ac:dyDescent="0.3">
      <c r="A193" s="27"/>
      <c r="B193" s="22">
        <v>7</v>
      </c>
      <c r="C193" s="23" t="s">
        <v>116</v>
      </c>
      <c r="D193" s="23" t="s">
        <v>101</v>
      </c>
      <c r="E193" s="63">
        <f>E194+E197+E201+E205</f>
        <v>1974870664</v>
      </c>
      <c r="F193" s="63">
        <f t="shared" ref="F193:H193" si="154">F194+F197+F201+F205</f>
        <v>1974870664</v>
      </c>
      <c r="G193" s="81">
        <f t="shared" si="106"/>
        <v>1</v>
      </c>
      <c r="H193" s="63">
        <f t="shared" si="154"/>
        <v>1974870664</v>
      </c>
      <c r="I193" s="81">
        <f t="shared" si="107"/>
        <v>1</v>
      </c>
      <c r="J193" s="30"/>
      <c r="K193" s="57">
        <f>+K194+K197+K201+K205</f>
        <v>126060389.91576922</v>
      </c>
      <c r="L193" s="76">
        <f t="shared" si="108"/>
        <v>6.3832225681270852E-2</v>
      </c>
      <c r="M193" s="57">
        <f t="shared" ref="M193:Q193" si="155">+M194+M197+M201+M205</f>
        <v>338605986.69893402</v>
      </c>
      <c r="N193" s="76">
        <f t="shared" si="110"/>
        <v>0.17145729736706142</v>
      </c>
      <c r="O193" s="57">
        <f t="shared" si="155"/>
        <v>446876610.9486106</v>
      </c>
      <c r="P193" s="76">
        <f t="shared" si="111"/>
        <v>0.22628145685423509</v>
      </c>
      <c r="Q193" s="57">
        <f t="shared" si="155"/>
        <v>1063327676.4366862</v>
      </c>
      <c r="R193" s="76">
        <f t="shared" si="112"/>
        <v>0.53842902009743265</v>
      </c>
      <c r="S193" s="31"/>
    </row>
    <row r="194" spans="1:19" s="2" customFormat="1" ht="72" x14ac:dyDescent="0.3">
      <c r="A194" s="3"/>
      <c r="B194" s="20">
        <v>7</v>
      </c>
      <c r="C194" s="15" t="s">
        <v>116</v>
      </c>
      <c r="D194" s="15" t="s">
        <v>102</v>
      </c>
      <c r="E194" s="54">
        <f>E195+E196</f>
        <v>312154000</v>
      </c>
      <c r="F194" s="54">
        <f t="shared" ref="F194:H194" si="156">F195+F196</f>
        <v>312154000</v>
      </c>
      <c r="G194" s="80">
        <f t="shared" si="106"/>
        <v>1</v>
      </c>
      <c r="H194" s="54">
        <f t="shared" si="156"/>
        <v>312154000</v>
      </c>
      <c r="I194" s="80">
        <f t="shared" si="107"/>
        <v>1</v>
      </c>
      <c r="J194" s="28"/>
      <c r="K194" s="51">
        <f>+K195+K196</f>
        <v>40741613.13975656</v>
      </c>
      <c r="L194" s="89">
        <f t="shared" si="108"/>
        <v>0.13051767121278779</v>
      </c>
      <c r="M194" s="51">
        <f t="shared" ref="M194:Q194" si="157">+M195+M196</f>
        <v>80430353.130957618</v>
      </c>
      <c r="N194" s="89">
        <f t="shared" si="110"/>
        <v>0.25766241384367211</v>
      </c>
      <c r="O194" s="51">
        <f t="shared" si="157"/>
        <v>44953105.733978592</v>
      </c>
      <c r="P194" s="89">
        <f t="shared" si="111"/>
        <v>0.14400938554040182</v>
      </c>
      <c r="Q194" s="51">
        <f t="shared" si="157"/>
        <v>146028927.99530724</v>
      </c>
      <c r="R194" s="89">
        <f t="shared" si="112"/>
        <v>0.46781052940313833</v>
      </c>
      <c r="S194" s="31"/>
    </row>
    <row r="195" spans="1:19" s="45" customFormat="1" ht="72" x14ac:dyDescent="0.3">
      <c r="A195" s="41"/>
      <c r="B195" s="32">
        <v>7</v>
      </c>
      <c r="C195" s="33" t="s">
        <v>116</v>
      </c>
      <c r="D195" s="55" t="s">
        <v>9</v>
      </c>
      <c r="E195" s="56">
        <v>232154000</v>
      </c>
      <c r="F195" s="56">
        <v>232154000</v>
      </c>
      <c r="G195" s="75">
        <f t="shared" si="106"/>
        <v>1</v>
      </c>
      <c r="H195" s="56">
        <v>232154000</v>
      </c>
      <c r="I195" s="75">
        <f t="shared" si="107"/>
        <v>1</v>
      </c>
      <c r="J195" s="42"/>
      <c r="K195" s="46">
        <f>(232154000*890)/6819</f>
        <v>30300199.442733537</v>
      </c>
      <c r="L195" s="87">
        <f t="shared" si="108"/>
        <v>0.13051767121278779</v>
      </c>
      <c r="M195" s="46">
        <f>(232154000*1757)/6819</f>
        <v>59817360.023463853</v>
      </c>
      <c r="N195" s="87">
        <f t="shared" si="110"/>
        <v>0.25766241384367211</v>
      </c>
      <c r="O195" s="46">
        <f>(232154000*982)/6819</f>
        <v>33432354.890746444</v>
      </c>
      <c r="P195" s="87">
        <f t="shared" si="111"/>
        <v>0.14400938554040182</v>
      </c>
      <c r="Q195" s="46">
        <f>(232154000*3190)/6819</f>
        <v>108604085.64305617</v>
      </c>
      <c r="R195" s="87">
        <f t="shared" si="112"/>
        <v>0.46781052940313828</v>
      </c>
      <c r="S195" s="44"/>
    </row>
    <row r="196" spans="1:19" s="45" customFormat="1" ht="72" x14ac:dyDescent="0.3">
      <c r="A196" s="41"/>
      <c r="B196" s="32">
        <v>7</v>
      </c>
      <c r="C196" s="33" t="s">
        <v>116</v>
      </c>
      <c r="D196" s="55" t="s">
        <v>18</v>
      </c>
      <c r="E196" s="56">
        <v>80000000</v>
      </c>
      <c r="F196" s="56">
        <v>80000000</v>
      </c>
      <c r="G196" s="75">
        <f t="shared" si="106"/>
        <v>1</v>
      </c>
      <c r="H196" s="56">
        <v>80000000</v>
      </c>
      <c r="I196" s="75">
        <f t="shared" si="107"/>
        <v>1</v>
      </c>
      <c r="J196" s="42"/>
      <c r="K196" s="46">
        <f>(80000000*890)/6819</f>
        <v>10441413.697023025</v>
      </c>
      <c r="L196" s="87">
        <f t="shared" si="108"/>
        <v>0.13051767121278782</v>
      </c>
      <c r="M196" s="46">
        <f>(80000000*1757)/6819</f>
        <v>20612993.107493766</v>
      </c>
      <c r="N196" s="87">
        <f t="shared" si="110"/>
        <v>0.25766241384367206</v>
      </c>
      <c r="O196" s="46">
        <f>(80000000*982)/6819</f>
        <v>11520750.843232146</v>
      </c>
      <c r="P196" s="87">
        <f t="shared" si="111"/>
        <v>0.14400938554040182</v>
      </c>
      <c r="Q196" s="46">
        <f>(80000000*3190)/6819</f>
        <v>37424842.35225106</v>
      </c>
      <c r="R196" s="87">
        <f t="shared" si="112"/>
        <v>0.46781052940313828</v>
      </c>
      <c r="S196" s="44"/>
    </row>
    <row r="197" spans="1:19" s="2" customFormat="1" ht="72" x14ac:dyDescent="0.3">
      <c r="A197" s="3"/>
      <c r="B197" s="21">
        <v>7</v>
      </c>
      <c r="C197" s="17" t="s">
        <v>116</v>
      </c>
      <c r="D197" s="17" t="s">
        <v>103</v>
      </c>
      <c r="E197" s="54">
        <f>E198+E199+E200</f>
        <v>1455396040</v>
      </c>
      <c r="F197" s="54">
        <f t="shared" ref="F197:H197" si="158">F198+F199+F200</f>
        <v>1455396040</v>
      </c>
      <c r="G197" s="80">
        <f t="shared" si="106"/>
        <v>1</v>
      </c>
      <c r="H197" s="54">
        <f t="shared" si="158"/>
        <v>1455396040</v>
      </c>
      <c r="I197" s="80">
        <f t="shared" si="107"/>
        <v>1</v>
      </c>
      <c r="J197" s="28"/>
      <c r="K197" s="51">
        <f>+K198+K199+K200</f>
        <v>72731860.018449455</v>
      </c>
      <c r="L197" s="89">
        <f t="shared" si="108"/>
        <v>4.9973930132755792E-2</v>
      </c>
      <c r="M197" s="51">
        <f>+M198+M199+M200</f>
        <v>218253952.33465686</v>
      </c>
      <c r="N197" s="89">
        <f t="shared" si="110"/>
        <v>0.14996189788633538</v>
      </c>
      <c r="O197" s="51">
        <f t="shared" ref="O197:Q197" si="159">+O198+O199+O200</f>
        <v>363834416.93017286</v>
      </c>
      <c r="P197" s="89">
        <f t="shared" si="111"/>
        <v>0.24998997312798299</v>
      </c>
      <c r="Q197" s="51">
        <f t="shared" si="159"/>
        <v>800575810.71672082</v>
      </c>
      <c r="R197" s="89">
        <f t="shared" si="112"/>
        <v>0.55007419885292586</v>
      </c>
      <c r="S197" s="31"/>
    </row>
    <row r="198" spans="1:19" s="45" customFormat="1" ht="72" x14ac:dyDescent="0.3">
      <c r="A198" s="41"/>
      <c r="B198" s="32">
        <v>7</v>
      </c>
      <c r="C198" s="33" t="s">
        <v>116</v>
      </c>
      <c r="D198" s="55" t="s">
        <v>9</v>
      </c>
      <c r="E198" s="56">
        <v>279793500</v>
      </c>
      <c r="F198" s="56">
        <v>279793500</v>
      </c>
      <c r="G198" s="75">
        <f t="shared" si="106"/>
        <v>1</v>
      </c>
      <c r="H198" s="56">
        <v>279793500</v>
      </c>
      <c r="I198" s="75">
        <f t="shared" si="107"/>
        <v>1</v>
      </c>
      <c r="J198" s="42"/>
      <c r="K198" s="46">
        <f>(F198*1246)/24933</f>
        <v>13982380.820599206</v>
      </c>
      <c r="L198" s="87">
        <f t="shared" si="108"/>
        <v>4.9973930132755785E-2</v>
      </c>
      <c r="M198" s="46">
        <f>(F198*3739)/24933</f>
        <v>41958364.276260376</v>
      </c>
      <c r="N198" s="87">
        <f t="shared" si="110"/>
        <v>0.14996189788633538</v>
      </c>
      <c r="O198" s="46">
        <f>(F198*6233)/24933</f>
        <v>69945569.546384305</v>
      </c>
      <c r="P198" s="87">
        <f t="shared" si="111"/>
        <v>0.24998997312798299</v>
      </c>
      <c r="Q198" s="46">
        <f>(F198*13715)/24933</f>
        <v>153907185.35675612</v>
      </c>
      <c r="R198" s="87">
        <f t="shared" si="112"/>
        <v>0.55007419885292586</v>
      </c>
      <c r="S198" s="44"/>
    </row>
    <row r="199" spans="1:19" s="45" customFormat="1" ht="72" x14ac:dyDescent="0.3">
      <c r="A199" s="41"/>
      <c r="B199" s="32">
        <v>7</v>
      </c>
      <c r="C199" s="33" t="s">
        <v>116</v>
      </c>
      <c r="D199" s="55" t="s">
        <v>95</v>
      </c>
      <c r="E199" s="56">
        <v>176183734</v>
      </c>
      <c r="F199" s="56">
        <v>176183734</v>
      </c>
      <c r="G199" s="75">
        <f t="shared" si="106"/>
        <v>1</v>
      </c>
      <c r="H199" s="56">
        <v>176183734</v>
      </c>
      <c r="I199" s="75">
        <f t="shared" si="107"/>
        <v>1</v>
      </c>
      <c r="J199" s="42"/>
      <c r="K199" s="46">
        <f>(F199*1246)/24933</f>
        <v>8804593.6134440303</v>
      </c>
      <c r="L199" s="87">
        <f t="shared" si="108"/>
        <v>4.9973930132755785E-2</v>
      </c>
      <c r="M199" s="46">
        <f>(F199*3739)/24933</f>
        <v>26420847.127341274</v>
      </c>
      <c r="N199" s="87">
        <f t="shared" si="110"/>
        <v>0.14996189788633538</v>
      </c>
      <c r="O199" s="46">
        <f>(F199*6233)/24933</f>
        <v>44044166.928247705</v>
      </c>
      <c r="P199" s="87">
        <f t="shared" si="111"/>
        <v>0.24998997312798299</v>
      </c>
      <c r="Q199" s="46">
        <f>(F199*13715)/24933</f>
        <v>96914126.330966994</v>
      </c>
      <c r="R199" s="87">
        <f t="shared" ref="R199:R208" si="160">+Q199/F199</f>
        <v>0.55007419885292586</v>
      </c>
      <c r="S199" s="44"/>
    </row>
    <row r="200" spans="1:19" s="45" customFormat="1" ht="72" x14ac:dyDescent="0.3">
      <c r="A200" s="41"/>
      <c r="B200" s="32">
        <v>7</v>
      </c>
      <c r="C200" s="33" t="s">
        <v>116</v>
      </c>
      <c r="D200" s="55" t="s">
        <v>11</v>
      </c>
      <c r="E200" s="56">
        <v>999418806</v>
      </c>
      <c r="F200" s="56">
        <v>999418806</v>
      </c>
      <c r="G200" s="75">
        <f t="shared" si="106"/>
        <v>1</v>
      </c>
      <c r="H200" s="56">
        <v>999418806</v>
      </c>
      <c r="I200" s="75">
        <f t="shared" si="107"/>
        <v>1</v>
      </c>
      <c r="J200" s="42"/>
      <c r="K200" s="46">
        <f>(F200*1246)/24933</f>
        <v>49944885.584406212</v>
      </c>
      <c r="L200" s="87">
        <f t="shared" si="108"/>
        <v>4.9973930132755792E-2</v>
      </c>
      <c r="M200" s="46">
        <f>(F200*3739)/24933</f>
        <v>149874740.93105522</v>
      </c>
      <c r="N200" s="87">
        <f t="shared" si="110"/>
        <v>0.14996189788633538</v>
      </c>
      <c r="O200" s="46">
        <f>(F200*6233)/24933</f>
        <v>249844680.45554084</v>
      </c>
      <c r="P200" s="87">
        <f t="shared" si="111"/>
        <v>0.24998997312798299</v>
      </c>
      <c r="Q200" s="46">
        <f>(F200*13715)/24933</f>
        <v>549754499.02899766</v>
      </c>
      <c r="R200" s="87">
        <f t="shared" si="160"/>
        <v>0.55007419885292574</v>
      </c>
      <c r="S200" s="44"/>
    </row>
    <row r="201" spans="1:19" s="2" customFormat="1" ht="72" x14ac:dyDescent="0.3">
      <c r="A201" s="3"/>
      <c r="B201" s="21">
        <v>7</v>
      </c>
      <c r="C201" s="17" t="s">
        <v>116</v>
      </c>
      <c r="D201" s="17" t="s">
        <v>104</v>
      </c>
      <c r="E201" s="54">
        <f>E202+E203+E204</f>
        <v>164080624</v>
      </c>
      <c r="F201" s="54">
        <f t="shared" ref="F201:H201" si="161">F202+F203+F204</f>
        <v>164080624</v>
      </c>
      <c r="G201" s="80">
        <f t="shared" si="106"/>
        <v>1</v>
      </c>
      <c r="H201" s="54">
        <f t="shared" si="161"/>
        <v>164080624</v>
      </c>
      <c r="I201" s="80">
        <f t="shared" si="107"/>
        <v>1</v>
      </c>
      <c r="J201" s="28"/>
      <c r="K201" s="51">
        <f>+K202+K203+K204</f>
        <v>12001753.060920017</v>
      </c>
      <c r="L201" s="89">
        <f t="shared" si="108"/>
        <v>7.3145462080397849E-2</v>
      </c>
      <c r="M201" s="51">
        <f t="shared" ref="M201:Q201" si="162">+M202+M203+M204</f>
        <v>32344667.833678685</v>
      </c>
      <c r="N201" s="89">
        <f t="shared" si="110"/>
        <v>0.1971266749551043</v>
      </c>
      <c r="O201" s="51">
        <f t="shared" si="162"/>
        <v>22015680.355187181</v>
      </c>
      <c r="P201" s="89">
        <f t="shared" si="111"/>
        <v>0.13417599115899986</v>
      </c>
      <c r="Q201" s="51">
        <f t="shared" si="162"/>
        <v>97718522.75021413</v>
      </c>
      <c r="R201" s="89">
        <f t="shared" si="160"/>
        <v>0.59555187180549807</v>
      </c>
      <c r="S201" s="31"/>
    </row>
    <row r="202" spans="1:19" s="45" customFormat="1" ht="72" x14ac:dyDescent="0.3">
      <c r="A202" s="41"/>
      <c r="B202" s="32">
        <v>7</v>
      </c>
      <c r="C202" s="33" t="s">
        <v>116</v>
      </c>
      <c r="D202" s="55" t="s">
        <v>9</v>
      </c>
      <c r="E202" s="56">
        <v>12714300</v>
      </c>
      <c r="F202" s="56">
        <v>12714300</v>
      </c>
      <c r="G202" s="75">
        <f t="shared" ref="G202:G207" si="163">+F202/E202</f>
        <v>1</v>
      </c>
      <c r="H202" s="56">
        <v>12714300</v>
      </c>
      <c r="I202" s="75">
        <f t="shared" ref="I202:I207" si="164">+H202/E202</f>
        <v>1</v>
      </c>
      <c r="J202" s="42"/>
      <c r="K202" s="46">
        <f>(F202*5295)/72390</f>
        <v>929993.34852880228</v>
      </c>
      <c r="L202" s="87">
        <f t="shared" ref="L202:L208" si="165">+K202/F202</f>
        <v>7.3145462080397836E-2</v>
      </c>
      <c r="M202" s="46">
        <f>(F202*14270)/72390</f>
        <v>2506327.6833816827</v>
      </c>
      <c r="N202" s="87">
        <f t="shared" ref="N202:N208" si="166">+M202/F202</f>
        <v>0.1971266749551043</v>
      </c>
      <c r="O202" s="46">
        <f>(F202*9713)/72390</f>
        <v>1705953.8043928719</v>
      </c>
      <c r="P202" s="87">
        <f t="shared" ref="P202:P208" si="167">+O202/F202</f>
        <v>0.13417599115899986</v>
      </c>
      <c r="Q202" s="46">
        <f>(F202*43112)/72390</f>
        <v>7572025.163696643</v>
      </c>
      <c r="R202" s="87">
        <f t="shared" si="160"/>
        <v>0.59555187180549796</v>
      </c>
      <c r="S202" s="44"/>
    </row>
    <row r="203" spans="1:19" s="45" customFormat="1" ht="72" x14ac:dyDescent="0.3">
      <c r="A203" s="41"/>
      <c r="B203" s="32">
        <v>7</v>
      </c>
      <c r="C203" s="33" t="s">
        <v>116</v>
      </c>
      <c r="D203" s="55" t="s">
        <v>95</v>
      </c>
      <c r="E203" s="56">
        <v>99811324</v>
      </c>
      <c r="F203" s="56">
        <v>99811324</v>
      </c>
      <c r="G203" s="75">
        <f t="shared" si="163"/>
        <v>1</v>
      </c>
      <c r="H203" s="56">
        <v>99811324</v>
      </c>
      <c r="I203" s="75">
        <f t="shared" si="164"/>
        <v>1</v>
      </c>
      <c r="J203" s="42"/>
      <c r="K203" s="46">
        <f>(F203*5295)/72390</f>
        <v>7300745.4148363033</v>
      </c>
      <c r="L203" s="87">
        <f t="shared" si="165"/>
        <v>7.3145462080397849E-2</v>
      </c>
      <c r="M203" s="46">
        <f>(F203*14270)/72390</f>
        <v>19675474.422986601</v>
      </c>
      <c r="N203" s="87">
        <f t="shared" si="166"/>
        <v>0.1971266749551043</v>
      </c>
      <c r="O203" s="46">
        <f>(F203*9713)/72390</f>
        <v>13392283.326592071</v>
      </c>
      <c r="P203" s="87">
        <f t="shared" si="167"/>
        <v>0.13417599115899986</v>
      </c>
      <c r="Q203" s="46">
        <f>(F203*43112)/72390</f>
        <v>59442820.835585028</v>
      </c>
      <c r="R203" s="87">
        <f t="shared" si="160"/>
        <v>0.59555187180549807</v>
      </c>
      <c r="S203" s="44"/>
    </row>
    <row r="204" spans="1:19" s="45" customFormat="1" ht="72" x14ac:dyDescent="0.3">
      <c r="A204" s="41"/>
      <c r="B204" s="32">
        <v>7</v>
      </c>
      <c r="C204" s="33" t="s">
        <v>116</v>
      </c>
      <c r="D204" s="55" t="s">
        <v>11</v>
      </c>
      <c r="E204" s="56">
        <v>51555000</v>
      </c>
      <c r="F204" s="56">
        <v>51555000</v>
      </c>
      <c r="G204" s="75">
        <f t="shared" si="163"/>
        <v>1</v>
      </c>
      <c r="H204" s="56">
        <v>51555000</v>
      </c>
      <c r="I204" s="75">
        <f t="shared" si="164"/>
        <v>1</v>
      </c>
      <c r="J204" s="42"/>
      <c r="K204" s="46">
        <f>(F204*5295)/72390</f>
        <v>3771014.2975549111</v>
      </c>
      <c r="L204" s="87">
        <f t="shared" si="165"/>
        <v>7.3145462080397849E-2</v>
      </c>
      <c r="M204" s="46">
        <f>(F204*14270)/72390</f>
        <v>10162865.727310402</v>
      </c>
      <c r="N204" s="87">
        <f t="shared" si="166"/>
        <v>0.1971266749551043</v>
      </c>
      <c r="O204" s="46">
        <f>(F204*9713)/72390</f>
        <v>6917443.224202238</v>
      </c>
      <c r="P204" s="87">
        <f t="shared" si="167"/>
        <v>0.13417599115899986</v>
      </c>
      <c r="Q204" s="46">
        <f>(F204*43112)/72390</f>
        <v>30703676.750932448</v>
      </c>
      <c r="R204" s="87">
        <f t="shared" si="160"/>
        <v>0.59555187180549796</v>
      </c>
      <c r="S204" s="44"/>
    </row>
    <row r="205" spans="1:19" s="2" customFormat="1" ht="72" x14ac:dyDescent="0.3">
      <c r="A205" s="3"/>
      <c r="B205" s="20">
        <v>7</v>
      </c>
      <c r="C205" s="15" t="s">
        <v>116</v>
      </c>
      <c r="D205" s="15" t="s">
        <v>105</v>
      </c>
      <c r="E205" s="54">
        <f>E206+E207</f>
        <v>43240000</v>
      </c>
      <c r="F205" s="54">
        <f t="shared" ref="F205:H205" si="168">F206+F207</f>
        <v>43240000</v>
      </c>
      <c r="G205" s="80">
        <f t="shared" si="163"/>
        <v>1</v>
      </c>
      <c r="H205" s="54">
        <f t="shared" si="168"/>
        <v>43240000</v>
      </c>
      <c r="I205" s="80">
        <f t="shared" si="164"/>
        <v>1</v>
      </c>
      <c r="J205" s="28"/>
      <c r="K205" s="54">
        <f>+K206+K207</f>
        <v>585163.69664318278</v>
      </c>
      <c r="L205" s="80">
        <f t="shared" si="165"/>
        <v>1.3532925454282673E-2</v>
      </c>
      <c r="M205" s="54">
        <f t="shared" ref="M205:Q205" si="169">+M206+M207</f>
        <v>7577013.399640834</v>
      </c>
      <c r="N205" s="80">
        <f t="shared" si="166"/>
        <v>0.17523157723498692</v>
      </c>
      <c r="O205" s="54">
        <f t="shared" si="169"/>
        <v>16073407.929272</v>
      </c>
      <c r="P205" s="80">
        <f t="shared" si="167"/>
        <v>0.37172543777224792</v>
      </c>
      <c r="Q205" s="54">
        <f t="shared" si="169"/>
        <v>19004414.974443983</v>
      </c>
      <c r="R205" s="80">
        <f t="shared" si="160"/>
        <v>0.43951005953848249</v>
      </c>
      <c r="S205" s="31"/>
    </row>
    <row r="206" spans="1:19" s="45" customFormat="1" ht="72" x14ac:dyDescent="0.3">
      <c r="A206" s="41"/>
      <c r="B206" s="32">
        <v>7</v>
      </c>
      <c r="C206" s="33" t="s">
        <v>116</v>
      </c>
      <c r="D206" s="55" t="s">
        <v>11</v>
      </c>
      <c r="E206" s="56">
        <v>35240000</v>
      </c>
      <c r="F206" s="56">
        <v>35240000</v>
      </c>
      <c r="G206" s="75">
        <f t="shared" si="163"/>
        <v>1</v>
      </c>
      <c r="H206" s="56">
        <v>35240000</v>
      </c>
      <c r="I206" s="75">
        <f t="shared" si="164"/>
        <v>1</v>
      </c>
      <c r="J206" s="42"/>
      <c r="K206" s="46"/>
      <c r="L206" s="87">
        <f t="shared" si="165"/>
        <v>0</v>
      </c>
      <c r="M206" s="46">
        <v>6000000</v>
      </c>
      <c r="N206" s="87">
        <f t="shared" si="166"/>
        <v>0.170261066969353</v>
      </c>
      <c r="O206" s="46">
        <v>15000000</v>
      </c>
      <c r="P206" s="87">
        <f t="shared" si="167"/>
        <v>0.42565266742338254</v>
      </c>
      <c r="Q206" s="46">
        <f>F206- (M206+O206)</f>
        <v>14240000</v>
      </c>
      <c r="R206" s="87">
        <f t="shared" si="160"/>
        <v>0.40408626560726446</v>
      </c>
      <c r="S206" s="44"/>
    </row>
    <row r="207" spans="1:19" s="45" customFormat="1" ht="72" x14ac:dyDescent="0.3">
      <c r="A207" s="41"/>
      <c r="B207" s="32">
        <v>7</v>
      </c>
      <c r="C207" s="33" t="s">
        <v>116</v>
      </c>
      <c r="D207" s="55" t="s">
        <v>9</v>
      </c>
      <c r="E207" s="56">
        <v>8000000</v>
      </c>
      <c r="F207" s="56">
        <v>8000000</v>
      </c>
      <c r="G207" s="75">
        <f t="shared" si="163"/>
        <v>1</v>
      </c>
      <c r="H207" s="56">
        <v>8000000</v>
      </c>
      <c r="I207" s="75">
        <f t="shared" si="164"/>
        <v>1</v>
      </c>
      <c r="J207" s="42"/>
      <c r="K207" s="46">
        <f>(8000000*5295)/72390</f>
        <v>585163.69664318278</v>
      </c>
      <c r="L207" s="87">
        <f t="shared" si="165"/>
        <v>7.3145462080397849E-2</v>
      </c>
      <c r="M207" s="46">
        <f>(8000000*14270)/72390</f>
        <v>1577013.3996408344</v>
      </c>
      <c r="N207" s="87">
        <f t="shared" si="166"/>
        <v>0.1971266749551043</v>
      </c>
      <c r="O207" s="46">
        <f>(8000000*9713)/72390</f>
        <v>1073407.9292719988</v>
      </c>
      <c r="P207" s="87">
        <f t="shared" si="167"/>
        <v>0.13417599115899986</v>
      </c>
      <c r="Q207" s="46">
        <f>(8000000*43112)/72390</f>
        <v>4764414.9744439842</v>
      </c>
      <c r="R207" s="87">
        <f t="shared" si="160"/>
        <v>0.59555187180549807</v>
      </c>
      <c r="S207" s="44"/>
    </row>
    <row r="208" spans="1:19" ht="28.5" customHeight="1" x14ac:dyDescent="0.3">
      <c r="B208" s="95" t="s">
        <v>106</v>
      </c>
      <c r="C208" s="95"/>
      <c r="D208" s="95"/>
      <c r="E208" s="92">
        <f>E6+E71+E87+E167+E186+E190+E193</f>
        <v>225723806078</v>
      </c>
      <c r="F208" s="92">
        <f>F6+F71+F87+F167+F186+F190+F193</f>
        <v>225723806078</v>
      </c>
      <c r="G208" s="93">
        <f>F208/E208</f>
        <v>1</v>
      </c>
      <c r="H208" s="92">
        <f>H6+H71+H87+H167+H186+H190+H193</f>
        <v>225094508960</v>
      </c>
      <c r="I208" s="93">
        <f>+H208/E208</f>
        <v>0.99721209238434272</v>
      </c>
      <c r="K208" s="92">
        <f>K6+K71+K87+K167+K186+K190+K193</f>
        <v>18395096210.669174</v>
      </c>
      <c r="L208" s="93">
        <f t="shared" si="165"/>
        <v>8.1493824378952112E-2</v>
      </c>
      <c r="M208" s="92">
        <f>M6+M71+M87+M167+M186+M190+M193</f>
        <v>84148085056.749573</v>
      </c>
      <c r="N208" s="93">
        <f t="shared" si="166"/>
        <v>0.37279224783083703</v>
      </c>
      <c r="O208" s="92">
        <f>O6+O71+O87+O167+O186+O190+O193</f>
        <v>83967471669.0168</v>
      </c>
      <c r="P208" s="93">
        <f t="shared" si="167"/>
        <v>0.37199209568529701</v>
      </c>
      <c r="Q208" s="92">
        <f>Q6+Q71+Q87+Q167+Q186+Q190+Q193</f>
        <v>39213153141.564438</v>
      </c>
      <c r="R208" s="93">
        <f t="shared" si="160"/>
        <v>0.17372183210491379</v>
      </c>
      <c r="S208" s="31"/>
    </row>
    <row r="209" spans="11:19" ht="15.6" x14ac:dyDescent="0.3">
      <c r="S209" s="31"/>
    </row>
    <row r="214" spans="11:19" x14ac:dyDescent="0.3">
      <c r="K214" s="7"/>
      <c r="L214" s="91"/>
      <c r="M214" s="7"/>
      <c r="N214" s="91"/>
      <c r="O214" s="7"/>
      <c r="P214" s="91"/>
      <c r="Q214" s="7"/>
      <c r="R214" s="91"/>
    </row>
    <row r="215" spans="11:19" x14ac:dyDescent="0.3">
      <c r="K215" s="7"/>
      <c r="L215" s="96"/>
      <c r="M215" s="7"/>
      <c r="N215" s="91"/>
      <c r="O215" s="7"/>
      <c r="P215" s="91"/>
      <c r="Q215" s="7"/>
      <c r="R215" s="91"/>
    </row>
    <row r="216" spans="11:19" x14ac:dyDescent="0.3">
      <c r="K216" s="7"/>
      <c r="L216" s="91"/>
      <c r="M216" s="7"/>
      <c r="N216" s="91"/>
      <c r="O216" s="7"/>
      <c r="P216" s="91"/>
      <c r="Q216" s="7"/>
      <c r="R216" s="91"/>
    </row>
    <row r="217" spans="11:19" x14ac:dyDescent="0.3">
      <c r="K217" s="7"/>
      <c r="L217" s="91"/>
      <c r="M217" s="7"/>
      <c r="N217" s="91"/>
      <c r="O217" s="7"/>
      <c r="P217" s="91"/>
      <c r="Q217" s="7"/>
      <c r="R217" s="91"/>
    </row>
    <row r="218" spans="11:19" x14ac:dyDescent="0.3">
      <c r="K218" s="7"/>
      <c r="L218" s="91"/>
      <c r="M218" s="7"/>
      <c r="N218" s="91"/>
      <c r="O218" s="7"/>
      <c r="P218" s="91"/>
      <c r="Q218" s="7"/>
      <c r="R218" s="91"/>
    </row>
    <row r="219" spans="11:19" x14ac:dyDescent="0.3">
      <c r="K219" s="7"/>
      <c r="L219" s="91"/>
      <c r="M219" s="7"/>
      <c r="N219" s="91"/>
      <c r="O219" s="7"/>
      <c r="P219" s="91"/>
      <c r="Q219" s="7"/>
      <c r="R219" s="91"/>
    </row>
    <row r="220" spans="11:19" x14ac:dyDescent="0.3">
      <c r="K220" s="7"/>
      <c r="L220" s="91"/>
      <c r="M220" s="7"/>
      <c r="N220" s="91"/>
      <c r="O220" s="7"/>
      <c r="P220" s="91"/>
      <c r="Q220" s="7"/>
      <c r="R220" s="91"/>
    </row>
    <row r="221" spans="11:19" x14ac:dyDescent="0.3">
      <c r="K221" s="7"/>
      <c r="L221" s="91"/>
      <c r="M221" s="7"/>
      <c r="N221" s="91"/>
      <c r="O221" s="7"/>
      <c r="P221" s="91"/>
      <c r="Q221" s="7"/>
      <c r="R221" s="91"/>
    </row>
  </sheetData>
  <mergeCells count="2">
    <mergeCell ref="K4:R4"/>
    <mergeCell ref="B208:D208"/>
  </mergeCells>
  <pageMargins left="0.7" right="0.7" top="0.75" bottom="0.75" header="0.3" footer="0.3"/>
  <pageSetup paperSize="9" orientation="portrait" r:id="rId1"/>
  <ignoredErrors>
    <ignoredError sqref="G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2021</vt:lpstr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Raul camelo</cp:lastModifiedBy>
  <dcterms:created xsi:type="dcterms:W3CDTF">2023-06-24T16:29:09Z</dcterms:created>
  <dcterms:modified xsi:type="dcterms:W3CDTF">2023-06-30T21:44:11Z</dcterms:modified>
</cp:coreProperties>
</file>