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JUVENTUD\2022\"/>
    </mc:Choice>
  </mc:AlternateContent>
  <xr:revisionPtr revIDLastSave="0" documentId="8_{3C288A69-C00B-470D-A2B1-B0107F3BF05D}" xr6:coauthVersionLast="47" xr6:coauthVersionMax="47" xr10:uidLastSave="{00000000-0000-0000-0000-000000000000}"/>
  <bookViews>
    <workbookView xWindow="20370" yWindow="-120" windowWidth="20730" windowHeight="1116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F30" i="1" l="1"/>
  <c r="CA55" i="1"/>
  <c r="CF40" i="1" l="1"/>
  <c r="CE35" i="1"/>
  <c r="CA35" i="1"/>
  <c r="BW35" i="1"/>
  <c r="CA53" i="1" l="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BY13" i="1"/>
  <c r="BZ13" i="1"/>
  <c r="CF85" i="1"/>
  <c r="CF84" i="1"/>
  <c r="CF83" i="1"/>
  <c r="CF82" i="1"/>
  <c r="CF71" i="1"/>
  <c r="CF70" i="1"/>
  <c r="CD13" i="1"/>
  <c r="CF80" i="1" l="1"/>
  <c r="CF79" i="1"/>
  <c r="CF69" i="1"/>
  <c r="CF68" i="1"/>
  <c r="CF66" i="1"/>
  <c r="CF42" i="1"/>
  <c r="CF41" i="1"/>
  <c r="CF26" i="1"/>
  <c r="CF25" i="1"/>
  <c r="CF13" i="1"/>
  <c r="CF8" i="1"/>
  <c r="CF7" i="1"/>
  <c r="CF6" i="1"/>
  <c r="CF5" i="1"/>
  <c r="CF4" i="1"/>
  <c r="CA84" i="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F87" i="1"/>
  <c r="CA82" i="1" l="1"/>
  <c r="CA37" i="1"/>
  <c r="CA12" i="1"/>
  <c r="CA13" i="1"/>
  <c r="CA60" i="1"/>
  <c r="CA64" i="1"/>
  <c r="CA85" i="1"/>
  <c r="H35" i="9"/>
  <c r="G35" i="9"/>
  <c r="F35" i="9"/>
  <c r="E35" i="9"/>
  <c r="D35" i="9"/>
  <c r="I34" i="9"/>
  <c r="I33" i="9"/>
  <c r="I32" i="9"/>
  <c r="I31" i="9"/>
  <c r="I30" i="9"/>
  <c r="B9" i="9"/>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I35" i="9"/>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Q13" i="1" l="1"/>
  <c r="AA26" i="1" l="1"/>
  <c r="AA79" i="1"/>
  <c r="AA80" i="1"/>
  <c r="AA6" i="1"/>
  <c r="AA84" i="1"/>
  <c r="AA7" i="1"/>
  <c r="J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s>
  <commentList>
    <comment ref="BA32" authorId="0" shapeId="0" xr:uid="{00000000-0006-0000-0000-000001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2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3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4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5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6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List>
</comments>
</file>

<file path=xl/sharedStrings.xml><?xml version="1.0" encoding="utf-8"?>
<sst xmlns="http://schemas.openxmlformats.org/spreadsheetml/2006/main" count="2062" uniqueCount="1103">
  <si>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</si>
  <si>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</si>
  <si>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</si>
  <si>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</si>
  <si>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</si>
  <si>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</si>
  <si>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</si>
  <si>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</si>
  <si>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</si>
  <si>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</si>
  <si>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</si>
  <si>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</si>
  <si>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</si>
  <si>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</si>
  <si>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</si>
  <si>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</si>
  <si>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</si>
  <si>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</si>
  <si>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</si>
  <si>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</si>
  <si>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</si>
  <si>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</si>
  <si>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</si>
  <si>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</si>
  <si>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</si>
  <si>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</si>
  <si>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</si>
  <si>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</si>
  <si>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</si>
  <si>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</si>
  <si>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</si>
  <si>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</si>
  <si>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</si>
  <si>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</si>
  <si>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</si>
  <si>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</si>
  <si>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</si>
  <si>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</si>
  <si>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</si>
  <si>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</si>
  <si>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</si>
  <si>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</si>
  <si>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</si>
  <si>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</si>
  <si>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</si>
  <si>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</si>
  <si>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</si>
  <si>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</si>
  <si>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</si>
  <si>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</si>
  <si>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</si>
  <si>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</si>
  <si>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</si>
  <si>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</si>
  <si>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</si>
  <si>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</si>
  <si>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</si>
  <si>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</si>
  <si>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</si>
  <si>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</si>
  <si>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</si>
  <si>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</si>
  <si>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</si>
  <si>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</si>
  <si>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</si>
  <si>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</si>
  <si>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</si>
  <si>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</si>
  <si>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</si>
  <si>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</si>
  <si>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</si>
  <si>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</si>
  <si>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</si>
  <si>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</si>
  <si>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</si>
  <si>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</si>
  <si>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</si>
  <si>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</si>
  <si>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</si>
  <si>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</si>
  <si>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</si>
  <si>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</si>
  <si>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</si>
  <si>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</si>
  <si>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</si>
  <si>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</si>
  <si>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</si>
  <si>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</si>
  <si>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</si>
  <si>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</si>
  <si>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</si>
  <si>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</si>
  <si>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</si>
  <si>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</si>
  <si>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</si>
  <si>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</si>
  <si>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</si>
  <si>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</si>
  <si>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</si>
  <si>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</si>
  <si>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</si>
  <si>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</si>
  <si>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</si>
  <si>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</si>
  <si>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</si>
  <si>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</si>
  <si>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</si>
  <si>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</si>
  <si>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</si>
  <si>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</si>
  <si>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</si>
  <si>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</si>
  <si>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</si>
  <si>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</si>
  <si>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</si>
  <si>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</si>
  <si>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</si>
  <si>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</si>
  <si>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</si>
  <si>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</si>
  <si>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</si>
  <si>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</si>
  <si>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</si>
  <si>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</si>
  <si>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</si>
  <si>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</si>
  <si>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</si>
  <si>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</si>
  <si>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</si>
  <si>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</si>
  <si>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</si>
  <si>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</si>
  <si>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</si>
  <si>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</si>
  <si>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</si>
  <si>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</si>
  <si>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</si>
  <si>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</si>
  <si>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</si>
  <si>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</si>
  <si>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</si>
  <si>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</si>
  <si>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</si>
  <si>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</si>
  <si>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</si>
  <si>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</si>
  <si>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</si>
  <si>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</si>
  <si>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</si>
  <si>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</si>
  <si>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</si>
  <si>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</si>
  <si>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</si>
  <si>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</si>
  <si>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</si>
  <si>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</si>
  <si>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</si>
  <si>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</si>
  <si>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</si>
  <si>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</si>
  <si>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</si>
  <si>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</si>
  <si>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</si>
  <si>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</si>
  <si>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</si>
  <si>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</si>
  <si>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</si>
  <si>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</si>
  <si>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</si>
  <si>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</si>
  <si>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</si>
  <si>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</si>
  <si>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</si>
  <si>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</si>
  <si>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</si>
  <si>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</si>
  <si>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</si>
  <si>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</si>
  <si>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</si>
  <si>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</si>
  <si>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99. Realizar un programa de actividad física como instrumento útil para reconstruir el tejido social, alejar a los niños, jóvenes, adultos y a la población vulnerable de los riesgos de las adicciones, problemas derivados del sedentarismo y otros hábitos no saludables beneficiando a 8.500 personas por año.</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</si>
  <si>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</si>
  <si>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</si>
  <si>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</si>
  <si>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</si>
  <si>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</si>
  <si>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</si>
  <si>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</si>
  <si>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</si>
  <si>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</si>
  <si>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</si>
  <si>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</si>
  <si>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</si>
  <si>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</si>
  <si>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</si>
  <si>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</si>
  <si>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</si>
  <si>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</si>
  <si>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</si>
  <si>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</si>
  <si>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</si>
  <si>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</si>
  <si>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</si>
  <si>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</si>
  <si>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</si>
  <si>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</si>
  <si>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</si>
  <si>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</si>
  <si>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</si>
  <si>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</si>
  <si>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</si>
  <si>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</si>
  <si>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</si>
  <si>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</si>
  <si>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</si>
  <si>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</si>
  <si>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</si>
  <si>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</si>
  <si>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</si>
  <si>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</si>
  <si>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</si>
  <si>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</si>
  <si>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</si>
  <si>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</si>
  <si>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</si>
  <si>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</si>
  <si>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</si>
  <si>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</si>
  <si>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</si>
  <si>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</si>
  <si>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</si>
  <si>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</si>
  <si>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</si>
  <si>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</si>
  <si>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</si>
  <si>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</si>
  <si>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</si>
  <si>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</si>
  <si>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</si>
  <si>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</si>
  <si>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</si>
  <si>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</si>
  <si>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</si>
  <si>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</si>
  <si>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</si>
  <si>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</si>
  <si>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</si>
  <si>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</si>
  <si>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</si>
  <si>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</si>
  <si>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</si>
  <si>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</si>
  <si>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</si>
  <si>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</si>
  <si>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</si>
  <si>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</si>
  <si>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</si>
  <si>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</si>
  <si>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</si>
  <si>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</si>
  <si>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</si>
  <si>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</si>
  <si>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</si>
  <si>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</si>
  <si>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</si>
  <si>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</si>
  <si>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</si>
  <si>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</si>
  <si>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</si>
  <si>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</si>
  <si>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</si>
  <si>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</si>
  <si>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</si>
  <si>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</si>
  <si>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</si>
  <si>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</si>
  <si>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</si>
  <si>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</si>
  <si>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</si>
  <si>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</si>
  <si>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</si>
  <si>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</si>
  <si>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</si>
  <si>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</si>
  <si>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</si>
  <si>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</si>
  <si>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</si>
  <si>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</si>
  <si>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</si>
  <si>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</si>
  <si>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</si>
  <si>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</si>
  <si>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</si>
  <si>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</si>
  <si>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</si>
  <si>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</si>
  <si>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</si>
  <si>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</si>
  <si>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</si>
  <si>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</si>
  <si>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</si>
  <si>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</si>
  <si>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</si>
  <si>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</si>
  <si>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</si>
  <si>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</si>
  <si>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</si>
  <si>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</si>
  <si>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</si>
  <si>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</si>
  <si>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</si>
  <si>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</si>
  <si>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</si>
  <si>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</si>
  <si>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</si>
  <si>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</si>
  <si>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</si>
  <si>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</si>
  <si>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</si>
  <si>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</si>
  <si>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</si>
  <si>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</si>
  <si>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</si>
  <si>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</si>
  <si>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</si>
  <si>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</si>
  <si>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</si>
  <si>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</si>
  <si>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</si>
  <si>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</si>
  <si>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</si>
  <si>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</si>
  <si>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</si>
  <si>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</si>
  <si>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</si>
  <si>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</si>
  <si>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</si>
  <si>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</si>
  <si>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</si>
  <si>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</si>
  <si>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</si>
  <si>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</si>
  <si>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</si>
  <si>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</si>
  <si>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</si>
  <si>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</si>
  <si>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</si>
  <si>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</si>
  <si>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</si>
  <si>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</si>
  <si>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</si>
  <si>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</si>
  <si>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</si>
  <si>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</si>
  <si>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</si>
  <si>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</si>
  <si>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</si>
  <si>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</si>
  <si>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</si>
  <si>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</si>
  <si>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</si>
  <si>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</si>
  <si>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</si>
  <si>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</si>
  <si>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</si>
  <si>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</si>
  <si>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</si>
  <si>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</si>
  <si>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</si>
  <si>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</si>
  <si>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</si>
  <si>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</si>
  <si>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</si>
  <si>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</si>
  <si>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</si>
  <si>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</si>
  <si>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</si>
  <si>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</si>
  <si>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</si>
  <si>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</si>
  <si>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</si>
  <si>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</si>
  <si>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</si>
  <si>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</si>
  <si>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</si>
  <si>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</si>
  <si>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</si>
  <si>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</si>
  <si>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</si>
  <si>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</si>
  <si>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</si>
  <si>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</si>
  <si>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</si>
  <si>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</si>
  <si>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</si>
  <si>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</si>
  <si>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</si>
  <si>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</si>
  <si>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</si>
  <si>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</si>
  <si>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</si>
  <si>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</si>
  <si>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</si>
  <si>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</si>
  <si>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</si>
  <si>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</si>
  <si>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</si>
  <si>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</si>
  <si>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</si>
  <si>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</si>
  <si>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</si>
  <si>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</si>
  <si>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</si>
  <si>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</si>
  <si>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</si>
  <si>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</si>
  <si>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</si>
  <si>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</si>
  <si>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</si>
  <si>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</si>
  <si>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</si>
  <si>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</si>
  <si>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</si>
  <si>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</si>
  <si>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</si>
  <si>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</si>
  <si>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</si>
  <si>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</si>
  <si>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</si>
  <si>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</si>
  <si>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</si>
  <si>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</si>
  <si>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</si>
  <si>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</si>
  <si>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</si>
  <si>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</si>
  <si>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</si>
  <si>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</si>
  <si>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</si>
  <si>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</si>
  <si>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</si>
  <si>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</si>
  <si>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</si>
  <si>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</si>
  <si>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</si>
  <si>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</si>
  <si>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</si>
  <si>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</si>
  <si>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</si>
  <si>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</si>
  <si>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</si>
  <si>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</si>
  <si>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</si>
  <si>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</si>
  <si>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</si>
  <si>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</si>
  <si>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</si>
  <si>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</si>
  <si>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</si>
  <si>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</si>
  <si>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</si>
  <si>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</si>
  <si>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</si>
  <si>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</si>
  <si>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</si>
  <si>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</si>
  <si>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</si>
  <si>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</si>
  <si>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</si>
  <si>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</si>
  <si>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</si>
  <si>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</si>
  <si>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</si>
  <si>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</si>
  <si>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</si>
  <si>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</si>
  <si>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</si>
  <si>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</si>
  <si>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</si>
  <si>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</si>
  <si>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</si>
  <si>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</si>
  <si>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</si>
  <si>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</si>
  <si>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</si>
  <si>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</si>
  <si>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</si>
  <si>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</si>
  <si>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</si>
  <si>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</si>
  <si>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</si>
  <si>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</si>
  <si>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</si>
  <si>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</si>
  <si>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</si>
  <si>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</si>
  <si>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</si>
  <si>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</si>
  <si>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</si>
  <si>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</si>
  <si>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</si>
  <si>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</si>
  <si>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</si>
  <si>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</si>
  <si>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</si>
  <si>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</si>
  <si>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</si>
  <si>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</si>
  <si>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</si>
  <si>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</si>
  <si>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</si>
  <si>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</si>
  <si>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</si>
  <si>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</si>
  <si>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</si>
  <si>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</si>
  <si>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</si>
  <si>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</si>
  <si>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</si>
  <si>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</si>
  <si>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</si>
  <si>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</si>
  <si>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</si>
  <si>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</si>
  <si>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</si>
  <si>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</si>
  <si>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</si>
  <si>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</si>
  <si>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</si>
  <si>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</si>
  <si>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</si>
  <si>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</si>
  <si>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</si>
  <si>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</si>
  <si>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</si>
  <si>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</si>
  <si>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</si>
  <si>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</si>
  <si>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</si>
  <si>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</si>
  <si>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</si>
  <si>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</si>
  <si>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</si>
  <si>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</si>
  <si>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</si>
  <si>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</si>
  <si>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</si>
  <si>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</si>
  <si>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</si>
  <si>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</si>
  <si>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</si>
  <si>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</si>
  <si>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</si>
  <si>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</si>
  <si>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</si>
  <si>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</si>
  <si>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</si>
  <si>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</si>
  <si>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</si>
  <si>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</si>
  <si>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</si>
  <si>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</si>
  <si>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</si>
  <si>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</si>
  <si>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</si>
  <si>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</si>
  <si>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</si>
  <si>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</si>
  <si>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</si>
  <si>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</si>
  <si>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</si>
  <si>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</si>
  <si>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</si>
  <si>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</si>
  <si>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</si>
  <si>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</si>
  <si>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</si>
  <si>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</si>
  <si>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</si>
  <si>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</si>
  <si>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</si>
  <si>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</si>
  <si>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</si>
  <si>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</si>
  <si>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</si>
  <si>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</si>
  <si>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</si>
  <si>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</si>
  <si>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</si>
  <si>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</si>
  <si>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</si>
  <si>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</si>
  <si>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</si>
  <si>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</si>
  <si>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</si>
  <si>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</si>
  <si>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</si>
  <si>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</si>
  <si>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</si>
  <si>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</si>
  <si>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</si>
  <si>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</si>
  <si>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</si>
  <si>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</si>
  <si>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</si>
  <si>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</si>
  <si>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</si>
  <si>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</si>
  <si>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</si>
  <si>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</si>
  <si>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</si>
  <si>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</si>
  <si>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</si>
  <si>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</si>
  <si>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</si>
  <si>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</si>
  <si>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</si>
  <si>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</si>
  <si>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</si>
  <si>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</si>
  <si>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</si>
  <si>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</si>
  <si>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</si>
  <si>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</si>
  <si>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</si>
  <si>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</si>
  <si>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</si>
  <si>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</si>
  <si>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</si>
  <si>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</si>
  <si>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</si>
  <si>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</si>
  <si>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</si>
  <si>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</si>
  <si>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</si>
  <si>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</si>
  <si>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</si>
  <si>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</si>
  <si>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</si>
  <si>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</si>
  <si>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</si>
  <si>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</si>
  <si>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</si>
  <si>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</si>
  <si>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</si>
  <si>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</si>
  <si>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</si>
  <si>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</si>
  <si>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</si>
  <si>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</si>
  <si>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</si>
  <si>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</si>
  <si>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</si>
  <si>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</si>
  <si>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</si>
  <si>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</si>
  <si>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</si>
  <si>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</si>
  <si>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</si>
  <si>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</si>
  <si>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</si>
  <si>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</si>
  <si>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</si>
  <si>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</si>
  <si>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</si>
  <si>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</si>
  <si>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</si>
  <si>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</si>
  <si>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</si>
  <si>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</si>
  <si>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</si>
  <si>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</si>
  <si>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</si>
  <si>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</si>
  <si>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</si>
  <si>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</si>
  <si>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</si>
  <si>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</si>
  <si>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</si>
  <si>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</si>
  <si>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</si>
  <si>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</si>
  <si>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</si>
  <si>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</si>
  <si>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</si>
  <si>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</si>
  <si>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</si>
  <si>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</si>
  <si>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</si>
  <si>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</si>
  <si>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</si>
  <si>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</si>
  <si>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</si>
  <si>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</si>
  <si>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</si>
  <si>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</si>
  <si>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</si>
  <si>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</si>
  <si>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</si>
  <si>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</si>
  <si>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</si>
  <si>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</si>
  <si>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</si>
  <si>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</si>
  <si>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</si>
  <si>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</si>
  <si>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</si>
  <si>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</si>
  <si>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</si>
  <si>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</si>
  <si>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</si>
  <si>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</si>
  <si>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</si>
  <si>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</si>
  <si>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</si>
  <si>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</si>
  <si>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</si>
  <si>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</si>
  <si>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</si>
  <si>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</si>
  <si>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</si>
  <si>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</si>
  <si>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</si>
  <si>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</si>
  <si>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</si>
  <si>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</si>
  <si>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</si>
  <si>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</si>
  <si>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</si>
  <si>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</si>
  <si>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</si>
  <si>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</si>
  <si>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</si>
  <si>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</si>
  <si>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</si>
  <si>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</si>
  <si>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</si>
  <si>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</si>
  <si>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</si>
  <si>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</si>
  <si>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</si>
  <si>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</si>
  <si>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</si>
  <si>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</si>
  <si>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</si>
  <si>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</si>
  <si>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</si>
  <si>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</si>
  <si>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</si>
  <si>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</si>
  <si>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</si>
  <si>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</si>
  <si>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</si>
  <si>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</si>
  <si>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</si>
  <si>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</si>
  <si>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</si>
  <si>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</si>
  <si>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</si>
  <si>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</si>
  <si>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</si>
  <si>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</si>
  <si>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</si>
  <si>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</si>
  <si>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</si>
  <si>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</si>
  <si>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</si>
  <si>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</si>
  <si>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</si>
  <si>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</si>
  <si>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</si>
  <si>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</si>
  <si>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</si>
  <si>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</si>
  <si>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</si>
  <si>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</si>
  <si>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</si>
  <si>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</si>
  <si>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</si>
  <si>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</si>
  <si>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</si>
  <si>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</si>
  <si>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</si>
  <si>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</si>
  <si>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</si>
  <si>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</si>
  <si>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</si>
  <si>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</si>
  <si>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</si>
  <si>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</si>
  <si>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</si>
  <si>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</si>
  <si>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</si>
  <si>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</si>
  <si>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</si>
  <si>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</si>
  <si>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</si>
  <si>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</si>
  <si>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</si>
  <si>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</si>
  <si>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</si>
  <si>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</si>
  <si>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</si>
  <si>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</si>
  <si>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</si>
  <si>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</si>
  <si>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</si>
  <si>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</si>
  <si>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</si>
  <si>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</si>
  <si>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</si>
  <si>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</si>
  <si>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</si>
  <si>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</si>
  <si>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</si>
  <si>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</si>
  <si>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</si>
  <si>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</si>
  <si>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</si>
  <si>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</si>
  <si>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</si>
  <si>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</si>
  <si>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</si>
  <si>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</si>
  <si>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</si>
  <si>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</si>
  <si>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</si>
  <si>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</si>
  <si>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</si>
  <si>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</si>
  <si>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</si>
  <si>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</si>
  <si>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</si>
  <si>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</si>
  <si>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</si>
  <si>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</si>
  <si>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</si>
  <si>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</si>
  <si>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</si>
  <si>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</si>
  <si>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</si>
  <si>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</si>
  <si>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</si>
  <si>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</si>
  <si>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</si>
  <si>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</si>
  <si>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</si>
  <si>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</si>
  <si>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</si>
  <si>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</si>
  <si>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</si>
  <si>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</si>
  <si>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</si>
  <si>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</si>
  <si>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</si>
  <si>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</si>
  <si>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</si>
  <si>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</si>
  <si>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</si>
  <si>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</si>
  <si>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</si>
  <si>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</si>
  <si>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</si>
  <si>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</si>
  <si>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</si>
  <si>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</si>
  <si>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</si>
  <si>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</si>
  <si>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</si>
  <si>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</si>
  <si>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</si>
  <si>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</si>
  <si>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</si>
  <si>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</si>
  <si>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</si>
  <si>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</si>
  <si>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</si>
  <si>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</si>
  <si>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</si>
  <si>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</si>
  <si>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</si>
  <si>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</si>
  <si>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</si>
  <si>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</si>
  <si>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</si>
  <si>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</si>
  <si>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</si>
  <si>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</si>
  <si>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</si>
  <si>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</si>
  <si>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</si>
  <si>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</si>
  <si>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</si>
  <si>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</si>
  <si>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</si>
  <si>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</si>
  <si>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</si>
  <si>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</si>
  <si>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</si>
  <si>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</si>
  <si>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</si>
  <si>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</si>
  <si>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</si>
  <si>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</si>
  <si>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</si>
  <si>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</si>
  <si>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</si>
  <si>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</si>
  <si>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</si>
  <si>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</si>
  <si>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</si>
  <si>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</si>
  <si>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</si>
  <si>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</si>
  <si>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</si>
  <si>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</si>
  <si>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</si>
  <si>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</si>
  <si>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</si>
  <si>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</si>
  <si>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</si>
  <si>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</si>
  <si>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</si>
  <si>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</si>
  <si>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</si>
  <si>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</si>
  <si>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</si>
  <si>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</si>
  <si>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</si>
  <si>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</si>
  <si>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</si>
  <si>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</si>
  <si>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</si>
  <si>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</si>
  <si>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</si>
  <si>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</si>
  <si>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</si>
  <si>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</si>
  <si>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</si>
  <si>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</si>
  <si>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</si>
  <si>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</si>
  <si>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</si>
  <si>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</si>
  <si>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</si>
  <si>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</si>
  <si>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</si>
  <si>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</si>
  <si>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</si>
  <si>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</si>
  <si>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</si>
  <si>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</si>
  <si>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</si>
  <si>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</si>
  <si>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</si>
  <si>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</si>
  <si>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</si>
  <si>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</si>
  <si>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</si>
  <si>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</si>
  <si>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</si>
  <si>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</si>
  <si>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</si>
  <si>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</si>
  <si>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</si>
  <si>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</si>
  <si>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</si>
  <si>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</si>
  <si>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</si>
  <si>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</si>
  <si>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</si>
  <si>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</si>
  <si>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</si>
  <si>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</si>
  <si>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</si>
  <si>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</si>
  <si>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</si>
  <si>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</si>
  <si>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</si>
  <si>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</si>
  <si>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</si>
  <si>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</si>
  <si>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</si>
  <si>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</si>
  <si>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</si>
  <si>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</si>
  <si>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</si>
  <si>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</si>
  <si>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</si>
  <si>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</si>
  <si>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</si>
  <si>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</si>
  <si>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</si>
  <si>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</si>
  <si>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</si>
  <si>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</si>
  <si>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</si>
  <si>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</si>
  <si>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</si>
  <si>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</si>
  <si>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</si>
  <si>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</si>
  <si>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</si>
  <si>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</si>
  <si>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</si>
  <si>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</si>
  <si>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</si>
  <si>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</si>
  <si>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</si>
  <si>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</si>
  <si>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</si>
  <si>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</si>
  <si>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</si>
  <si>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</si>
  <si>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</si>
  <si>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</si>
  <si>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</si>
  <si>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</si>
  <si>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</si>
  <si>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</si>
  <si>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</si>
  <si>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</si>
  <si>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</si>
  <si>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</si>
  <si>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</si>
  <si>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</si>
  <si>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</si>
  <si>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</si>
  <si>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</si>
  <si>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</si>
  <si>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</si>
  <si>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</si>
  <si>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</si>
  <si>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</si>
  <si>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</si>
  <si>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</si>
  <si>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</si>
  <si>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</si>
  <si>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</si>
  <si>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</si>
  <si>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</si>
  <si>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</si>
  <si>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</si>
  <si>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t>EJECUTADO HASTA EL CUARTO TRIMESTRE DEL 2022</t>
  </si>
  <si>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</si>
  <si>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</si>
  <si>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</si>
  <si>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</si>
  <si>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</si>
  <si>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</si>
  <si>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</si>
  <si>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</si>
  <si>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</si>
  <si>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</si>
  <si>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</si>
  <si>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</si>
  <si>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</si>
  <si>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</si>
  <si>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</si>
  <si>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</si>
  <si>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</si>
  <si>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</si>
  <si>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</si>
  <si>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</si>
  <si>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</si>
  <si>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</si>
  <si>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</si>
  <si>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</si>
  <si>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</si>
  <si>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</si>
  <si>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</si>
  <si>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</si>
  <si>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</si>
  <si>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</si>
  <si>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</si>
  <si>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</si>
  <si>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</si>
  <si>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</si>
  <si>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</si>
  <si>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</si>
  <si>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</si>
  <si>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</si>
  <si>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</si>
  <si>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</si>
  <si>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</si>
  <si>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</si>
  <si>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</si>
  <si>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</si>
  <si>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</si>
  <si>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</si>
  <si>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</si>
  <si>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</si>
  <si>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</si>
  <si>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</si>
  <si>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</si>
  <si>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</si>
  <si>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</si>
  <si>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</si>
  <si>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</si>
  <si>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</si>
  <si>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</si>
  <si>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</si>
  <si>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t>IV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</si>
</sst>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s>
  <fills count="21">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7030A0"/>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right/>
      <top/>
      <bottom style="medium">
        <color auto="1"/>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698">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0" fontId="4" fillId="3" borderId="5" xfId="0" applyFont="1" applyFill="1" applyBorder="1" applyAlignment="1">
      <alignment vertical="center" wrapText="1"/>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70" fontId="4" fillId="3" borderId="5" xfId="1" applyNumberFormat="1" applyFont="1" applyFill="1" applyBorder="1" applyAlignment="1">
      <alignment horizontal="center" vertical="center" wrapText="1"/>
    </xf>
    <xf numFmtId="165" fontId="4" fillId="3" borderId="5" xfId="0" applyNumberFormat="1" applyFont="1" applyFill="1" applyBorder="1" applyAlignment="1">
      <alignment vertical="center" wrapText="1"/>
    </xf>
    <xf numFmtId="168" fontId="4" fillId="3" borderId="5"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170" fontId="4" fillId="3" borderId="5" xfId="0" applyNumberFormat="1" applyFont="1" applyFill="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9" fontId="3" fillId="5" borderId="5" xfId="1" applyFont="1" applyFill="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0" fontId="3" fillId="3" borderId="5"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166" fontId="3" fillId="3" borderId="5" xfId="1" applyNumberFormat="1" applyFont="1" applyFill="1" applyBorder="1" applyAlignment="1">
      <alignment horizontal="center" vertical="center" wrapText="1"/>
    </xf>
    <xf numFmtId="10" fontId="3" fillId="3" borderId="5" xfId="1"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2" fontId="3" fillId="3" borderId="5" xfId="0"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168" fontId="3" fillId="3"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justify" vertical="center" wrapText="1"/>
    </xf>
    <xf numFmtId="9" fontId="17" fillId="0" borderId="21" xfId="0" applyNumberFormat="1" applyFont="1" applyBorder="1" applyAlignment="1">
      <alignment horizontal="center" vertical="center" wrapText="1"/>
    </xf>
    <xf numFmtId="0" fontId="17" fillId="5" borderId="21" xfId="0" applyFont="1" applyFill="1" applyBorder="1" applyAlignment="1">
      <alignment horizontal="center" vertical="center" wrapText="1"/>
    </xf>
    <xf numFmtId="9" fontId="17" fillId="0" borderId="22" xfId="0" applyNumberFormat="1" applyFont="1" applyBorder="1" applyAlignment="1">
      <alignment horizontal="justify"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9" fontId="0" fillId="0" borderId="5" xfId="0" applyNumberFormat="1" applyBorder="1" applyAlignment="1">
      <alignment horizontal="center" vertical="center"/>
    </xf>
    <xf numFmtId="10" fontId="0" fillId="0" borderId="5" xfId="0" applyNumberFormat="1"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0" borderId="21" xfId="0" applyFont="1" applyBorder="1" applyAlignment="1">
      <alignment horizontal="center" vertical="center"/>
    </xf>
    <xf numFmtId="0" fontId="3" fillId="0" borderId="22" xfId="0" applyFont="1" applyBorder="1" applyAlignment="1">
      <alignment vertical="center" wrapText="1"/>
    </xf>
    <xf numFmtId="0" fontId="3" fillId="0" borderId="22" xfId="0" applyFont="1" applyBorder="1" applyAlignment="1">
      <alignment horizontal="left" vertical="center" wrapText="1"/>
    </xf>
    <xf numFmtId="9" fontId="4" fillId="0" borderId="21" xfId="1" applyFont="1" applyBorder="1" applyAlignment="1">
      <alignment horizontal="center" vertical="center"/>
    </xf>
    <xf numFmtId="9" fontId="3" fillId="0" borderId="22" xfId="0" applyNumberFormat="1" applyFont="1" applyBorder="1" applyAlignment="1">
      <alignment horizontal="left" vertical="center" wrapText="1"/>
    </xf>
    <xf numFmtId="1" fontId="4" fillId="0" borderId="21" xfId="1" applyNumberFormat="1" applyFont="1" applyBorder="1" applyAlignment="1">
      <alignment horizontal="center" vertical="center"/>
    </xf>
    <xf numFmtId="10" fontId="4" fillId="0" borderId="21" xfId="0" applyNumberFormat="1" applyFont="1" applyBorder="1" applyAlignment="1">
      <alignment horizontal="center" vertical="center" wrapText="1"/>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6" fontId="4"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166" fontId="4" fillId="3" borderId="21" xfId="0" applyNumberFormat="1" applyFont="1" applyFill="1" applyBorder="1" applyAlignment="1">
      <alignment horizontal="center" vertical="center" wrapText="1"/>
    </xf>
    <xf numFmtId="9" fontId="4" fillId="3" borderId="21" xfId="1" applyFont="1" applyFill="1" applyBorder="1" applyAlignment="1">
      <alignment horizontal="center" vertical="center" wrapText="1"/>
    </xf>
    <xf numFmtId="167" fontId="4" fillId="0" borderId="21" xfId="1" applyNumberFormat="1" applyFont="1" applyFill="1" applyBorder="1" applyAlignment="1">
      <alignment horizontal="center" vertical="center" wrapText="1"/>
    </xf>
    <xf numFmtId="171" fontId="4" fillId="3" borderId="21" xfId="3" applyNumberFormat="1"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4" fillId="0" borderId="22" xfId="0" applyFont="1" applyBorder="1" applyAlignment="1">
      <alignment vertical="center" wrapText="1"/>
    </xf>
    <xf numFmtId="0" fontId="11" fillId="0" borderId="22" xfId="0" applyFont="1" applyBorder="1" applyAlignment="1">
      <alignment horizontal="left" vertical="center" wrapText="1"/>
    </xf>
    <xf numFmtId="9" fontId="4" fillId="0" borderId="22" xfId="0" applyNumberFormat="1" applyFont="1" applyBorder="1" applyAlignment="1">
      <alignment horizontal="left" vertical="center" wrapText="1"/>
    </xf>
    <xf numFmtId="0" fontId="11" fillId="3" borderId="22" xfId="0" applyFont="1" applyFill="1" applyBorder="1" applyAlignment="1">
      <alignment horizontal="justify" vertical="center" wrapText="1"/>
    </xf>
    <xf numFmtId="9" fontId="3" fillId="3" borderId="22" xfId="0" applyNumberFormat="1"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9" fontId="3" fillId="0" borderId="21" xfId="1" applyFont="1" applyBorder="1" applyAlignment="1">
      <alignment horizontal="center" vertical="center"/>
    </xf>
    <xf numFmtId="1" fontId="3" fillId="0" borderId="21" xfId="1" applyNumberFormat="1" applyFont="1" applyBorder="1" applyAlignment="1">
      <alignment horizontal="center" vertical="center"/>
    </xf>
    <xf numFmtId="10" fontId="3" fillId="3" borderId="2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166" fontId="3" fillId="3" borderId="21" xfId="1" applyNumberFormat="1"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66" fontId="3" fillId="3" borderId="21" xfId="0" applyNumberFormat="1" applyFont="1" applyFill="1" applyBorder="1" applyAlignment="1">
      <alignment horizontal="center" vertical="center" wrapText="1"/>
    </xf>
    <xf numFmtId="9" fontId="3" fillId="3" borderId="21" xfId="1" applyFont="1" applyFill="1" applyBorder="1" applyAlignment="1">
      <alignment horizontal="center" vertical="center" wrapText="1"/>
    </xf>
    <xf numFmtId="2" fontId="3" fillId="3" borderId="21" xfId="0" applyNumberFormat="1" applyFont="1" applyFill="1" applyBorder="1" applyAlignment="1">
      <alignment horizontal="center" vertical="center" wrapText="1"/>
    </xf>
    <xf numFmtId="167" fontId="3" fillId="3" borderId="21" xfId="1" applyNumberFormat="1" applyFont="1" applyFill="1" applyBorder="1" applyAlignment="1">
      <alignment horizontal="center"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Border="1" applyAlignment="1">
      <alignment horizontal="center" vertical="center"/>
    </xf>
    <xf numFmtId="10" fontId="0" fillId="0" borderId="21" xfId="0" applyNumberFormat="1" applyBorder="1" applyAlignment="1">
      <alignment horizontal="center" vertical="center"/>
    </xf>
    <xf numFmtId="9" fontId="0" fillId="0" borderId="21" xfId="1" applyFont="1" applyFill="1" applyBorder="1" applyAlignment="1">
      <alignment horizontal="center" vertical="center"/>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vertical="top"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10" fontId="3" fillId="0" borderId="21" xfId="0" applyNumberFormat="1" applyFont="1" applyBorder="1" applyAlignment="1">
      <alignment horizontal="center" vertical="center"/>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1" fontId="3" fillId="0" borderId="22" xfId="0" applyNumberFormat="1" applyFont="1" applyBorder="1" applyAlignment="1">
      <alignment horizontal="center" vertical="center" wrapText="1"/>
    </xf>
    <xf numFmtId="170" fontId="4" fillId="3" borderId="5" xfId="0" applyNumberFormat="1" applyFont="1" applyFill="1" applyBorder="1" applyAlignment="1">
      <alignment horizontal="center" vertical="center"/>
    </xf>
    <xf numFmtId="166" fontId="3" fillId="0" borderId="5" xfId="0" applyNumberFormat="1" applyFont="1" applyBorder="1" applyAlignment="1">
      <alignment horizontal="center" vertical="center"/>
    </xf>
    <xf numFmtId="9" fontId="12" fillId="0" borderId="5" xfId="0" applyNumberFormat="1" applyFont="1" applyBorder="1" applyAlignment="1">
      <alignment vertical="center"/>
    </xf>
    <xf numFmtId="3" fontId="0" fillId="0" borderId="5" xfId="0" applyNumberFormat="1" applyBorder="1" applyAlignment="1">
      <alignment horizontal="center" vertical="center" wrapText="1"/>
    </xf>
    <xf numFmtId="9" fontId="3" fillId="5" borderId="5" xfId="1" applyFont="1" applyFill="1" applyBorder="1" applyAlignment="1">
      <alignment horizontal="center" vertical="center" wrapText="1"/>
    </xf>
    <xf numFmtId="2" fontId="4" fillId="0" borderId="5" xfId="0" applyNumberFormat="1" applyFont="1" applyBorder="1" applyAlignment="1">
      <alignment horizontal="center" vertical="center" wrapText="1"/>
    </xf>
    <xf numFmtId="0" fontId="12" fillId="0" borderId="5" xfId="0" applyFont="1" applyBorder="1" applyAlignment="1">
      <alignment vertical="center"/>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wrapText="1"/>
    </xf>
    <xf numFmtId="10" fontId="16" fillId="3" borderId="5" xfId="0" applyNumberFormat="1" applyFont="1" applyFill="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173" fontId="22" fillId="0" borderId="5" xfId="5"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9" fontId="3" fillId="8" borderId="5" xfId="1" applyFont="1" applyFill="1" applyBorder="1" applyAlignment="1">
      <alignment horizontal="center" vertical="center" wrapText="1"/>
    </xf>
    <xf numFmtId="9" fontId="0" fillId="0" borderId="5" xfId="0" applyNumberFormat="1" applyBorder="1" applyAlignment="1">
      <alignment vertical="center"/>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0" fontId="21" fillId="0" borderId="22" xfId="0" applyFont="1" applyBorder="1" applyAlignment="1">
      <alignment horizontal="justify" vertical="center" wrapText="1"/>
    </xf>
    <xf numFmtId="0" fontId="3" fillId="0" borderId="22" xfId="0" applyFont="1" applyBorder="1" applyAlignment="1">
      <alignment horizontal="justify" vertical="center" wrapText="1"/>
    </xf>
    <xf numFmtId="10" fontId="3" fillId="0" borderId="21" xfId="0" applyNumberFormat="1" applyFont="1" applyBorder="1" applyAlignment="1">
      <alignment horizontal="center" vertical="center" wrapText="1"/>
    </xf>
    <xf numFmtId="9" fontId="3" fillId="0" borderId="22" xfId="0" applyNumberFormat="1"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166" fontId="3" fillId="0" borderId="21" xfId="0" applyNumberFormat="1" applyFont="1" applyBorder="1" applyAlignment="1">
      <alignment horizontal="center" vertical="center"/>
    </xf>
    <xf numFmtId="10" fontId="0" fillId="0" borderId="21" xfId="0" applyNumberFormat="1" applyBorder="1" applyAlignment="1">
      <alignment vertical="center"/>
    </xf>
    <xf numFmtId="166" fontId="0" fillId="0" borderId="22" xfId="0" applyNumberFormat="1" applyBorder="1" applyAlignment="1">
      <alignment vertical="top" wrapText="1"/>
    </xf>
    <xf numFmtId="0" fontId="0" fillId="0" borderId="21" xfId="1" applyNumberFormat="1" applyFont="1" applyBorder="1" applyAlignment="1">
      <alignment vertical="center"/>
    </xf>
    <xf numFmtId="166" fontId="0" fillId="0" borderId="22" xfId="0" applyNumberFormat="1" applyBorder="1" applyAlignment="1">
      <alignment vertical="center" wrapText="1"/>
    </xf>
    <xf numFmtId="9" fontId="0" fillId="0" borderId="22" xfId="0" applyNumberFormat="1" applyBorder="1" applyAlignment="1">
      <alignment horizontal="left" vertical="center" wrapText="1"/>
    </xf>
    <xf numFmtId="9" fontId="0" fillId="0" borderId="22" xfId="1" applyFont="1" applyFill="1" applyBorder="1" applyAlignment="1">
      <alignment horizontal="left"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1" fontId="0" fillId="0" borderId="22" xfId="0" applyNumberFormat="1" applyBorder="1" applyAlignment="1">
      <alignment vertical="center" wrapText="1"/>
    </xf>
    <xf numFmtId="0" fontId="29" fillId="3" borderId="22" xfId="0" applyFont="1" applyFill="1" applyBorder="1" applyAlignment="1">
      <alignment vertical="top" wrapText="1"/>
    </xf>
    <xf numFmtId="9" fontId="3" fillId="3" borderId="22" xfId="0" applyNumberFormat="1" applyFont="1" applyFill="1" applyBorder="1" applyAlignment="1">
      <alignment vertical="center" wrapText="1"/>
    </xf>
    <xf numFmtId="49" fontId="3" fillId="3" borderId="21" xfId="0" applyNumberFormat="1" applyFont="1" applyFill="1" applyBorder="1" applyAlignment="1">
      <alignment horizontal="justify" vertical="center" wrapText="1"/>
    </xf>
    <xf numFmtId="0" fontId="2" fillId="3" borderId="2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3" fillId="3" borderId="22" xfId="0" applyFont="1" applyFill="1" applyBorder="1" applyAlignment="1">
      <alignment horizontal="justify" vertical="center" wrapText="1"/>
    </xf>
    <xf numFmtId="9" fontId="11" fillId="3" borderId="22" xfId="0" applyNumberFormat="1" applyFont="1" applyFill="1" applyBorder="1" applyAlignment="1">
      <alignment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2" fontId="4" fillId="0" borderId="3" xfId="0" applyNumberFormat="1" applyFont="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168" fontId="4" fillId="3" borderId="29" xfId="0" applyNumberFormat="1" applyFont="1" applyFill="1" applyBorder="1" applyAlignment="1">
      <alignment horizontal="center" vertical="center" wrapText="1"/>
    </xf>
    <xf numFmtId="170" fontId="4" fillId="3" borderId="0" xfId="0" applyNumberFormat="1" applyFont="1" applyFill="1" applyAlignment="1">
      <alignment horizontal="center" vertical="center" wrapText="1"/>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2" fillId="3" borderId="29" xfId="0" applyFont="1" applyFill="1" applyBorder="1" applyAlignment="1">
      <alignment vertical="center" wrapText="1"/>
    </xf>
    <xf numFmtId="0" fontId="3" fillId="3" borderId="2"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29" xfId="0" applyFont="1" applyFill="1" applyBorder="1" applyAlignment="1">
      <alignment horizontal="justify" vertical="center" wrapText="1"/>
    </xf>
    <xf numFmtId="9" fontId="3" fillId="3" borderId="5" xfId="0" applyNumberFormat="1" applyFont="1" applyFill="1" applyBorder="1" applyAlignment="1">
      <alignment horizontal="justify" vertical="center" wrapText="1"/>
    </xf>
    <xf numFmtId="0" fontId="3" fillId="3" borderId="5" xfId="0" applyFont="1" applyFill="1" applyBorder="1" applyAlignment="1">
      <alignment horizontal="left" vertical="center" wrapText="1"/>
    </xf>
    <xf numFmtId="9" fontId="3" fillId="3" borderId="29" xfId="0" applyNumberFormat="1" applyFont="1" applyFill="1" applyBorder="1" applyAlignment="1">
      <alignment vertical="center" wrapText="1"/>
    </xf>
    <xf numFmtId="0" fontId="3" fillId="3" borderId="29"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0" applyNumberFormat="1" applyFont="1" applyBorder="1" applyAlignment="1">
      <alignment horizontal="center" vertical="center" wrapText="1"/>
    </xf>
    <xf numFmtId="9" fontId="4" fillId="0" borderId="5" xfId="1" applyFont="1" applyFill="1" applyBorder="1" applyAlignment="1">
      <alignment horizontal="center" vertical="center" wrapText="1"/>
    </xf>
    <xf numFmtId="9" fontId="3" fillId="0" borderId="5" xfId="1" applyFont="1" applyFill="1" applyBorder="1" applyAlignment="1">
      <alignment horizontal="center" vertical="center"/>
    </xf>
    <xf numFmtId="9" fontId="4" fillId="19" borderId="5" xfId="1" applyFont="1" applyFill="1" applyBorder="1" applyAlignment="1">
      <alignment horizontal="center" vertical="center" wrapText="1"/>
    </xf>
    <xf numFmtId="9" fontId="4" fillId="20" borderId="29" xfId="1" applyFont="1" applyFill="1" applyBorder="1" applyAlignment="1">
      <alignment horizontal="center" vertical="center" wrapText="1"/>
    </xf>
    <xf numFmtId="9" fontId="4" fillId="20"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4" fillId="11" borderId="29" xfId="1" applyFont="1" applyFill="1" applyBorder="1" applyAlignment="1">
      <alignment horizontal="center" vertical="center" wrapText="1"/>
    </xf>
    <xf numFmtId="0" fontId="3" fillId="3" borderId="5"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xf>
    <xf numFmtId="0" fontId="4" fillId="0" borderId="29" xfId="0" applyFont="1" applyFill="1" applyBorder="1" applyAlignment="1">
      <alignment horizontal="center" vertical="center" wrapText="1"/>
    </xf>
    <xf numFmtId="1" fontId="3" fillId="3" borderId="5" xfId="0" applyNumberFormat="1" applyFont="1" applyFill="1" applyBorder="1" applyAlignment="1">
      <alignment horizontal="center" vertical="center"/>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0" fontId="3" fillId="3" borderId="5" xfId="0" applyFont="1" applyFill="1" applyBorder="1" applyAlignment="1">
      <alignment vertical="center"/>
    </xf>
    <xf numFmtId="0" fontId="0" fillId="0" borderId="0" xfId="0" applyAlignment="1">
      <alignment horizont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18" borderId="8" xfId="1" applyFont="1" applyFill="1" applyBorder="1" applyAlignment="1">
      <alignment horizontal="center" vertical="center" wrapText="1"/>
    </xf>
    <xf numFmtId="9" fontId="11" fillId="18" borderId="13" xfId="1"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0" borderId="5" xfId="0" applyFont="1" applyBorder="1" applyAlignment="1">
      <alignment horizontal="center" vertical="center" wrapText="1"/>
    </xf>
    <xf numFmtId="9" fontId="4" fillId="7" borderId="28" xfId="1"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4" fillId="7" borderId="29" xfId="1" applyFont="1" applyFill="1" applyBorder="1" applyAlignment="1">
      <alignment horizontal="center"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9" fontId="4" fillId="11" borderId="5" xfId="1" applyFont="1" applyFill="1" applyBorder="1" applyAlignment="1">
      <alignment horizontal="center" vertical="center" wrapText="1"/>
    </xf>
    <xf numFmtId="9" fontId="4" fillId="5" borderId="4" xfId="1" applyFont="1" applyFill="1" applyBorder="1" applyAlignment="1">
      <alignment horizontal="center" vertical="center" wrapText="1"/>
    </xf>
    <xf numFmtId="9" fontId="4" fillId="5" borderId="29" xfId="1"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4" fillId="5" borderId="28" xfId="1" applyFont="1" applyFill="1" applyBorder="1" applyAlignment="1">
      <alignment horizontal="center" vertical="center" wrapText="1"/>
    </xf>
    <xf numFmtId="9" fontId="15" fillId="5" borderId="28" xfId="1" applyFont="1" applyFill="1" applyBorder="1" applyAlignment="1">
      <alignment horizontal="center" vertical="center" wrapText="1"/>
    </xf>
    <xf numFmtId="9" fontId="15" fillId="5" borderId="4" xfId="1" applyFont="1" applyFill="1" applyBorder="1" applyAlignment="1">
      <alignment horizontal="center" vertical="center" wrapText="1"/>
    </xf>
    <xf numFmtId="9" fontId="15" fillId="5" borderId="29"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2" xfId="0" applyFont="1" applyFill="1" applyBorder="1" applyAlignment="1">
      <alignment horizontal="left"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165" fontId="4" fillId="3" borderId="28"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3" fillId="3" borderId="29" xfId="0" applyFont="1" applyFill="1" applyBorder="1" applyAlignment="1">
      <alignment horizontal="left" vertical="center" wrapText="1"/>
    </xf>
    <xf numFmtId="10" fontId="4" fillId="0" borderId="5" xfId="0" applyNumberFormat="1" applyFont="1" applyBorder="1" applyAlignment="1">
      <alignment horizontal="center" vertical="center" wrapText="1"/>
    </xf>
    <xf numFmtId="9" fontId="4" fillId="5" borderId="5" xfId="1" applyFont="1" applyFill="1" applyBorder="1" applyAlignment="1">
      <alignment horizontal="center" vertical="center" wrapText="1"/>
    </xf>
    <xf numFmtId="0" fontId="3" fillId="0" borderId="29" xfId="0"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9" fontId="3" fillId="0" borderId="28" xfId="0" applyNumberFormat="1" applyFont="1" applyBorder="1" applyAlignment="1">
      <alignment horizontal="center" vertical="center"/>
    </xf>
    <xf numFmtId="9" fontId="3" fillId="0" borderId="29" xfId="0" applyNumberFormat="1" applyFont="1" applyBorder="1" applyAlignment="1">
      <alignment horizontal="center" vertical="center"/>
    </xf>
    <xf numFmtId="9" fontId="4" fillId="0" borderId="5" xfId="1" applyFont="1" applyFill="1" applyBorder="1" applyAlignment="1">
      <alignment horizontal="center" vertical="center" wrapText="1"/>
    </xf>
    <xf numFmtId="0" fontId="2" fillId="3" borderId="28" xfId="0" applyFont="1" applyFill="1" applyBorder="1" applyAlignment="1">
      <alignment horizontal="left" vertical="center" wrapText="1"/>
    </xf>
    <xf numFmtId="9" fontId="4" fillId="6"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44" fontId="4" fillId="3" borderId="5" xfId="4" applyFont="1" applyFill="1" applyBorder="1" applyAlignment="1">
      <alignment horizontal="center" vertical="center" wrapText="1"/>
    </xf>
    <xf numFmtId="9" fontId="4" fillId="5" borderId="6" xfId="1" applyFont="1" applyFill="1" applyBorder="1" applyAlignment="1">
      <alignment horizontal="center" vertical="center" wrapText="1"/>
    </xf>
    <xf numFmtId="0" fontId="0" fillId="0" borderId="22" xfId="0" applyBorder="1" applyAlignment="1">
      <alignment horizontal="center" vertical="top" wrapText="1"/>
    </xf>
    <xf numFmtId="0" fontId="0" fillId="0" borderId="22" xfId="0" applyBorder="1" applyAlignment="1">
      <alignment horizontal="left" vertical="center" wrapText="1"/>
    </xf>
    <xf numFmtId="0" fontId="3" fillId="0" borderId="22" xfId="0" applyFont="1" applyBorder="1" applyAlignment="1">
      <alignment horizontal="center" vertical="center" wrapText="1"/>
    </xf>
    <xf numFmtId="10" fontId="3" fillId="3" borderId="21" xfId="0" applyNumberFormat="1" applyFont="1" applyFill="1" applyBorder="1" applyAlignment="1">
      <alignment horizontal="center" vertical="center" wrapText="1"/>
    </xf>
    <xf numFmtId="165" fontId="3" fillId="0" borderId="5" xfId="0" applyNumberFormat="1" applyFont="1" applyBorder="1" applyAlignment="1">
      <alignment horizontal="center" vertical="center" wrapText="1"/>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9" fontId="4" fillId="3" borderId="5" xfId="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9" fontId="3" fillId="5" borderId="5" xfId="1" applyFont="1" applyFill="1" applyBorder="1" applyAlignment="1">
      <alignment horizontal="center" vertical="center" wrapText="1"/>
    </xf>
    <xf numFmtId="9" fontId="3" fillId="3" borderId="5" xfId="1" applyFont="1" applyFill="1" applyBorder="1" applyAlignment="1">
      <alignment horizontal="center" vertical="center" wrapText="1"/>
    </xf>
    <xf numFmtId="1"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0" fontId="3" fillId="0" borderId="5" xfId="0" applyFont="1" applyBorder="1" applyAlignment="1">
      <alignment horizontal="center" vertical="center" wrapText="1"/>
    </xf>
    <xf numFmtId="9" fontId="3" fillId="4" borderId="5" xfId="1" applyFont="1" applyFill="1" applyBorder="1" applyAlignment="1">
      <alignment horizontal="center" vertical="center" wrapText="1"/>
    </xf>
    <xf numFmtId="9" fontId="4" fillId="8" borderId="5" xfId="1" applyFont="1" applyFill="1" applyBorder="1" applyAlignment="1">
      <alignment horizontal="center" vertical="center" wrapText="1"/>
    </xf>
    <xf numFmtId="3" fontId="0" fillId="0" borderId="5" xfId="0" applyNumberFormat="1" applyBorder="1" applyAlignment="1">
      <alignment horizontal="center" vertical="center" wrapText="1"/>
    </xf>
    <xf numFmtId="0" fontId="0" fillId="0" borderId="5" xfId="0" applyBorder="1" applyAlignment="1">
      <alignment horizontal="center" vertical="center"/>
    </xf>
    <xf numFmtId="175" fontId="0" fillId="0" borderId="5" xfId="4" applyNumberFormat="1" applyFon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0" fillId="0" borderId="22" xfId="0" applyBorder="1" applyAlignment="1">
      <alignment horizontal="center" vertical="center" wrapText="1"/>
    </xf>
    <xf numFmtId="10" fontId="0" fillId="0" borderId="22" xfId="0" applyNumberFormat="1" applyBorder="1" applyAlignment="1">
      <alignment horizontal="center" vertical="center" wrapText="1"/>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9" fontId="0" fillId="0" borderId="22" xfId="0" applyNumberFormat="1" applyBorder="1" applyAlignment="1">
      <alignment horizontal="left" vertical="center" wrapText="1"/>
    </xf>
    <xf numFmtId="175" fontId="0" fillId="0" borderId="5" xfId="4" applyNumberFormat="1" applyFont="1" applyBorder="1" applyAlignment="1">
      <alignment horizontal="center" vertical="center" wrapText="1"/>
    </xf>
    <xf numFmtId="175" fontId="0" fillId="0" borderId="5" xfId="4" applyNumberFormat="1" applyFont="1" applyFill="1" applyBorder="1" applyAlignment="1">
      <alignment horizontal="center" vertical="center"/>
    </xf>
    <xf numFmtId="0" fontId="0" fillId="0" borderId="21" xfId="0" applyBorder="1" applyAlignment="1">
      <alignment horizontal="center" vertical="center"/>
    </xf>
    <xf numFmtId="9" fontId="0" fillId="0" borderId="21" xfId="0" applyNumberFormat="1" applyBorder="1" applyAlignment="1">
      <alignment horizontal="center" vertical="center"/>
    </xf>
    <xf numFmtId="9" fontId="0" fillId="0" borderId="5" xfId="0" applyNumberFormat="1" applyBorder="1" applyAlignment="1">
      <alignment horizontal="center" vertical="center"/>
    </xf>
    <xf numFmtId="164" fontId="25" fillId="3" borderId="5" xfId="10" applyFont="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9" fontId="3" fillId="0" borderId="22"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3" borderId="21" xfId="0" applyFont="1" applyFill="1" applyBorder="1" applyAlignment="1">
      <alignment horizontal="center" vertical="center" wrapText="1"/>
    </xf>
    <xf numFmtId="10" fontId="3" fillId="0" borderId="21"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70" fontId="4" fillId="3" borderId="5" xfId="1" applyNumberFormat="1" applyFont="1" applyFill="1" applyBorder="1" applyAlignment="1">
      <alignment horizontal="center" vertical="center" wrapText="1"/>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1" xfId="0" applyFont="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1" fontId="4" fillId="0" borderId="5" xfId="0" applyNumberFormat="1" applyFont="1" applyBorder="1" applyAlignment="1">
      <alignment horizontal="center" vertical="center" wrapText="1"/>
    </xf>
    <xf numFmtId="0" fontId="2" fillId="3" borderId="22"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0" fontId="4" fillId="3" borderId="4"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6" fontId="4" fillId="3" borderId="5" xfId="1" applyNumberFormat="1" applyFont="1" applyFill="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0" borderId="22" xfId="0" applyFont="1" applyBorder="1" applyAlignment="1">
      <alignment horizontal="center" vertical="center" wrapText="1"/>
    </xf>
    <xf numFmtId="2" fontId="4" fillId="0" borderId="5" xfId="1" applyNumberFormat="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169" fontId="4" fillId="3" borderId="28" xfId="0" applyNumberFormat="1" applyFont="1" applyFill="1" applyBorder="1" applyAlignment="1">
      <alignment horizontal="center" vertical="center" wrapText="1"/>
    </xf>
    <xf numFmtId="169" fontId="4" fillId="3" borderId="4" xfId="0" applyNumberFormat="1" applyFont="1" applyFill="1" applyBorder="1" applyAlignment="1">
      <alignment horizontal="center" vertical="center" wrapText="1"/>
    </xf>
    <xf numFmtId="169" fontId="4" fillId="3" borderId="29" xfId="0" applyNumberFormat="1" applyFont="1" applyFill="1" applyBorder="1" applyAlignment="1">
      <alignment horizontal="center" vertical="center" wrapText="1"/>
    </xf>
    <xf numFmtId="10" fontId="3" fillId="3" borderId="28" xfId="0" applyNumberFormat="1" applyFont="1" applyFill="1" applyBorder="1" applyAlignment="1">
      <alignment horizontal="left" vertical="center" wrapText="1"/>
    </xf>
    <xf numFmtId="10" fontId="3" fillId="3" borderId="4" xfId="0" applyNumberFormat="1" applyFont="1" applyFill="1" applyBorder="1" applyAlignment="1">
      <alignment horizontal="left" vertical="center" wrapText="1"/>
    </xf>
    <xf numFmtId="10" fontId="3" fillId="3" borderId="29" xfId="0" applyNumberFormat="1" applyFont="1" applyFill="1" applyBorder="1" applyAlignment="1">
      <alignment horizontal="left" vertical="center" wrapText="1"/>
    </xf>
    <xf numFmtId="10" fontId="4" fillId="3" borderId="5"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xf>
    <xf numFmtId="170" fontId="4" fillId="3" borderId="5" xfId="4" applyNumberFormat="1" applyFont="1" applyFill="1" applyBorder="1" applyAlignment="1">
      <alignment horizontal="center" vertical="center" wrapText="1"/>
    </xf>
    <xf numFmtId="9" fontId="3" fillId="3" borderId="28" xfId="0" applyNumberFormat="1" applyFont="1" applyFill="1" applyBorder="1" applyAlignment="1">
      <alignment horizontal="left" vertical="center" wrapText="1"/>
    </xf>
    <xf numFmtId="9" fontId="3" fillId="3" borderId="4" xfId="0" applyNumberFormat="1" applyFont="1" applyFill="1" applyBorder="1" applyAlignment="1">
      <alignment horizontal="left" vertical="center" wrapText="1"/>
    </xf>
    <xf numFmtId="9" fontId="3" fillId="3" borderId="29" xfId="0" applyNumberFormat="1" applyFont="1" applyFill="1" applyBorder="1" applyAlignment="1">
      <alignment horizontal="left" vertical="center" wrapText="1"/>
    </xf>
    <xf numFmtId="9" fontId="4" fillId="11" borderId="4" xfId="1"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3" borderId="6" xfId="0" applyFont="1" applyFill="1" applyBorder="1" applyAlignment="1">
      <alignment horizontal="left" vertical="center" wrapText="1"/>
    </xf>
    <xf numFmtId="9" fontId="3" fillId="3" borderId="26" xfId="0" applyNumberFormat="1" applyFont="1" applyFill="1" applyBorder="1" applyAlignment="1">
      <alignment horizontal="center" vertical="center"/>
    </xf>
    <xf numFmtId="9" fontId="3" fillId="3" borderId="27" xfId="0" applyNumberFormat="1" applyFont="1" applyFill="1" applyBorder="1" applyAlignment="1">
      <alignment horizontal="center" vertical="center"/>
    </xf>
    <xf numFmtId="0" fontId="16" fillId="18" borderId="19" xfId="0" applyFont="1" applyFill="1" applyBorder="1" applyAlignment="1">
      <alignment horizontal="center"/>
    </xf>
    <xf numFmtId="0" fontId="16" fillId="18" borderId="17" xfId="0" applyFont="1" applyFill="1" applyBorder="1" applyAlignment="1">
      <alignment horizontal="center"/>
    </xf>
    <xf numFmtId="0" fontId="16" fillId="18" borderId="11" xfId="0" applyFont="1" applyFill="1" applyBorder="1" applyAlignment="1">
      <alignment horizontal="center"/>
    </xf>
    <xf numFmtId="0" fontId="11" fillId="18" borderId="8" xfId="0" applyFont="1" applyFill="1" applyBorder="1" applyAlignment="1">
      <alignment horizontal="center" vertical="center" wrapText="1"/>
    </xf>
    <xf numFmtId="0" fontId="11" fillId="18" borderId="13" xfId="0" applyFont="1" applyFill="1" applyBorder="1" applyAlignment="1">
      <alignment horizontal="center" vertical="center" wrapText="1"/>
    </xf>
    <xf numFmtId="165" fontId="11" fillId="18" borderId="8" xfId="0" applyNumberFormat="1" applyFont="1" applyFill="1" applyBorder="1" applyAlignment="1">
      <alignment horizontal="center" vertical="center" wrapText="1"/>
    </xf>
    <xf numFmtId="165" fontId="11" fillId="18" borderId="13" xfId="0" applyNumberFormat="1" applyFont="1" applyFill="1" applyBorder="1" applyAlignment="1">
      <alignment horizontal="center" vertical="center" wrapText="1"/>
    </xf>
    <xf numFmtId="0" fontId="11" fillId="18" borderId="30"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2" fillId="18"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0" fontId="3" fillId="0" borderId="21" xfId="0" applyFont="1" applyBorder="1" applyAlignment="1">
      <alignment horizontal="center" vertical="center"/>
    </xf>
    <xf numFmtId="0" fontId="2" fillId="0" borderId="22" xfId="0" applyFont="1" applyBorder="1" applyAlignment="1">
      <alignment horizontal="left" vertical="center" wrapText="1"/>
    </xf>
    <xf numFmtId="0" fontId="3" fillId="0" borderId="22" xfId="0" applyFont="1" applyBorder="1" applyAlignment="1">
      <alignment horizontal="left" vertical="center" wrapText="1"/>
    </xf>
    <xf numFmtId="9" fontId="4" fillId="0" borderId="21" xfId="0" applyNumberFormat="1" applyFont="1" applyBorder="1" applyAlignment="1">
      <alignment horizontal="center" vertical="center" wrapText="1"/>
    </xf>
    <xf numFmtId="0" fontId="4" fillId="0" borderId="22" xfId="0" applyFont="1" applyBorder="1" applyAlignment="1">
      <alignment horizontal="left"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11" fillId="0" borderId="22" xfId="0" applyFont="1" applyBorder="1" applyAlignment="1">
      <alignment horizontal="left" vertical="center" wrapText="1"/>
    </xf>
    <xf numFmtId="165" fontId="2" fillId="3" borderId="5"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4" fillId="0" borderId="21" xfId="0" applyFont="1" applyBorder="1" applyAlignment="1">
      <alignment horizontal="center" vertical="center" wrapText="1"/>
    </xf>
    <xf numFmtId="0" fontId="11" fillId="3" borderId="22" xfId="0" applyFont="1" applyFill="1" applyBorder="1" applyAlignment="1">
      <alignment horizontal="left" vertical="center" wrapText="1"/>
    </xf>
    <xf numFmtId="9" fontId="3" fillId="3" borderId="21" xfId="3" applyNumberFormat="1" applyFont="1" applyFill="1" applyBorder="1" applyAlignment="1">
      <alignment horizontal="center" vertical="center" wrapText="1"/>
    </xf>
    <xf numFmtId="0" fontId="3" fillId="3" borderId="21" xfId="3"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3" borderId="22" xfId="0" applyFont="1" applyFill="1" applyBorder="1" applyAlignment="1">
      <alignment vertical="center" wrapText="1"/>
    </xf>
    <xf numFmtId="9" fontId="3" fillId="0" borderId="5" xfId="1" applyFont="1" applyFill="1" applyBorder="1" applyAlignment="1">
      <alignment horizontal="center" vertical="center" wrapText="1"/>
    </xf>
    <xf numFmtId="0" fontId="3" fillId="0" borderId="22" xfId="0" applyFont="1" applyBorder="1" applyAlignment="1">
      <alignment vertical="center" wrapText="1"/>
    </xf>
    <xf numFmtId="10" fontId="3" fillId="3" borderId="5" xfId="1" applyNumberFormat="1" applyFont="1" applyFill="1" applyBorder="1" applyAlignment="1">
      <alignment horizontal="center" vertical="center" wrapText="1"/>
    </xf>
    <xf numFmtId="10" fontId="4" fillId="0" borderId="21" xfId="0" applyNumberFormat="1" applyFont="1" applyBorder="1" applyAlignment="1">
      <alignment horizontal="center" vertical="center" wrapText="1"/>
    </xf>
    <xf numFmtId="10" fontId="4" fillId="0" borderId="5" xfId="1" applyNumberFormat="1" applyFont="1" applyFill="1" applyBorder="1" applyAlignment="1">
      <alignment horizontal="center" vertical="center" wrapText="1"/>
    </xf>
    <xf numFmtId="9" fontId="3" fillId="3" borderId="21" xfId="1" applyFont="1" applyFill="1" applyBorder="1" applyAlignment="1">
      <alignment horizontal="center" vertical="center" wrapText="1"/>
    </xf>
    <xf numFmtId="9" fontId="4" fillId="3" borderId="21"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9" fontId="4" fillId="3" borderId="21" xfId="0" applyNumberFormat="1" applyFont="1" applyFill="1" applyBorder="1" applyAlignment="1">
      <alignment horizontal="center" vertical="center" wrapText="1"/>
    </xf>
    <xf numFmtId="9" fontId="4" fillId="3" borderId="22" xfId="0" applyNumberFormat="1" applyFont="1" applyFill="1" applyBorder="1" applyAlignment="1">
      <alignment horizontal="left" vertical="center" wrapText="1"/>
    </xf>
    <xf numFmtId="9" fontId="3" fillId="3" borderId="22" xfId="0" applyNumberFormat="1" applyFont="1" applyFill="1" applyBorder="1" applyAlignment="1">
      <alignment horizontal="left" vertical="center" wrapText="1"/>
    </xf>
    <xf numFmtId="171" fontId="4" fillId="3" borderId="21" xfId="3" applyNumberFormat="1" applyFont="1" applyFill="1" applyBorder="1" applyAlignment="1">
      <alignment vertical="center" wrapText="1"/>
    </xf>
    <xf numFmtId="169" fontId="3" fillId="3" borderId="5" xfId="0" applyNumberFormat="1" applyFont="1" applyFill="1" applyBorder="1" applyAlignment="1">
      <alignment horizontal="center" vertical="center" wrapText="1"/>
    </xf>
    <xf numFmtId="10" fontId="2" fillId="3" borderId="22" xfId="0" applyNumberFormat="1" applyFont="1" applyFill="1" applyBorder="1" applyAlignment="1">
      <alignment horizontal="left" vertical="center" wrapText="1"/>
    </xf>
    <xf numFmtId="10"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69" fontId="4" fillId="3" borderId="5" xfId="0" applyNumberFormat="1" applyFont="1" applyFill="1" applyBorder="1" applyAlignment="1">
      <alignment horizontal="center" vertical="center" wrapText="1"/>
    </xf>
    <xf numFmtId="10" fontId="11"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wrapText="1"/>
    </xf>
    <xf numFmtId="42" fontId="12" fillId="3" borderId="5" xfId="0" applyNumberFormat="1"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0" fontId="16" fillId="16" borderId="11" xfId="0" applyFont="1" applyFill="1" applyBorder="1" applyAlignment="1">
      <alignment horizontal="center"/>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wrapText="1"/>
    </xf>
    <xf numFmtId="9" fontId="3" fillId="3" borderId="22" xfId="0" applyNumberFormat="1" applyFont="1" applyFill="1" applyBorder="1" applyAlignment="1">
      <alignment horizontal="center" vertical="center" wrapText="1"/>
    </xf>
    <xf numFmtId="3" fontId="22" fillId="3" borderId="5" xfId="0" applyNumberFormat="1" applyFont="1" applyFill="1" applyBorder="1" applyAlignment="1">
      <alignment horizontal="center" vertical="center" wrapText="1"/>
    </xf>
    <xf numFmtId="10" fontId="0" fillId="3" borderId="22" xfId="0" applyNumberFormat="1" applyFill="1" applyBorder="1" applyAlignment="1">
      <alignment horizontal="center" vertical="center" wrapText="1"/>
    </xf>
    <xf numFmtId="0" fontId="29" fillId="3" borderId="22" xfId="0" applyFont="1" applyFill="1" applyBorder="1" applyAlignment="1">
      <alignment horizontal="center"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3" fillId="0" borderId="21"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0" fontId="13" fillId="3" borderId="22" xfId="0" applyFont="1" applyFill="1" applyBorder="1" applyAlignment="1">
      <alignment horizontal="left" vertical="center" wrapText="1"/>
    </xf>
    <xf numFmtId="9" fontId="4" fillId="0" borderId="22" xfId="0" applyNumberFormat="1" applyFont="1" applyBorder="1" applyAlignment="1">
      <alignment horizontal="center" vertical="center" wrapText="1"/>
    </xf>
    <xf numFmtId="0" fontId="17" fillId="0" borderId="22" xfId="0" applyFont="1" applyBorder="1" applyAlignment="1">
      <alignment horizontal="justify" vertical="center" wrapText="1"/>
    </xf>
    <xf numFmtId="9" fontId="17" fillId="0" borderId="22" xfId="0" applyNumberFormat="1" applyFont="1" applyBorder="1" applyAlignment="1">
      <alignment horizontal="justify"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0" fontId="4" fillId="3" borderId="5" xfId="2"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4" fillId="0" borderId="5" xfId="0" applyFont="1" applyBorder="1" applyAlignment="1">
      <alignment horizontal="center" vertical="center"/>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5" xfId="0" applyFont="1" applyBorder="1" applyAlignment="1">
      <alignment horizontal="center" vertical="center" textRotation="90"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10" fontId="4" fillId="0" borderId="28" xfId="0" applyNumberFormat="1" applyFont="1" applyFill="1" applyBorder="1" applyAlignment="1">
      <alignment horizontal="center" vertical="center" wrapText="1"/>
    </xf>
    <xf numFmtId="10" fontId="4" fillId="0" borderId="29" xfId="0" applyNumberFormat="1"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0" fontId="16" fillId="16" borderId="31" xfId="0" applyFont="1" applyFill="1" applyBorder="1" applyAlignment="1">
      <alignment horizontal="center" vertical="center"/>
    </xf>
    <xf numFmtId="0" fontId="16" fillId="16" borderId="12" xfId="0" applyFont="1" applyFill="1" applyBorder="1" applyAlignment="1">
      <alignment horizontal="center" vertical="center"/>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55">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98607"/>
      <color rgb="FFFF6600"/>
      <color rgb="FF008000"/>
      <color rgb="FFFFFFCC"/>
      <color rgb="FF669900"/>
      <color rgb="FFFFCCCC"/>
      <color rgb="FFFF99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15</c:v>
                </c:pt>
                <c:pt idx="1">
                  <c:v>5</c:v>
                </c:pt>
                <c:pt idx="2">
                  <c:v>3</c:v>
                </c:pt>
                <c:pt idx="3">
                  <c:v>4</c:v>
                </c:pt>
                <c:pt idx="4">
                  <c:v>34</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92"/>
  <sheetViews>
    <sheetView showGridLines="0" tabSelected="1" zoomScale="60" zoomScaleNormal="60" zoomScalePageLayoutView="50" workbookViewId="0">
      <selection sqref="A1:Q1"/>
    </sheetView>
  </sheetViews>
  <sheetFormatPr baseColWidth="10" defaultRowHeight="15" x14ac:dyDescent="0.25"/>
  <cols>
    <col min="1" max="1" width="9.28515625" customWidth="1"/>
    <col min="2" max="2" width="9.5703125" bestFit="1" customWidth="1"/>
    <col min="3" max="3" width="12.7109375" customWidth="1"/>
    <col min="4" max="4" width="5.85546875" style="70" customWidth="1"/>
    <col min="5" max="5" width="11.28515625" style="70" customWidth="1"/>
    <col min="6" max="6" width="15" style="70" customWidth="1"/>
    <col min="7" max="7" width="14.5703125" style="70" customWidth="1"/>
    <col min="8" max="8" width="7.42578125" style="70" customWidth="1"/>
    <col min="9" max="9" width="7.7109375" style="70" customWidth="1"/>
    <col min="10" max="10" width="7.42578125" style="70" customWidth="1"/>
    <col min="11" max="11" width="10.140625" style="70" hidden="1" customWidth="1"/>
    <col min="12" max="12" width="13" style="70" hidden="1" customWidth="1"/>
    <col min="13" max="13" width="8.28515625" style="70" hidden="1" customWidth="1"/>
    <col min="14" max="14" width="10.42578125" style="70" hidden="1" customWidth="1"/>
    <col min="15" max="15" width="11.42578125" style="70" hidden="1" customWidth="1"/>
    <col min="16" max="16" width="9.5703125" style="70" hidden="1" customWidth="1"/>
    <col min="17" max="17" width="8.28515625" style="70"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37.7109375" hidden="1" customWidth="1"/>
    <col min="73" max="73" width="255.7109375" hidden="1" customWidth="1"/>
    <col min="74" max="74" width="16.42578125" customWidth="1"/>
    <col min="75" max="75" width="11.7109375" customWidth="1"/>
    <col min="76" max="76" width="21.85546875" customWidth="1"/>
    <col min="77" max="77" width="21.7109375" customWidth="1"/>
    <col min="78" max="78" width="30.7109375" customWidth="1"/>
    <col min="79" max="79" width="20.28515625" customWidth="1"/>
    <col min="80" max="80" width="29.5703125" customWidth="1"/>
    <col min="81" max="81" width="80.28515625" customWidth="1"/>
    <col min="82" max="82" width="18.28515625" customWidth="1"/>
    <col min="83" max="83" width="19.5703125" customWidth="1"/>
    <col min="84" max="84" width="21.28515625" customWidth="1"/>
  </cols>
  <sheetData>
    <row r="1" spans="1:84" ht="15.75" thickBot="1" x14ac:dyDescent="0.3">
      <c r="A1" s="696" t="s">
        <v>493</v>
      </c>
      <c r="B1" s="696"/>
      <c r="C1" s="696"/>
      <c r="D1" s="696"/>
      <c r="E1" s="696"/>
      <c r="F1" s="696"/>
      <c r="G1" s="696"/>
      <c r="H1" s="696"/>
      <c r="I1" s="696"/>
      <c r="J1" s="696"/>
      <c r="K1" s="696"/>
      <c r="L1" s="696"/>
      <c r="M1" s="696"/>
      <c r="N1" s="696"/>
      <c r="O1" s="696"/>
      <c r="P1" s="696"/>
      <c r="Q1" s="697"/>
      <c r="R1" s="389">
        <v>2014</v>
      </c>
      <c r="S1" s="390"/>
      <c r="T1" s="390"/>
      <c r="U1" s="390"/>
      <c r="V1" s="390"/>
      <c r="W1" s="390"/>
      <c r="X1" s="634"/>
      <c r="Y1" s="389">
        <v>2015</v>
      </c>
      <c r="Z1" s="390"/>
      <c r="AA1" s="390"/>
      <c r="AB1" s="390"/>
      <c r="AC1" s="390"/>
      <c r="AD1" s="390"/>
      <c r="AE1" s="634"/>
      <c r="AF1" s="389">
        <v>2016</v>
      </c>
      <c r="AG1" s="390"/>
      <c r="AH1" s="390"/>
      <c r="AI1" s="390"/>
      <c r="AJ1" s="390"/>
      <c r="AK1" s="390"/>
      <c r="AL1" s="634"/>
      <c r="AM1" s="389">
        <v>2017</v>
      </c>
      <c r="AN1" s="390"/>
      <c r="AO1" s="390"/>
      <c r="AP1" s="390"/>
      <c r="AQ1" s="390"/>
      <c r="AR1" s="390"/>
      <c r="AS1" s="634"/>
      <c r="AT1" s="389">
        <v>2018</v>
      </c>
      <c r="AU1" s="390"/>
      <c r="AV1" s="390"/>
      <c r="AW1" s="390"/>
      <c r="AX1" s="390"/>
      <c r="AY1" s="390"/>
      <c r="AZ1" s="634"/>
      <c r="BA1" s="389">
        <v>2019</v>
      </c>
      <c r="BB1" s="390"/>
      <c r="BC1" s="390"/>
      <c r="BD1" s="390"/>
      <c r="BE1" s="390"/>
      <c r="BF1" s="390"/>
      <c r="BG1" s="634"/>
      <c r="BH1" s="389">
        <v>2020</v>
      </c>
      <c r="BI1" s="390"/>
      <c r="BJ1" s="390"/>
      <c r="BK1" s="390"/>
      <c r="BL1" s="390"/>
      <c r="BM1" s="390"/>
      <c r="BN1" s="634"/>
      <c r="BO1" s="389">
        <v>2021</v>
      </c>
      <c r="BP1" s="390"/>
      <c r="BQ1" s="390"/>
      <c r="BR1" s="390"/>
      <c r="BS1" s="390"/>
      <c r="BT1" s="390"/>
      <c r="BU1" s="634"/>
      <c r="BV1" s="577" t="s">
        <v>1102</v>
      </c>
      <c r="BW1" s="578"/>
      <c r="BX1" s="578"/>
      <c r="BY1" s="578"/>
      <c r="BZ1" s="578"/>
      <c r="CA1" s="578"/>
      <c r="CB1" s="578"/>
      <c r="CC1" s="579"/>
      <c r="CD1" s="389" t="s">
        <v>977</v>
      </c>
      <c r="CE1" s="390"/>
      <c r="CF1" s="390"/>
    </row>
    <row r="2" spans="1:84" ht="28.5" customHeight="1" thickBot="1" x14ac:dyDescent="0.3">
      <c r="A2" s="410" t="s">
        <v>0</v>
      </c>
      <c r="B2" s="410" t="s">
        <v>1</v>
      </c>
      <c r="C2" s="663" t="s">
        <v>2</v>
      </c>
      <c r="D2" s="410" t="s">
        <v>1</v>
      </c>
      <c r="E2" s="410" t="s">
        <v>3</v>
      </c>
      <c r="F2" s="410" t="s">
        <v>4</v>
      </c>
      <c r="G2" s="410" t="s">
        <v>5</v>
      </c>
      <c r="H2" s="410" t="s">
        <v>6</v>
      </c>
      <c r="I2" s="410" t="s">
        <v>7</v>
      </c>
      <c r="J2" s="410" t="s">
        <v>8</v>
      </c>
      <c r="K2" s="663" t="s">
        <v>291</v>
      </c>
      <c r="L2" s="664"/>
      <c r="M2" s="664"/>
      <c r="N2" s="664"/>
      <c r="O2" s="664"/>
      <c r="P2" s="664"/>
      <c r="Q2" s="665"/>
      <c r="R2" s="391" t="s">
        <v>661</v>
      </c>
      <c r="S2" s="391" t="s">
        <v>277</v>
      </c>
      <c r="T2" s="417" t="s">
        <v>278</v>
      </c>
      <c r="U2" s="641" t="s">
        <v>252</v>
      </c>
      <c r="V2" s="641" t="s">
        <v>253</v>
      </c>
      <c r="W2" s="391" t="s">
        <v>254</v>
      </c>
      <c r="X2" s="391" t="s">
        <v>255</v>
      </c>
      <c r="Y2" s="391" t="s">
        <v>660</v>
      </c>
      <c r="Z2" s="391" t="s">
        <v>277</v>
      </c>
      <c r="AA2" s="417" t="s">
        <v>278</v>
      </c>
      <c r="AB2" s="641" t="s">
        <v>252</v>
      </c>
      <c r="AC2" s="641" t="s">
        <v>253</v>
      </c>
      <c r="AD2" s="391" t="s">
        <v>254</v>
      </c>
      <c r="AE2" s="391" t="s">
        <v>255</v>
      </c>
      <c r="AF2" s="391" t="s">
        <v>659</v>
      </c>
      <c r="AG2" s="391" t="s">
        <v>277</v>
      </c>
      <c r="AH2" s="417" t="s">
        <v>278</v>
      </c>
      <c r="AI2" s="641" t="s">
        <v>252</v>
      </c>
      <c r="AJ2" s="641" t="s">
        <v>253</v>
      </c>
      <c r="AK2" s="391" t="s">
        <v>254</v>
      </c>
      <c r="AL2" s="391" t="s">
        <v>255</v>
      </c>
      <c r="AM2" s="391" t="s">
        <v>658</v>
      </c>
      <c r="AN2" s="391" t="s">
        <v>277</v>
      </c>
      <c r="AO2" s="417" t="s">
        <v>278</v>
      </c>
      <c r="AP2" s="641" t="s">
        <v>252</v>
      </c>
      <c r="AQ2" s="641" t="s">
        <v>253</v>
      </c>
      <c r="AR2" s="391" t="s">
        <v>254</v>
      </c>
      <c r="AS2" s="391" t="s">
        <v>255</v>
      </c>
      <c r="AT2" s="391" t="s">
        <v>657</v>
      </c>
      <c r="AU2" s="391" t="s">
        <v>277</v>
      </c>
      <c r="AV2" s="417" t="s">
        <v>278</v>
      </c>
      <c r="AW2" s="641" t="s">
        <v>252</v>
      </c>
      <c r="AX2" s="641" t="s">
        <v>253</v>
      </c>
      <c r="AY2" s="391" t="s">
        <v>254</v>
      </c>
      <c r="AZ2" s="391" t="s">
        <v>255</v>
      </c>
      <c r="BA2" s="391" t="s">
        <v>656</v>
      </c>
      <c r="BB2" s="391" t="s">
        <v>277</v>
      </c>
      <c r="BC2" s="417" t="s">
        <v>278</v>
      </c>
      <c r="BD2" s="641" t="s">
        <v>252</v>
      </c>
      <c r="BE2" s="641" t="s">
        <v>253</v>
      </c>
      <c r="BF2" s="391" t="s">
        <v>254</v>
      </c>
      <c r="BG2" s="391" t="s">
        <v>255</v>
      </c>
      <c r="BH2" s="635" t="s">
        <v>503</v>
      </c>
      <c r="BI2" s="635" t="s">
        <v>277</v>
      </c>
      <c r="BJ2" s="637" t="s">
        <v>278</v>
      </c>
      <c r="BK2" s="639" t="s">
        <v>252</v>
      </c>
      <c r="BL2" s="639" t="s">
        <v>253</v>
      </c>
      <c r="BM2" s="635" t="s">
        <v>254</v>
      </c>
      <c r="BN2" s="635" t="s">
        <v>255</v>
      </c>
      <c r="BO2" s="391" t="s">
        <v>582</v>
      </c>
      <c r="BP2" s="391" t="s">
        <v>277</v>
      </c>
      <c r="BQ2" s="417" t="s">
        <v>278</v>
      </c>
      <c r="BR2" s="641" t="s">
        <v>252</v>
      </c>
      <c r="BS2" s="641" t="s">
        <v>253</v>
      </c>
      <c r="BT2" s="391" t="s">
        <v>254</v>
      </c>
      <c r="BU2" s="391" t="s">
        <v>255</v>
      </c>
      <c r="BV2" s="580" t="s">
        <v>463</v>
      </c>
      <c r="BW2" s="580" t="s">
        <v>277</v>
      </c>
      <c r="BX2" s="393" t="s">
        <v>278</v>
      </c>
      <c r="BY2" s="582" t="s">
        <v>252</v>
      </c>
      <c r="BZ2" s="582" t="s">
        <v>253</v>
      </c>
      <c r="CA2" s="393" t="s">
        <v>1032</v>
      </c>
      <c r="CB2" s="580" t="s">
        <v>254</v>
      </c>
      <c r="CC2" s="585" t="s">
        <v>255</v>
      </c>
      <c r="CD2" s="410" t="s">
        <v>978</v>
      </c>
      <c r="CE2" s="391" t="s">
        <v>1043</v>
      </c>
      <c r="CF2" s="417" t="s">
        <v>1041</v>
      </c>
    </row>
    <row r="3" spans="1:84" ht="41.25" customHeight="1" thickBot="1" x14ac:dyDescent="0.3">
      <c r="A3" s="410"/>
      <c r="B3" s="410"/>
      <c r="C3" s="663"/>
      <c r="D3" s="391"/>
      <c r="E3" s="391"/>
      <c r="F3" s="391"/>
      <c r="G3" s="391"/>
      <c r="H3" s="391"/>
      <c r="I3" s="391"/>
      <c r="J3" s="391"/>
      <c r="K3" s="65" t="s">
        <v>432</v>
      </c>
      <c r="L3" s="65" t="s">
        <v>287</v>
      </c>
      <c r="M3" s="65" t="s">
        <v>433</v>
      </c>
      <c r="N3" s="65" t="s">
        <v>288</v>
      </c>
      <c r="O3" s="65" t="s">
        <v>434</v>
      </c>
      <c r="P3" s="65" t="s">
        <v>289</v>
      </c>
      <c r="Q3" s="65" t="s">
        <v>290</v>
      </c>
      <c r="R3" s="392"/>
      <c r="S3" s="392"/>
      <c r="T3" s="418"/>
      <c r="U3" s="642"/>
      <c r="V3" s="642"/>
      <c r="W3" s="392"/>
      <c r="X3" s="392"/>
      <c r="Y3" s="392"/>
      <c r="Z3" s="392"/>
      <c r="AA3" s="418"/>
      <c r="AB3" s="642"/>
      <c r="AC3" s="642"/>
      <c r="AD3" s="392"/>
      <c r="AE3" s="392"/>
      <c r="AF3" s="392"/>
      <c r="AG3" s="392"/>
      <c r="AH3" s="418"/>
      <c r="AI3" s="642"/>
      <c r="AJ3" s="642"/>
      <c r="AK3" s="392"/>
      <c r="AL3" s="392"/>
      <c r="AM3" s="392"/>
      <c r="AN3" s="392"/>
      <c r="AO3" s="418"/>
      <c r="AP3" s="642"/>
      <c r="AQ3" s="642"/>
      <c r="AR3" s="392"/>
      <c r="AS3" s="392"/>
      <c r="AT3" s="392"/>
      <c r="AU3" s="392"/>
      <c r="AV3" s="418"/>
      <c r="AW3" s="642"/>
      <c r="AX3" s="642"/>
      <c r="AY3" s="392"/>
      <c r="AZ3" s="392"/>
      <c r="BA3" s="392"/>
      <c r="BB3" s="392"/>
      <c r="BC3" s="418"/>
      <c r="BD3" s="642"/>
      <c r="BE3" s="642"/>
      <c r="BF3" s="392"/>
      <c r="BG3" s="392"/>
      <c r="BH3" s="636"/>
      <c r="BI3" s="636"/>
      <c r="BJ3" s="638"/>
      <c r="BK3" s="640"/>
      <c r="BL3" s="640"/>
      <c r="BM3" s="636"/>
      <c r="BN3" s="636"/>
      <c r="BO3" s="392"/>
      <c r="BP3" s="392"/>
      <c r="BQ3" s="418"/>
      <c r="BR3" s="642"/>
      <c r="BS3" s="642"/>
      <c r="BT3" s="392"/>
      <c r="BU3" s="392"/>
      <c r="BV3" s="581"/>
      <c r="BW3" s="581"/>
      <c r="BX3" s="394"/>
      <c r="BY3" s="583"/>
      <c r="BZ3" s="583"/>
      <c r="CA3" s="394"/>
      <c r="CB3" s="584"/>
      <c r="CC3" s="586"/>
      <c r="CD3" s="391"/>
      <c r="CE3" s="392"/>
      <c r="CF3" s="418"/>
    </row>
    <row r="4" spans="1:84" ht="409.6" customHeight="1" x14ac:dyDescent="0.25">
      <c r="A4" s="667" t="s">
        <v>9</v>
      </c>
      <c r="B4" s="670" t="s">
        <v>10</v>
      </c>
      <c r="C4" s="671">
        <v>0</v>
      </c>
      <c r="D4" s="602" t="s">
        <v>458</v>
      </c>
      <c r="E4" s="413" t="s">
        <v>11</v>
      </c>
      <c r="F4" s="48" t="s">
        <v>12</v>
      </c>
      <c r="G4" s="48" t="s">
        <v>13</v>
      </c>
      <c r="H4" s="321" t="s">
        <v>992</v>
      </c>
      <c r="I4" s="48" t="s">
        <v>14</v>
      </c>
      <c r="J4" s="48">
        <v>12</v>
      </c>
      <c r="K4" s="412" t="s">
        <v>292</v>
      </c>
      <c r="L4" s="412" t="s">
        <v>367</v>
      </c>
      <c r="M4" s="412" t="s">
        <v>294</v>
      </c>
      <c r="N4" s="412" t="s">
        <v>424</v>
      </c>
      <c r="O4" s="412" t="s">
        <v>294</v>
      </c>
      <c r="P4" s="412" t="s">
        <v>295</v>
      </c>
      <c r="Q4" s="125">
        <v>12</v>
      </c>
      <c r="R4" s="104">
        <v>3</v>
      </c>
      <c r="S4" s="588"/>
      <c r="T4" s="588">
        <v>0</v>
      </c>
      <c r="U4" s="588"/>
      <c r="V4" s="588" t="s">
        <v>494</v>
      </c>
      <c r="W4" s="413" t="s">
        <v>256</v>
      </c>
      <c r="X4" s="105" t="s">
        <v>495</v>
      </c>
      <c r="Y4" s="104">
        <v>3</v>
      </c>
      <c r="Z4" s="102">
        <v>3</v>
      </c>
      <c r="AA4" s="31">
        <f>Z4/Y4</f>
        <v>1</v>
      </c>
      <c r="AB4" s="68"/>
      <c r="AC4" s="58"/>
      <c r="AD4" s="413" t="s">
        <v>256</v>
      </c>
      <c r="AE4" s="266" t="s">
        <v>664</v>
      </c>
      <c r="AF4" s="236">
        <v>5</v>
      </c>
      <c r="AG4" s="96">
        <v>2</v>
      </c>
      <c r="AH4" s="31">
        <f>AG4/AF4</f>
        <v>0.4</v>
      </c>
      <c r="AI4" s="474" t="s">
        <v>695</v>
      </c>
      <c r="AJ4" s="474" t="s">
        <v>696</v>
      </c>
      <c r="AK4" s="413" t="s">
        <v>256</v>
      </c>
      <c r="AL4" s="269" t="s">
        <v>728</v>
      </c>
      <c r="AM4" s="188">
        <v>7</v>
      </c>
      <c r="AN4" s="72">
        <v>2</v>
      </c>
      <c r="AO4" s="31">
        <f>AN4/AM4</f>
        <v>0.2857142857142857</v>
      </c>
      <c r="AP4" s="524" t="s">
        <v>781</v>
      </c>
      <c r="AQ4" s="524" t="s">
        <v>782</v>
      </c>
      <c r="AR4" s="413" t="s">
        <v>256</v>
      </c>
      <c r="AS4" s="214" t="s">
        <v>811</v>
      </c>
      <c r="AT4" s="224">
        <v>10</v>
      </c>
      <c r="AU4" s="146">
        <v>5</v>
      </c>
      <c r="AV4" s="31">
        <f>AU4/AT4</f>
        <v>0.5</v>
      </c>
      <c r="AW4" s="495">
        <v>25000000</v>
      </c>
      <c r="AX4" s="495">
        <v>23993333</v>
      </c>
      <c r="AY4" s="413" t="s">
        <v>256</v>
      </c>
      <c r="AZ4" s="157" t="s">
        <v>860</v>
      </c>
      <c r="BA4" s="188">
        <v>12</v>
      </c>
      <c r="BB4" s="146">
        <v>7</v>
      </c>
      <c r="BC4" s="31">
        <f>BB4/BA4</f>
        <v>0.58333333333333337</v>
      </c>
      <c r="BD4" s="474">
        <v>32000000</v>
      </c>
      <c r="BE4" s="474">
        <v>31440300</v>
      </c>
      <c r="BF4" s="413" t="s">
        <v>256</v>
      </c>
      <c r="BG4" s="157" t="s">
        <v>932</v>
      </c>
      <c r="BH4" s="188">
        <v>9</v>
      </c>
      <c r="BI4" s="72">
        <v>8</v>
      </c>
      <c r="BJ4" s="73">
        <f>(BI4/BH4)*1</f>
        <v>0.88888888888888884</v>
      </c>
      <c r="BK4" s="74" t="s">
        <v>504</v>
      </c>
      <c r="BL4" s="74">
        <v>6400000</v>
      </c>
      <c r="BM4" s="488" t="s">
        <v>256</v>
      </c>
      <c r="BN4" s="157" t="s">
        <v>505</v>
      </c>
      <c r="BO4" s="156">
        <v>9</v>
      </c>
      <c r="BP4" s="32">
        <v>8</v>
      </c>
      <c r="BQ4" s="31">
        <f>BP4/BO4</f>
        <v>0.88888888888888884</v>
      </c>
      <c r="BR4" s="243">
        <v>8655000</v>
      </c>
      <c r="BS4" s="58">
        <v>8655000</v>
      </c>
      <c r="BT4" s="413" t="s">
        <v>256</v>
      </c>
      <c r="BU4" s="178" t="s">
        <v>583</v>
      </c>
      <c r="BV4" s="72">
        <v>10</v>
      </c>
      <c r="BW4" s="32">
        <v>9</v>
      </c>
      <c r="BX4" s="31">
        <f>BW4/BV4</f>
        <v>0.9</v>
      </c>
      <c r="BY4" s="68">
        <f>34620000+26400000</f>
        <v>61020000</v>
      </c>
      <c r="BZ4" s="58">
        <v>28850000</v>
      </c>
      <c r="CA4" s="31">
        <f>BZ4/BY4</f>
        <v>0.47279580465421173</v>
      </c>
      <c r="CB4" s="321" t="s">
        <v>992</v>
      </c>
      <c r="CC4" s="82" t="s">
        <v>1044</v>
      </c>
      <c r="CD4" s="48">
        <v>12</v>
      </c>
      <c r="CE4" s="298">
        <v>9</v>
      </c>
      <c r="CF4" s="31">
        <f>CE4/CD4</f>
        <v>0.75</v>
      </c>
    </row>
    <row r="5" spans="1:84" ht="334.5" customHeight="1" x14ac:dyDescent="0.25">
      <c r="A5" s="668"/>
      <c r="B5" s="387"/>
      <c r="C5" s="672"/>
      <c r="D5" s="602"/>
      <c r="E5" s="413"/>
      <c r="F5" s="48" t="s">
        <v>15</v>
      </c>
      <c r="G5" s="48" t="s">
        <v>425</v>
      </c>
      <c r="H5" s="96" t="s">
        <v>993</v>
      </c>
      <c r="I5" s="48">
        <v>0</v>
      </c>
      <c r="J5" s="48">
        <v>12</v>
      </c>
      <c r="K5" s="412"/>
      <c r="L5" s="412"/>
      <c r="M5" s="412"/>
      <c r="N5" s="412"/>
      <c r="O5" s="412"/>
      <c r="P5" s="412"/>
      <c r="Q5" s="125">
        <v>12</v>
      </c>
      <c r="R5" s="104">
        <v>0</v>
      </c>
      <c r="S5" s="588"/>
      <c r="T5" s="588"/>
      <c r="U5" s="588"/>
      <c r="V5" s="588"/>
      <c r="W5" s="413"/>
      <c r="X5" s="105" t="s">
        <v>496</v>
      </c>
      <c r="Y5" s="104">
        <v>0</v>
      </c>
      <c r="Z5" s="102">
        <v>0</v>
      </c>
      <c r="AA5" s="31">
        <v>1</v>
      </c>
      <c r="AB5" s="68"/>
      <c r="AC5" s="58"/>
      <c r="AD5" s="413"/>
      <c r="AE5" s="266" t="s">
        <v>665</v>
      </c>
      <c r="AF5" s="236">
        <v>4</v>
      </c>
      <c r="AG5" s="96">
        <v>2</v>
      </c>
      <c r="AH5" s="31">
        <v>1</v>
      </c>
      <c r="AI5" s="474"/>
      <c r="AJ5" s="474"/>
      <c r="AK5" s="413"/>
      <c r="AL5" s="269" t="s">
        <v>729</v>
      </c>
      <c r="AM5" s="188">
        <v>4</v>
      </c>
      <c r="AN5" s="72">
        <v>4</v>
      </c>
      <c r="AO5" s="31">
        <v>1</v>
      </c>
      <c r="AP5" s="524"/>
      <c r="AQ5" s="524"/>
      <c r="AR5" s="413"/>
      <c r="AS5" s="214" t="s">
        <v>812</v>
      </c>
      <c r="AT5" s="224">
        <v>4</v>
      </c>
      <c r="AU5" s="146">
        <v>8</v>
      </c>
      <c r="AV5" s="31">
        <v>1</v>
      </c>
      <c r="AW5" s="492"/>
      <c r="AX5" s="492"/>
      <c r="AY5" s="413"/>
      <c r="AZ5" s="214" t="s">
        <v>861</v>
      </c>
      <c r="BA5" s="188">
        <v>8</v>
      </c>
      <c r="BB5" s="146">
        <v>8</v>
      </c>
      <c r="BC5" s="31">
        <v>1</v>
      </c>
      <c r="BD5" s="474"/>
      <c r="BE5" s="474"/>
      <c r="BF5" s="413"/>
      <c r="BG5" s="214" t="s">
        <v>861</v>
      </c>
      <c r="BH5" s="188">
        <v>8</v>
      </c>
      <c r="BI5" s="72">
        <v>7</v>
      </c>
      <c r="BJ5" s="75">
        <f t="shared" ref="BJ5:BJ8" si="0">(BI5/BH5)*1</f>
        <v>0.875</v>
      </c>
      <c r="BK5" s="74" t="s">
        <v>506</v>
      </c>
      <c r="BL5" s="74" t="s">
        <v>507</v>
      </c>
      <c r="BM5" s="488"/>
      <c r="BN5" s="158" t="s">
        <v>508</v>
      </c>
      <c r="BO5" s="156">
        <v>12</v>
      </c>
      <c r="BP5" s="32">
        <v>12</v>
      </c>
      <c r="BQ5" s="31">
        <v>1</v>
      </c>
      <c r="BR5" s="58">
        <v>8655000</v>
      </c>
      <c r="BS5" s="58">
        <v>8655000</v>
      </c>
      <c r="BT5" s="413"/>
      <c r="BU5" s="179" t="s">
        <v>584</v>
      </c>
      <c r="BV5" s="72">
        <v>10</v>
      </c>
      <c r="BW5" s="32">
        <v>0</v>
      </c>
      <c r="BX5" s="31">
        <f>BW5/BV5</f>
        <v>0</v>
      </c>
      <c r="BY5" s="316">
        <v>34620000</v>
      </c>
      <c r="BZ5" s="58">
        <f>28850000+6600000</f>
        <v>35450000</v>
      </c>
      <c r="CA5" s="31">
        <v>1</v>
      </c>
      <c r="CB5" s="96" t="s">
        <v>993</v>
      </c>
      <c r="CC5" s="345" t="s">
        <v>1096</v>
      </c>
      <c r="CD5" s="48">
        <v>12</v>
      </c>
      <c r="CE5" s="32">
        <v>0</v>
      </c>
      <c r="CF5" s="31">
        <f>CE5/CD5</f>
        <v>0</v>
      </c>
    </row>
    <row r="6" spans="1:84" ht="382.5" x14ac:dyDescent="0.25">
      <c r="A6" s="668"/>
      <c r="B6" s="387"/>
      <c r="C6" s="672"/>
      <c r="D6" s="602"/>
      <c r="E6" s="413"/>
      <c r="F6" s="48" t="s">
        <v>426</v>
      </c>
      <c r="G6" s="48" t="s">
        <v>16</v>
      </c>
      <c r="H6" s="96" t="s">
        <v>994</v>
      </c>
      <c r="I6" s="48" t="s">
        <v>427</v>
      </c>
      <c r="J6" s="64">
        <v>1</v>
      </c>
      <c r="K6" s="412"/>
      <c r="L6" s="412"/>
      <c r="M6" s="412"/>
      <c r="N6" s="412"/>
      <c r="O6" s="412"/>
      <c r="P6" s="412"/>
      <c r="Q6" s="126">
        <v>1</v>
      </c>
      <c r="R6" s="106">
        <v>0.01</v>
      </c>
      <c r="S6" s="588"/>
      <c r="T6" s="588"/>
      <c r="U6" s="588"/>
      <c r="V6" s="588"/>
      <c r="W6" s="413"/>
      <c r="X6" s="105" t="s">
        <v>497</v>
      </c>
      <c r="Y6" s="106">
        <v>0.01</v>
      </c>
      <c r="Z6" s="103">
        <v>0.05</v>
      </c>
      <c r="AA6" s="34">
        <f t="shared" ref="AA6:AA8" si="1">(Z6/Y6)*1</f>
        <v>5</v>
      </c>
      <c r="AB6" s="68"/>
      <c r="AC6" s="58"/>
      <c r="AD6" s="413"/>
      <c r="AE6" s="266" t="s">
        <v>665</v>
      </c>
      <c r="AF6" s="236">
        <v>5</v>
      </c>
      <c r="AG6" s="96">
        <v>5</v>
      </c>
      <c r="AH6" s="34">
        <f t="shared" ref="AH6:AH8" si="2">(AG6/AF6)*1</f>
        <v>1</v>
      </c>
      <c r="AI6" s="474"/>
      <c r="AJ6" s="474"/>
      <c r="AK6" s="413"/>
      <c r="AL6" s="269" t="s">
        <v>730</v>
      </c>
      <c r="AM6" s="215">
        <v>1</v>
      </c>
      <c r="AN6" s="138">
        <v>1</v>
      </c>
      <c r="AO6" s="34">
        <f t="shared" ref="AO6:AO8" si="3">(AN6/AM6)*1</f>
        <v>1</v>
      </c>
      <c r="AP6" s="524"/>
      <c r="AQ6" s="524"/>
      <c r="AR6" s="413"/>
      <c r="AS6" s="225" t="s">
        <v>813</v>
      </c>
      <c r="AT6" s="224">
        <v>100</v>
      </c>
      <c r="AU6" s="146">
        <v>100</v>
      </c>
      <c r="AV6" s="34">
        <f t="shared" ref="AV6:AV8" si="4">(AU6/AT6)*1</f>
        <v>1</v>
      </c>
      <c r="AW6" s="492"/>
      <c r="AX6" s="492"/>
      <c r="AY6" s="413"/>
      <c r="AZ6" s="225" t="s">
        <v>862</v>
      </c>
      <c r="BA6" s="215">
        <v>1</v>
      </c>
      <c r="BB6" s="147">
        <v>0.75</v>
      </c>
      <c r="BC6" s="34">
        <f t="shared" ref="BC6:BC8" si="5">(BB6/BA6)*1</f>
        <v>0.75</v>
      </c>
      <c r="BD6" s="474"/>
      <c r="BE6" s="474"/>
      <c r="BF6" s="413"/>
      <c r="BG6" s="126" t="s">
        <v>933</v>
      </c>
      <c r="BH6" s="189">
        <v>1</v>
      </c>
      <c r="BI6" s="76">
        <v>1</v>
      </c>
      <c r="BJ6" s="75">
        <f t="shared" si="0"/>
        <v>1</v>
      </c>
      <c r="BK6" s="14"/>
      <c r="BL6" s="74"/>
      <c r="BM6" s="488"/>
      <c r="BN6" s="160" t="s">
        <v>509</v>
      </c>
      <c r="BO6" s="159">
        <v>1</v>
      </c>
      <c r="BP6" s="33">
        <v>1</v>
      </c>
      <c r="BQ6" s="34">
        <f t="shared" ref="BQ6:BQ8" si="6">(BP6/BO6)*1</f>
        <v>1</v>
      </c>
      <c r="BR6" s="53">
        <v>8655000</v>
      </c>
      <c r="BS6" s="58">
        <v>8655000</v>
      </c>
      <c r="BT6" s="413"/>
      <c r="BU6" s="180" t="s">
        <v>585</v>
      </c>
      <c r="BV6" s="138">
        <v>1</v>
      </c>
      <c r="BW6" s="33">
        <v>1</v>
      </c>
      <c r="BX6" s="34">
        <f t="shared" ref="BX6:BX7" si="7">(BW6/BV6)*1</f>
        <v>1</v>
      </c>
      <c r="BY6" s="68">
        <v>34620000</v>
      </c>
      <c r="BZ6" s="58">
        <v>28850000</v>
      </c>
      <c r="CA6" s="31">
        <f>BZ6/BY6</f>
        <v>0.83333333333333337</v>
      </c>
      <c r="CB6" s="96" t="s">
        <v>994</v>
      </c>
      <c r="CC6" s="346" t="s">
        <v>1045</v>
      </c>
      <c r="CD6" s="64">
        <v>1</v>
      </c>
      <c r="CE6" s="33">
        <v>1</v>
      </c>
      <c r="CF6" s="34">
        <f>CE6/CD6</f>
        <v>1</v>
      </c>
    </row>
    <row r="7" spans="1:84" ht="64.5" customHeight="1" x14ac:dyDescent="0.25">
      <c r="A7" s="668"/>
      <c r="B7" s="387"/>
      <c r="C7" s="672"/>
      <c r="D7" s="602" t="s">
        <v>17</v>
      </c>
      <c r="E7" s="413" t="s">
        <v>18</v>
      </c>
      <c r="F7" s="48" t="s">
        <v>19</v>
      </c>
      <c r="G7" s="48" t="s">
        <v>428</v>
      </c>
      <c r="H7" s="96" t="s">
        <v>995</v>
      </c>
      <c r="I7" s="48">
        <v>0</v>
      </c>
      <c r="J7" s="48">
        <v>1</v>
      </c>
      <c r="K7" s="412"/>
      <c r="L7" s="412"/>
      <c r="M7" s="412"/>
      <c r="N7" s="412"/>
      <c r="O7" s="412"/>
      <c r="P7" s="412"/>
      <c r="Q7" s="127">
        <v>1</v>
      </c>
      <c r="R7" s="104">
        <v>1</v>
      </c>
      <c r="S7" s="588"/>
      <c r="T7" s="588"/>
      <c r="U7" s="588"/>
      <c r="V7" s="588"/>
      <c r="W7" s="413" t="s">
        <v>256</v>
      </c>
      <c r="X7" s="105" t="s">
        <v>498</v>
      </c>
      <c r="Y7" s="104">
        <v>1</v>
      </c>
      <c r="Z7" s="102">
        <v>1</v>
      </c>
      <c r="AA7" s="34">
        <f t="shared" si="1"/>
        <v>1</v>
      </c>
      <c r="AB7" s="467"/>
      <c r="AC7" s="467"/>
      <c r="AD7" s="413" t="s">
        <v>256</v>
      </c>
      <c r="AE7" s="266" t="s">
        <v>666</v>
      </c>
      <c r="AF7" s="236">
        <v>1</v>
      </c>
      <c r="AG7" s="96">
        <v>1</v>
      </c>
      <c r="AH7" s="34">
        <f t="shared" si="2"/>
        <v>1</v>
      </c>
      <c r="AI7" s="474" t="s">
        <v>695</v>
      </c>
      <c r="AJ7" s="474" t="s">
        <v>696</v>
      </c>
      <c r="AK7" s="413" t="s">
        <v>256</v>
      </c>
      <c r="AL7" s="269" t="s">
        <v>731</v>
      </c>
      <c r="AM7" s="188">
        <v>1</v>
      </c>
      <c r="AN7" s="72">
        <v>1</v>
      </c>
      <c r="AO7" s="34">
        <f t="shared" si="3"/>
        <v>1</v>
      </c>
      <c r="AP7" s="524" t="s">
        <v>783</v>
      </c>
      <c r="AQ7" s="524" t="s">
        <v>784</v>
      </c>
      <c r="AR7" s="413" t="s">
        <v>256</v>
      </c>
      <c r="AS7" s="214" t="s">
        <v>814</v>
      </c>
      <c r="AT7" s="224">
        <v>1</v>
      </c>
      <c r="AU7" s="146">
        <v>1</v>
      </c>
      <c r="AV7" s="34">
        <f t="shared" si="4"/>
        <v>1</v>
      </c>
      <c r="AW7" s="493">
        <v>25000000</v>
      </c>
      <c r="AX7" s="495">
        <v>23933333</v>
      </c>
      <c r="AY7" s="413" t="s">
        <v>256</v>
      </c>
      <c r="AZ7" s="214" t="s">
        <v>863</v>
      </c>
      <c r="BA7" s="188">
        <v>1</v>
      </c>
      <c r="BB7" s="146">
        <v>1</v>
      </c>
      <c r="BC7" s="34">
        <f t="shared" si="5"/>
        <v>1</v>
      </c>
      <c r="BD7" s="474"/>
      <c r="BE7" s="474"/>
      <c r="BF7" s="413" t="s">
        <v>256</v>
      </c>
      <c r="BG7" s="214" t="s">
        <v>934</v>
      </c>
      <c r="BH7" s="190">
        <v>1</v>
      </c>
      <c r="BI7" s="77">
        <v>1</v>
      </c>
      <c r="BJ7" s="75">
        <f t="shared" si="0"/>
        <v>1</v>
      </c>
      <c r="BK7" s="474"/>
      <c r="BL7" s="474"/>
      <c r="BM7" s="488" t="s">
        <v>256</v>
      </c>
      <c r="BN7" s="592" t="s">
        <v>510</v>
      </c>
      <c r="BO7" s="161">
        <v>1</v>
      </c>
      <c r="BP7" s="35">
        <v>1</v>
      </c>
      <c r="BQ7" s="34">
        <f t="shared" si="6"/>
        <v>1</v>
      </c>
      <c r="BR7" s="467">
        <v>8655000</v>
      </c>
      <c r="BS7" s="467">
        <v>8655000</v>
      </c>
      <c r="BT7" s="413" t="s">
        <v>256</v>
      </c>
      <c r="BU7" s="178" t="s">
        <v>586</v>
      </c>
      <c r="BV7" s="96">
        <v>1</v>
      </c>
      <c r="BW7" s="35">
        <v>1</v>
      </c>
      <c r="BX7" s="34">
        <f t="shared" si="7"/>
        <v>1</v>
      </c>
      <c r="BY7" s="454">
        <v>0</v>
      </c>
      <c r="BZ7" s="454">
        <v>0</v>
      </c>
      <c r="CA7" s="34">
        <v>0</v>
      </c>
      <c r="CB7" s="96" t="s">
        <v>995</v>
      </c>
      <c r="CC7" s="82" t="s">
        <v>1046</v>
      </c>
      <c r="CD7" s="48">
        <v>1</v>
      </c>
      <c r="CE7" s="35">
        <v>1</v>
      </c>
      <c r="CF7" s="34">
        <f>CE7/CD7</f>
        <v>1</v>
      </c>
    </row>
    <row r="8" spans="1:84" ht="409.5" customHeight="1" x14ac:dyDescent="0.25">
      <c r="A8" s="668"/>
      <c r="B8" s="387"/>
      <c r="C8" s="672"/>
      <c r="D8" s="602"/>
      <c r="E8" s="413"/>
      <c r="F8" s="48" t="s">
        <v>20</v>
      </c>
      <c r="G8" s="48" t="s">
        <v>21</v>
      </c>
      <c r="H8" s="96" t="s">
        <v>992</v>
      </c>
      <c r="I8" s="48" t="s">
        <v>995</v>
      </c>
      <c r="J8" s="48">
        <v>12</v>
      </c>
      <c r="K8" s="412"/>
      <c r="L8" s="412"/>
      <c r="M8" s="412"/>
      <c r="N8" s="412"/>
      <c r="O8" s="412"/>
      <c r="P8" s="412"/>
      <c r="Q8" s="125">
        <v>12</v>
      </c>
      <c r="R8" s="526">
        <v>3</v>
      </c>
      <c r="S8" s="588"/>
      <c r="T8" s="588"/>
      <c r="U8" s="588"/>
      <c r="V8" s="588"/>
      <c r="W8" s="413"/>
      <c r="X8" s="657" t="s">
        <v>499</v>
      </c>
      <c r="Y8" s="526">
        <v>3</v>
      </c>
      <c r="Z8" s="102">
        <v>2</v>
      </c>
      <c r="AA8" s="34">
        <f t="shared" si="1"/>
        <v>0.66666666666666663</v>
      </c>
      <c r="AB8" s="467"/>
      <c r="AC8" s="467"/>
      <c r="AD8" s="413"/>
      <c r="AE8" s="266" t="s">
        <v>667</v>
      </c>
      <c r="AF8" s="236">
        <v>12</v>
      </c>
      <c r="AG8" s="96">
        <v>12</v>
      </c>
      <c r="AH8" s="34">
        <f t="shared" si="2"/>
        <v>1</v>
      </c>
      <c r="AI8" s="474"/>
      <c r="AJ8" s="474"/>
      <c r="AK8" s="413"/>
      <c r="AL8" s="269" t="s">
        <v>732</v>
      </c>
      <c r="AM8" s="188">
        <v>12</v>
      </c>
      <c r="AN8" s="72">
        <v>12</v>
      </c>
      <c r="AO8" s="34">
        <f t="shared" si="3"/>
        <v>1</v>
      </c>
      <c r="AP8" s="524"/>
      <c r="AQ8" s="524"/>
      <c r="AR8" s="413"/>
      <c r="AS8" s="214" t="s">
        <v>815</v>
      </c>
      <c r="AT8" s="224">
        <v>12</v>
      </c>
      <c r="AU8" s="146">
        <v>12</v>
      </c>
      <c r="AV8" s="34">
        <f t="shared" si="4"/>
        <v>1</v>
      </c>
      <c r="AW8" s="493"/>
      <c r="AX8" s="492"/>
      <c r="AY8" s="413"/>
      <c r="AZ8" s="214" t="s">
        <v>864</v>
      </c>
      <c r="BA8" s="188">
        <v>12</v>
      </c>
      <c r="BB8" s="146">
        <v>12</v>
      </c>
      <c r="BC8" s="34">
        <f t="shared" si="5"/>
        <v>1</v>
      </c>
      <c r="BD8" s="474"/>
      <c r="BE8" s="474"/>
      <c r="BF8" s="413"/>
      <c r="BG8" s="214" t="s">
        <v>864</v>
      </c>
      <c r="BH8" s="188">
        <v>12</v>
      </c>
      <c r="BI8" s="72">
        <v>11</v>
      </c>
      <c r="BJ8" s="75">
        <f t="shared" si="0"/>
        <v>0.91666666666666663</v>
      </c>
      <c r="BK8" s="474"/>
      <c r="BL8" s="474"/>
      <c r="BM8" s="488"/>
      <c r="BN8" s="592"/>
      <c r="BO8" s="156">
        <v>11</v>
      </c>
      <c r="BP8" s="32">
        <v>11</v>
      </c>
      <c r="BQ8" s="34">
        <f t="shared" si="6"/>
        <v>1</v>
      </c>
      <c r="BR8" s="467"/>
      <c r="BS8" s="467"/>
      <c r="BT8" s="413"/>
      <c r="BU8" s="178" t="s">
        <v>587</v>
      </c>
      <c r="BV8" s="72">
        <v>11</v>
      </c>
      <c r="BW8" s="32">
        <v>11</v>
      </c>
      <c r="BX8" s="34">
        <v>1</v>
      </c>
      <c r="BY8" s="456"/>
      <c r="BZ8" s="456"/>
      <c r="CA8" s="34">
        <v>0</v>
      </c>
      <c r="CB8" s="96" t="s">
        <v>992</v>
      </c>
      <c r="CC8" s="347" t="s">
        <v>1047</v>
      </c>
      <c r="CD8" s="48">
        <v>12</v>
      </c>
      <c r="CE8" s="32">
        <v>11</v>
      </c>
      <c r="CF8" s="337">
        <f>CE8/CD8</f>
        <v>0.91666666666666663</v>
      </c>
    </row>
    <row r="9" spans="1:84" ht="47.25" customHeight="1" x14ac:dyDescent="0.25">
      <c r="A9" s="668"/>
      <c r="B9" s="387"/>
      <c r="C9" s="672"/>
      <c r="D9" s="602" t="s">
        <v>22</v>
      </c>
      <c r="E9" s="413" t="s">
        <v>23</v>
      </c>
      <c r="F9" s="412" t="s">
        <v>24</v>
      </c>
      <c r="G9" s="412" t="s">
        <v>25</v>
      </c>
      <c r="H9" s="488" t="s">
        <v>996</v>
      </c>
      <c r="I9" s="413">
        <v>0</v>
      </c>
      <c r="J9" s="411">
        <v>0.35</v>
      </c>
      <c r="K9" s="412" t="s">
        <v>296</v>
      </c>
      <c r="L9" s="412" t="s">
        <v>380</v>
      </c>
      <c r="M9" s="412" t="s">
        <v>368</v>
      </c>
      <c r="N9" s="412" t="s">
        <v>451</v>
      </c>
      <c r="O9" s="412" t="s">
        <v>369</v>
      </c>
      <c r="P9" s="412" t="s">
        <v>400</v>
      </c>
      <c r="Q9" s="662">
        <v>0.35</v>
      </c>
      <c r="R9" s="526"/>
      <c r="S9" s="589"/>
      <c r="T9" s="589"/>
      <c r="U9" s="589"/>
      <c r="V9" s="589"/>
      <c r="W9" s="412" t="s">
        <v>280</v>
      </c>
      <c r="X9" s="657"/>
      <c r="Y9" s="526"/>
      <c r="Z9" s="103">
        <v>0.03</v>
      </c>
      <c r="AA9" s="419">
        <v>0</v>
      </c>
      <c r="AB9" s="467"/>
      <c r="AC9" s="467"/>
      <c r="AD9" s="412" t="s">
        <v>280</v>
      </c>
      <c r="AE9" s="266" t="s">
        <v>668</v>
      </c>
      <c r="AF9" s="530">
        <v>0.13</v>
      </c>
      <c r="AG9" s="536">
        <v>0.13</v>
      </c>
      <c r="AH9" s="419">
        <v>0</v>
      </c>
      <c r="AI9" s="474" t="s">
        <v>697</v>
      </c>
      <c r="AJ9" s="474" t="s">
        <v>698</v>
      </c>
      <c r="AK9" s="412" t="s">
        <v>280</v>
      </c>
      <c r="AL9" s="472" t="s">
        <v>733</v>
      </c>
      <c r="AM9" s="650">
        <v>0.13</v>
      </c>
      <c r="AN9" s="476">
        <v>0</v>
      </c>
      <c r="AO9" s="419">
        <v>0</v>
      </c>
      <c r="AP9" s="474" t="s">
        <v>785</v>
      </c>
      <c r="AQ9" s="474" t="s">
        <v>786</v>
      </c>
      <c r="AR9" s="412" t="s">
        <v>280</v>
      </c>
      <c r="AS9" s="512" t="s">
        <v>816</v>
      </c>
      <c r="AT9" s="505">
        <v>0.15</v>
      </c>
      <c r="AU9" s="506">
        <v>0.15</v>
      </c>
      <c r="AV9" s="419">
        <v>0</v>
      </c>
      <c r="AW9" s="491" t="s">
        <v>856</v>
      </c>
      <c r="AX9" s="502" t="s">
        <v>857</v>
      </c>
      <c r="AY9" s="412" t="s">
        <v>280</v>
      </c>
      <c r="AZ9" s="644" t="s">
        <v>865</v>
      </c>
      <c r="BA9" s="480">
        <v>1</v>
      </c>
      <c r="BB9" s="481" t="s">
        <v>916</v>
      </c>
      <c r="BC9" s="419">
        <v>0</v>
      </c>
      <c r="BD9" s="444">
        <v>34750000</v>
      </c>
      <c r="BE9" s="444">
        <v>25081000</v>
      </c>
      <c r="BF9" s="412" t="s">
        <v>280</v>
      </c>
      <c r="BG9" s="446" t="s">
        <v>935</v>
      </c>
      <c r="BH9" s="632">
        <v>8.7499999999999994E-2</v>
      </c>
      <c r="BI9" s="481">
        <v>0</v>
      </c>
      <c r="BJ9" s="596">
        <v>0</v>
      </c>
      <c r="BK9" s="444"/>
      <c r="BL9" s="444"/>
      <c r="BM9" s="481" t="s">
        <v>280</v>
      </c>
      <c r="BN9" s="447" t="s">
        <v>511</v>
      </c>
      <c r="BO9" s="633">
        <v>8.7499999999999994E-2</v>
      </c>
      <c r="BP9" s="412">
        <v>0</v>
      </c>
      <c r="BQ9" s="419">
        <v>0</v>
      </c>
      <c r="BR9" s="467" t="s">
        <v>588</v>
      </c>
      <c r="BS9" s="467" t="s">
        <v>589</v>
      </c>
      <c r="BT9" s="412" t="s">
        <v>280</v>
      </c>
      <c r="BU9" s="486" t="s">
        <v>590</v>
      </c>
      <c r="BV9" s="476" t="s">
        <v>979</v>
      </c>
      <c r="BW9" s="412">
        <v>0</v>
      </c>
      <c r="BX9" s="419">
        <v>0</v>
      </c>
      <c r="BY9" s="454">
        <v>0</v>
      </c>
      <c r="BZ9" s="454">
        <v>0</v>
      </c>
      <c r="CA9" s="414">
        <v>0</v>
      </c>
      <c r="CB9" s="488" t="s">
        <v>996</v>
      </c>
      <c r="CC9" s="434" t="s">
        <v>1081</v>
      </c>
      <c r="CD9" s="411">
        <v>0.35</v>
      </c>
      <c r="CE9" s="395">
        <v>0</v>
      </c>
      <c r="CF9" s="419">
        <v>0</v>
      </c>
    </row>
    <row r="10" spans="1:84" ht="57.75" customHeight="1" x14ac:dyDescent="0.25">
      <c r="A10" s="668"/>
      <c r="B10" s="387"/>
      <c r="C10" s="672"/>
      <c r="D10" s="602"/>
      <c r="E10" s="413"/>
      <c r="F10" s="412"/>
      <c r="G10" s="412"/>
      <c r="H10" s="488"/>
      <c r="I10" s="413"/>
      <c r="J10" s="411"/>
      <c r="K10" s="412"/>
      <c r="L10" s="412"/>
      <c r="M10" s="412"/>
      <c r="N10" s="412"/>
      <c r="O10" s="412"/>
      <c r="P10" s="412"/>
      <c r="Q10" s="662"/>
      <c r="R10" s="107">
        <v>0</v>
      </c>
      <c r="S10" s="527"/>
      <c r="T10" s="527"/>
      <c r="U10" s="527"/>
      <c r="V10" s="527"/>
      <c r="W10" s="412"/>
      <c r="X10" s="105"/>
      <c r="Y10" s="107">
        <v>0</v>
      </c>
      <c r="Z10" s="102"/>
      <c r="AA10" s="419"/>
      <c r="AB10" s="467"/>
      <c r="AC10" s="467"/>
      <c r="AD10" s="412"/>
      <c r="AE10" s="266" t="s">
        <v>669</v>
      </c>
      <c r="AF10" s="530"/>
      <c r="AG10" s="536"/>
      <c r="AH10" s="419"/>
      <c r="AI10" s="474"/>
      <c r="AJ10" s="474"/>
      <c r="AK10" s="412"/>
      <c r="AL10" s="472"/>
      <c r="AM10" s="590"/>
      <c r="AN10" s="476"/>
      <c r="AO10" s="419"/>
      <c r="AP10" s="524" t="s">
        <v>787</v>
      </c>
      <c r="AQ10" s="524" t="s">
        <v>788</v>
      </c>
      <c r="AR10" s="412"/>
      <c r="AS10" s="512" t="s">
        <v>817</v>
      </c>
      <c r="AT10" s="504"/>
      <c r="AU10" s="492"/>
      <c r="AV10" s="419"/>
      <c r="AW10" s="492"/>
      <c r="AX10" s="493"/>
      <c r="AY10" s="412"/>
      <c r="AZ10" s="644" t="s">
        <v>817</v>
      </c>
      <c r="BA10" s="480"/>
      <c r="BB10" s="481"/>
      <c r="BC10" s="419"/>
      <c r="BD10" s="444"/>
      <c r="BE10" s="444"/>
      <c r="BF10" s="412"/>
      <c r="BG10" s="446"/>
      <c r="BH10" s="632"/>
      <c r="BI10" s="481"/>
      <c r="BJ10" s="596"/>
      <c r="BK10" s="444"/>
      <c r="BL10" s="444"/>
      <c r="BM10" s="481"/>
      <c r="BN10" s="447"/>
      <c r="BO10" s="633"/>
      <c r="BP10" s="412"/>
      <c r="BQ10" s="419"/>
      <c r="BR10" s="467"/>
      <c r="BS10" s="467"/>
      <c r="BT10" s="412"/>
      <c r="BU10" s="486"/>
      <c r="BV10" s="476"/>
      <c r="BW10" s="412"/>
      <c r="BX10" s="419"/>
      <c r="BY10" s="455"/>
      <c r="BZ10" s="455"/>
      <c r="CA10" s="415"/>
      <c r="CB10" s="488"/>
      <c r="CC10" s="435"/>
      <c r="CD10" s="411"/>
      <c r="CE10" s="396"/>
      <c r="CF10" s="419"/>
    </row>
    <row r="11" spans="1:84" ht="117.75" customHeight="1" thickBot="1" x14ac:dyDescent="0.3">
      <c r="A11" s="668"/>
      <c r="B11" s="387"/>
      <c r="C11" s="672"/>
      <c r="D11" s="602"/>
      <c r="E11" s="413"/>
      <c r="F11" s="412"/>
      <c r="G11" s="412"/>
      <c r="H11" s="573"/>
      <c r="I11" s="413"/>
      <c r="J11" s="411"/>
      <c r="K11" s="412"/>
      <c r="L11" s="412"/>
      <c r="M11" s="412"/>
      <c r="N11" s="412"/>
      <c r="O11" s="412"/>
      <c r="P11" s="412"/>
      <c r="Q11" s="662"/>
      <c r="R11" s="104" t="s">
        <v>41</v>
      </c>
      <c r="S11" s="589"/>
      <c r="T11" s="589"/>
      <c r="U11" s="589"/>
      <c r="V11" s="589"/>
      <c r="W11" s="412"/>
      <c r="X11" s="105"/>
      <c r="Y11" s="104" t="s">
        <v>41</v>
      </c>
      <c r="Z11" s="102" t="s">
        <v>37</v>
      </c>
      <c r="AA11" s="419"/>
      <c r="AB11" s="467"/>
      <c r="AC11" s="467"/>
      <c r="AD11" s="412"/>
      <c r="AE11" s="266" t="s">
        <v>669</v>
      </c>
      <c r="AF11" s="530"/>
      <c r="AG11" s="536"/>
      <c r="AH11" s="419"/>
      <c r="AI11" s="474"/>
      <c r="AJ11" s="474"/>
      <c r="AK11" s="412"/>
      <c r="AL11" s="472"/>
      <c r="AM11" s="590"/>
      <c r="AN11" s="476"/>
      <c r="AO11" s="419"/>
      <c r="AP11" s="524" t="s">
        <v>787</v>
      </c>
      <c r="AQ11" s="524" t="s">
        <v>788</v>
      </c>
      <c r="AR11" s="412"/>
      <c r="AS11" s="512" t="s">
        <v>817</v>
      </c>
      <c r="AT11" s="504"/>
      <c r="AU11" s="492"/>
      <c r="AV11" s="419"/>
      <c r="AW11" s="492"/>
      <c r="AX11" s="493"/>
      <c r="AY11" s="412"/>
      <c r="AZ11" s="644" t="s">
        <v>817</v>
      </c>
      <c r="BA11" s="480"/>
      <c r="BB11" s="481"/>
      <c r="BC11" s="419"/>
      <c r="BD11" s="444"/>
      <c r="BE11" s="444"/>
      <c r="BF11" s="412"/>
      <c r="BG11" s="446"/>
      <c r="BH11" s="632"/>
      <c r="BI11" s="481"/>
      <c r="BJ11" s="596"/>
      <c r="BK11" s="444"/>
      <c r="BL11" s="444"/>
      <c r="BM11" s="481"/>
      <c r="BN11" s="447"/>
      <c r="BO11" s="633"/>
      <c r="BP11" s="412"/>
      <c r="BQ11" s="419"/>
      <c r="BR11" s="467"/>
      <c r="BS11" s="467"/>
      <c r="BT11" s="412"/>
      <c r="BU11" s="486"/>
      <c r="BV11" s="476"/>
      <c r="BW11" s="412"/>
      <c r="BX11" s="419"/>
      <c r="BY11" s="455"/>
      <c r="BZ11" s="455"/>
      <c r="CA11" s="416"/>
      <c r="CB11" s="573"/>
      <c r="CC11" s="574"/>
      <c r="CD11" s="411"/>
      <c r="CE11" s="397"/>
      <c r="CF11" s="419"/>
    </row>
    <row r="12" spans="1:84" ht="409.6" customHeight="1" x14ac:dyDescent="0.25">
      <c r="A12" s="681" t="s">
        <v>26</v>
      </c>
      <c r="B12" s="413" t="s">
        <v>27</v>
      </c>
      <c r="C12" s="680" t="s">
        <v>28</v>
      </c>
      <c r="D12" s="128" t="s">
        <v>29</v>
      </c>
      <c r="E12" s="48" t="s">
        <v>30</v>
      </c>
      <c r="F12" s="48" t="s">
        <v>31</v>
      </c>
      <c r="G12" s="48" t="s">
        <v>32</v>
      </c>
      <c r="H12" s="321" t="s">
        <v>997</v>
      </c>
      <c r="I12" s="48" t="s">
        <v>33</v>
      </c>
      <c r="J12" s="48" t="s">
        <v>34</v>
      </c>
      <c r="K12" s="60" t="s">
        <v>296</v>
      </c>
      <c r="L12" s="60" t="s">
        <v>381</v>
      </c>
      <c r="M12" s="60" t="s">
        <v>297</v>
      </c>
      <c r="N12" s="60" t="s">
        <v>429</v>
      </c>
      <c r="O12" s="60" t="s">
        <v>298</v>
      </c>
      <c r="P12" s="60" t="s">
        <v>399</v>
      </c>
      <c r="Q12" s="129" t="s">
        <v>34</v>
      </c>
      <c r="R12" s="106" t="s">
        <v>41</v>
      </c>
      <c r="S12" s="589"/>
      <c r="T12" s="589"/>
      <c r="U12" s="589"/>
      <c r="V12" s="589"/>
      <c r="W12" s="412" t="s">
        <v>279</v>
      </c>
      <c r="X12" s="108"/>
      <c r="Y12" s="106" t="s">
        <v>41</v>
      </c>
      <c r="Z12" s="103" t="s">
        <v>37</v>
      </c>
      <c r="AA12" s="41">
        <v>0.77</v>
      </c>
      <c r="AB12" s="58"/>
      <c r="AC12" s="58"/>
      <c r="AD12" s="412" t="s">
        <v>279</v>
      </c>
      <c r="AE12" s="267" t="s">
        <v>670</v>
      </c>
      <c r="AF12" s="270">
        <v>0.125</v>
      </c>
      <c r="AG12" s="134">
        <v>0.22</v>
      </c>
      <c r="AH12" s="41">
        <v>0.64449999999999996</v>
      </c>
      <c r="AI12" s="474" t="s">
        <v>699</v>
      </c>
      <c r="AJ12" s="474" t="s">
        <v>700</v>
      </c>
      <c r="AK12" s="412" t="s">
        <v>279</v>
      </c>
      <c r="AL12" s="269" t="s">
        <v>734</v>
      </c>
      <c r="AM12" s="276">
        <v>0.12</v>
      </c>
      <c r="AN12" s="244">
        <v>0.22</v>
      </c>
      <c r="AO12" s="41">
        <v>0.77</v>
      </c>
      <c r="AP12" s="474" t="s">
        <v>789</v>
      </c>
      <c r="AQ12" s="474" t="s">
        <v>790</v>
      </c>
      <c r="AR12" s="412" t="s">
        <v>279</v>
      </c>
      <c r="AS12" s="520" t="s">
        <v>818</v>
      </c>
      <c r="AT12" s="277">
        <v>0.11700000000000001</v>
      </c>
      <c r="AU12" s="245">
        <v>0.18</v>
      </c>
      <c r="AV12" s="41">
        <v>0.64449999999999996</v>
      </c>
      <c r="AW12" s="246" t="s">
        <v>857</v>
      </c>
      <c r="AX12" s="246" t="s">
        <v>857</v>
      </c>
      <c r="AY12" s="412" t="s">
        <v>279</v>
      </c>
      <c r="AZ12" s="278" t="s">
        <v>866</v>
      </c>
      <c r="BA12" s="191">
        <v>0.17499999999999999</v>
      </c>
      <c r="BB12" s="84">
        <v>0.21</v>
      </c>
      <c r="BC12" s="41">
        <v>0.77</v>
      </c>
      <c r="BD12" s="444" t="s">
        <v>922</v>
      </c>
      <c r="BE12" s="444" t="s">
        <v>923</v>
      </c>
      <c r="BF12" s="412" t="s">
        <v>279</v>
      </c>
      <c r="BG12" s="286" t="s">
        <v>936</v>
      </c>
      <c r="BH12" s="191" t="s">
        <v>404</v>
      </c>
      <c r="BI12" s="90">
        <v>35.299999999999997</v>
      </c>
      <c r="BJ12" s="247">
        <v>0</v>
      </c>
      <c r="BK12" s="79"/>
      <c r="BL12" s="79"/>
      <c r="BM12" s="481" t="s">
        <v>279</v>
      </c>
      <c r="BN12" s="187" t="s">
        <v>512</v>
      </c>
      <c r="BO12" s="162" t="s">
        <v>404</v>
      </c>
      <c r="BP12" s="248" t="s">
        <v>422</v>
      </c>
      <c r="BQ12" s="41">
        <v>0.64449999999999996</v>
      </c>
      <c r="BR12" s="58">
        <v>0</v>
      </c>
      <c r="BS12" s="58">
        <v>0</v>
      </c>
      <c r="BT12" s="412" t="s">
        <v>279</v>
      </c>
      <c r="BU12" s="113" t="s">
        <v>591</v>
      </c>
      <c r="BV12" s="138">
        <v>0.13</v>
      </c>
      <c r="BW12" s="248" t="s">
        <v>464</v>
      </c>
      <c r="BX12" s="41">
        <v>0.4</v>
      </c>
      <c r="BY12" s="58">
        <f>8380975+175942526+66232642475</f>
        <v>66416965976</v>
      </c>
      <c r="BZ12" s="58">
        <f>6285731+
140457526+66232642475</f>
        <v>66379385732</v>
      </c>
      <c r="CA12" s="328">
        <f>BZ12/BY12</f>
        <v>0.9994341770442573</v>
      </c>
      <c r="CB12" s="321" t="s">
        <v>997</v>
      </c>
      <c r="CC12" s="348" t="s">
        <v>1082</v>
      </c>
      <c r="CD12" s="48" t="s">
        <v>34</v>
      </c>
      <c r="CE12" s="301" t="s">
        <v>464</v>
      </c>
      <c r="CF12" s="258">
        <v>0.33300000000000002</v>
      </c>
    </row>
    <row r="13" spans="1:84" s="2" customFormat="1" ht="383.25" customHeight="1" x14ac:dyDescent="0.25">
      <c r="A13" s="681"/>
      <c r="B13" s="413"/>
      <c r="C13" s="680"/>
      <c r="D13" s="130" t="s">
        <v>35</v>
      </c>
      <c r="E13" s="60" t="s">
        <v>36</v>
      </c>
      <c r="F13" s="60" t="s">
        <v>430</v>
      </c>
      <c r="G13" s="60" t="s">
        <v>431</v>
      </c>
      <c r="H13" s="96" t="s">
        <v>998</v>
      </c>
      <c r="I13" s="60" t="s">
        <v>37</v>
      </c>
      <c r="J13" s="60">
        <f>100*10*3</f>
        <v>3000</v>
      </c>
      <c r="K13" s="60" t="s">
        <v>296</v>
      </c>
      <c r="L13" s="60" t="s">
        <v>452</v>
      </c>
      <c r="M13" s="60" t="s">
        <v>370</v>
      </c>
      <c r="N13" s="60" t="s">
        <v>394</v>
      </c>
      <c r="O13" s="60" t="s">
        <v>371</v>
      </c>
      <c r="P13" s="60" t="s">
        <v>395</v>
      </c>
      <c r="Q13" s="129">
        <f>100*10*3</f>
        <v>3000</v>
      </c>
      <c r="R13" s="104" t="s">
        <v>41</v>
      </c>
      <c r="S13" s="589"/>
      <c r="T13" s="589"/>
      <c r="U13" s="589"/>
      <c r="V13" s="589"/>
      <c r="W13" s="412"/>
      <c r="X13" s="108"/>
      <c r="Y13" s="104" t="s">
        <v>41</v>
      </c>
      <c r="Z13" s="102" t="s">
        <v>37</v>
      </c>
      <c r="AA13" s="59">
        <v>0.33</v>
      </c>
      <c r="AB13" s="58"/>
      <c r="AC13" s="58"/>
      <c r="AD13" s="412"/>
      <c r="AE13" s="267" t="s">
        <v>671</v>
      </c>
      <c r="AF13" s="236">
        <v>300</v>
      </c>
      <c r="AG13" s="96">
        <v>714</v>
      </c>
      <c r="AH13" s="43">
        <v>0.33</v>
      </c>
      <c r="AI13" s="474"/>
      <c r="AJ13" s="474"/>
      <c r="AK13" s="412"/>
      <c r="AL13" s="269" t="s">
        <v>735</v>
      </c>
      <c r="AM13" s="188">
        <v>300</v>
      </c>
      <c r="AN13" s="72">
        <v>65</v>
      </c>
      <c r="AO13" s="59">
        <v>0.33</v>
      </c>
      <c r="AP13" s="524"/>
      <c r="AQ13" s="524"/>
      <c r="AR13" s="412"/>
      <c r="AS13" s="520"/>
      <c r="AT13" s="279">
        <v>3</v>
      </c>
      <c r="AU13" s="249">
        <v>3</v>
      </c>
      <c r="AV13" s="43">
        <v>0.33</v>
      </c>
      <c r="AW13" s="246" t="s">
        <v>857</v>
      </c>
      <c r="AX13" s="246" t="s">
        <v>857</v>
      </c>
      <c r="AY13" s="412"/>
      <c r="AZ13" s="280" t="s">
        <v>867</v>
      </c>
      <c r="BA13" s="192">
        <v>3</v>
      </c>
      <c r="BB13" s="80" t="s">
        <v>917</v>
      </c>
      <c r="BC13" s="59">
        <v>0.33</v>
      </c>
      <c r="BD13" s="444"/>
      <c r="BE13" s="444"/>
      <c r="BF13" s="412"/>
      <c r="BG13" s="286" t="s">
        <v>937</v>
      </c>
      <c r="BH13" s="192">
        <v>0</v>
      </c>
      <c r="BI13" s="80">
        <v>0</v>
      </c>
      <c r="BJ13" s="81">
        <v>1</v>
      </c>
      <c r="BK13" s="79"/>
      <c r="BL13" s="79"/>
      <c r="BM13" s="481"/>
      <c r="BN13" s="193" t="s">
        <v>513</v>
      </c>
      <c r="BO13" s="130">
        <v>0</v>
      </c>
      <c r="BP13" s="60">
        <v>0</v>
      </c>
      <c r="BQ13" s="57">
        <v>1</v>
      </c>
      <c r="BR13" s="58">
        <v>225000000</v>
      </c>
      <c r="BS13" s="58" t="s">
        <v>592</v>
      </c>
      <c r="BT13" s="412"/>
      <c r="BU13" s="163" t="s">
        <v>593</v>
      </c>
      <c r="BV13" s="370">
        <v>205</v>
      </c>
      <c r="BW13" s="367">
        <v>193</v>
      </c>
      <c r="BX13" s="59">
        <v>0.94099999999999995</v>
      </c>
      <c r="BY13" s="58">
        <f>8380975
+264860887+
1463333+3690000</f>
        <v>278395195</v>
      </c>
      <c r="BZ13" s="68">
        <f>3331245+196405887+630000+3960000</f>
        <v>204327132</v>
      </c>
      <c r="CA13" s="59">
        <f>BZ13/BY13</f>
        <v>0.73394633122170083</v>
      </c>
      <c r="CB13" s="96" t="s">
        <v>998</v>
      </c>
      <c r="CC13" s="82" t="s">
        <v>1095</v>
      </c>
      <c r="CD13" s="367">
        <f>100*10*3</f>
        <v>3000</v>
      </c>
      <c r="CE13" s="371">
        <v>981.5</v>
      </c>
      <c r="CF13" s="364">
        <f>CE13/CD13</f>
        <v>0.32716666666666666</v>
      </c>
    </row>
    <row r="14" spans="1:84" ht="93.75" customHeight="1" x14ac:dyDescent="0.25">
      <c r="A14" s="681"/>
      <c r="B14" s="413"/>
      <c r="C14" s="680"/>
      <c r="D14" s="602" t="s">
        <v>38</v>
      </c>
      <c r="E14" s="413" t="s">
        <v>39</v>
      </c>
      <c r="F14" s="413" t="s">
        <v>435</v>
      </c>
      <c r="G14" s="413" t="s">
        <v>40</v>
      </c>
      <c r="H14" s="451" t="s">
        <v>999</v>
      </c>
      <c r="I14" s="412" t="s">
        <v>37</v>
      </c>
      <c r="J14" s="412" t="s">
        <v>41</v>
      </c>
      <c r="K14" s="412" t="s">
        <v>292</v>
      </c>
      <c r="L14" s="412" t="s">
        <v>382</v>
      </c>
      <c r="M14" s="412" t="s">
        <v>372</v>
      </c>
      <c r="N14" s="412" t="s">
        <v>387</v>
      </c>
      <c r="O14" s="412" t="s">
        <v>373</v>
      </c>
      <c r="P14" s="412" t="s">
        <v>396</v>
      </c>
      <c r="Q14" s="554" t="s">
        <v>41</v>
      </c>
      <c r="R14" s="104" t="s">
        <v>41</v>
      </c>
      <c r="S14" s="589"/>
      <c r="T14" s="589"/>
      <c r="U14" s="589"/>
      <c r="V14" s="589"/>
      <c r="W14" s="412"/>
      <c r="X14" s="108"/>
      <c r="Y14" s="104" t="s">
        <v>41</v>
      </c>
      <c r="Z14" s="102" t="s">
        <v>37</v>
      </c>
      <c r="AA14" s="419">
        <v>0</v>
      </c>
      <c r="AB14" s="631"/>
      <c r="AC14" s="631"/>
      <c r="AD14" s="412"/>
      <c r="AE14" s="267" t="s">
        <v>671</v>
      </c>
      <c r="AF14" s="239">
        <v>0.06</v>
      </c>
      <c r="AG14" s="134">
        <v>0.06</v>
      </c>
      <c r="AH14" s="419">
        <v>0</v>
      </c>
      <c r="AI14" s="474"/>
      <c r="AJ14" s="474"/>
      <c r="AK14" s="412"/>
      <c r="AL14" s="225" t="s">
        <v>736</v>
      </c>
      <c r="AM14" s="215">
        <v>0.06</v>
      </c>
      <c r="AN14" s="72">
        <v>0</v>
      </c>
      <c r="AO14" s="419">
        <v>0</v>
      </c>
      <c r="AP14" s="524"/>
      <c r="AQ14" s="524"/>
      <c r="AR14" s="412"/>
      <c r="AS14" s="520"/>
      <c r="AT14" s="226">
        <v>0.06</v>
      </c>
      <c r="AU14" s="147">
        <v>0.04</v>
      </c>
      <c r="AV14" s="419">
        <v>0</v>
      </c>
      <c r="AW14" s="246" t="s">
        <v>857</v>
      </c>
      <c r="AX14" s="246" t="s">
        <v>857</v>
      </c>
      <c r="AY14" s="412"/>
      <c r="AZ14" s="227" t="s">
        <v>868</v>
      </c>
      <c r="BA14" s="480">
        <v>12</v>
      </c>
      <c r="BB14" s="481" t="s">
        <v>918</v>
      </c>
      <c r="BC14" s="419">
        <v>0</v>
      </c>
      <c r="BD14" s="444"/>
      <c r="BE14" s="444"/>
      <c r="BF14" s="412"/>
      <c r="BG14" s="647" t="s">
        <v>938</v>
      </c>
      <c r="BH14" s="609">
        <v>0.1</v>
      </c>
      <c r="BI14" s="481">
        <v>0</v>
      </c>
      <c r="BJ14" s="596">
        <v>0</v>
      </c>
      <c r="BK14" s="444"/>
      <c r="BL14" s="444"/>
      <c r="BM14" s="481"/>
      <c r="BN14" s="447" t="s">
        <v>514</v>
      </c>
      <c r="BO14" s="620">
        <v>0.1</v>
      </c>
      <c r="BP14" s="412">
        <v>0</v>
      </c>
      <c r="BQ14" s="419">
        <v>0</v>
      </c>
      <c r="BR14" s="631" t="s">
        <v>594</v>
      </c>
      <c r="BS14" s="631" t="s">
        <v>595</v>
      </c>
      <c r="BT14" s="412"/>
      <c r="BU14" s="486" t="s">
        <v>596</v>
      </c>
      <c r="BV14" s="475">
        <v>0.1</v>
      </c>
      <c r="BW14" s="412">
        <v>0</v>
      </c>
      <c r="BX14" s="419">
        <v>0</v>
      </c>
      <c r="BY14" s="571">
        <v>30000000</v>
      </c>
      <c r="BZ14" s="571">
        <v>30000000</v>
      </c>
      <c r="CA14" s="414">
        <f>BZ14/BY14</f>
        <v>1</v>
      </c>
      <c r="CB14" s="451" t="s">
        <v>999</v>
      </c>
      <c r="CC14" s="434" t="s">
        <v>1048</v>
      </c>
      <c r="CD14" s="412">
        <v>0</v>
      </c>
      <c r="CE14" s="395">
        <v>0</v>
      </c>
      <c r="CF14" s="419">
        <v>0</v>
      </c>
    </row>
    <row r="15" spans="1:84" ht="73.5" customHeight="1" x14ac:dyDescent="0.25">
      <c r="A15" s="681"/>
      <c r="B15" s="413"/>
      <c r="C15" s="680"/>
      <c r="D15" s="602"/>
      <c r="E15" s="413"/>
      <c r="F15" s="413"/>
      <c r="G15" s="413"/>
      <c r="H15" s="460"/>
      <c r="I15" s="412"/>
      <c r="J15" s="412"/>
      <c r="K15" s="412"/>
      <c r="L15" s="412"/>
      <c r="M15" s="412"/>
      <c r="N15" s="412"/>
      <c r="O15" s="412"/>
      <c r="P15" s="412"/>
      <c r="Q15" s="554"/>
      <c r="R15" s="104" t="s">
        <v>41</v>
      </c>
      <c r="S15" s="589"/>
      <c r="T15" s="589"/>
      <c r="U15" s="589"/>
      <c r="V15" s="589"/>
      <c r="W15" s="412"/>
      <c r="X15" s="108"/>
      <c r="Y15" s="104" t="s">
        <v>41</v>
      </c>
      <c r="Z15" s="102" t="s">
        <v>37</v>
      </c>
      <c r="AA15" s="419"/>
      <c r="AB15" s="631"/>
      <c r="AC15" s="631"/>
      <c r="AD15" s="412"/>
      <c r="AE15" s="267" t="s">
        <v>671</v>
      </c>
      <c r="AF15" s="236" t="s">
        <v>692</v>
      </c>
      <c r="AG15" s="96" t="s">
        <v>692</v>
      </c>
      <c r="AH15" s="419"/>
      <c r="AI15" s="74" t="s">
        <v>701</v>
      </c>
      <c r="AJ15" s="74" t="s">
        <v>701</v>
      </c>
      <c r="AK15" s="412"/>
      <c r="AL15" s="512" t="s">
        <v>737</v>
      </c>
      <c r="AM15" s="236" t="s">
        <v>692</v>
      </c>
      <c r="AN15" s="96" t="s">
        <v>692</v>
      </c>
      <c r="AO15" s="419"/>
      <c r="AP15" s="74" t="s">
        <v>701</v>
      </c>
      <c r="AQ15" s="74" t="s">
        <v>701</v>
      </c>
      <c r="AR15" s="412"/>
      <c r="AS15" s="472" t="s">
        <v>819</v>
      </c>
      <c r="AT15" s="228">
        <v>649</v>
      </c>
      <c r="AU15" s="146">
        <v>649</v>
      </c>
      <c r="AV15" s="419"/>
      <c r="AW15" s="246" t="s">
        <v>857</v>
      </c>
      <c r="AX15" s="246" t="s">
        <v>857</v>
      </c>
      <c r="AY15" s="412"/>
      <c r="AZ15" s="496" t="s">
        <v>869</v>
      </c>
      <c r="BA15" s="480"/>
      <c r="BB15" s="481"/>
      <c r="BC15" s="419"/>
      <c r="BD15" s="444"/>
      <c r="BE15" s="444"/>
      <c r="BF15" s="412"/>
      <c r="BG15" s="647"/>
      <c r="BH15" s="480"/>
      <c r="BI15" s="481"/>
      <c r="BJ15" s="596"/>
      <c r="BK15" s="444"/>
      <c r="BL15" s="444"/>
      <c r="BM15" s="481"/>
      <c r="BN15" s="447"/>
      <c r="BO15" s="630"/>
      <c r="BP15" s="412"/>
      <c r="BQ15" s="419"/>
      <c r="BR15" s="631"/>
      <c r="BS15" s="631"/>
      <c r="BT15" s="412"/>
      <c r="BU15" s="486"/>
      <c r="BV15" s="476"/>
      <c r="BW15" s="412"/>
      <c r="BX15" s="419"/>
      <c r="BY15" s="572"/>
      <c r="BZ15" s="572"/>
      <c r="CA15" s="428"/>
      <c r="CB15" s="460"/>
      <c r="CC15" s="457"/>
      <c r="CD15" s="412"/>
      <c r="CE15" s="398"/>
      <c r="CF15" s="419"/>
    </row>
    <row r="16" spans="1:84" ht="107.25" customHeight="1" x14ac:dyDescent="0.25">
      <c r="A16" s="681"/>
      <c r="B16" s="413"/>
      <c r="C16" s="680"/>
      <c r="D16" s="128" t="s">
        <v>42</v>
      </c>
      <c r="E16" s="60" t="s">
        <v>43</v>
      </c>
      <c r="F16" s="60" t="s">
        <v>44</v>
      </c>
      <c r="G16" s="60" t="s">
        <v>45</v>
      </c>
      <c r="H16" s="96" t="s">
        <v>1000</v>
      </c>
      <c r="I16" s="62">
        <v>0.8</v>
      </c>
      <c r="J16" s="48" t="s">
        <v>436</v>
      </c>
      <c r="K16" s="412" t="s">
        <v>296</v>
      </c>
      <c r="L16" s="412" t="s">
        <v>299</v>
      </c>
      <c r="M16" s="412">
        <v>3602018</v>
      </c>
      <c r="N16" s="412" t="s">
        <v>300</v>
      </c>
      <c r="O16" s="412">
        <v>360201800</v>
      </c>
      <c r="P16" s="412" t="s">
        <v>301</v>
      </c>
      <c r="Q16" s="125" t="s">
        <v>436</v>
      </c>
      <c r="R16" s="104" t="s">
        <v>41</v>
      </c>
      <c r="S16" s="589"/>
      <c r="T16" s="589"/>
      <c r="U16" s="589"/>
      <c r="V16" s="589"/>
      <c r="W16" s="412" t="s">
        <v>453</v>
      </c>
      <c r="X16" s="108"/>
      <c r="Y16" s="104" t="s">
        <v>41</v>
      </c>
      <c r="Z16" s="102" t="s">
        <v>37</v>
      </c>
      <c r="AA16" s="63" t="e">
        <f>Z16/Y16</f>
        <v>#VALUE!</v>
      </c>
      <c r="AB16" s="467"/>
      <c r="AC16" s="467"/>
      <c r="AD16" s="412" t="s">
        <v>453</v>
      </c>
      <c r="AE16" s="267" t="s">
        <v>671</v>
      </c>
      <c r="AF16" s="236" t="s">
        <v>692</v>
      </c>
      <c r="AG16" s="96" t="s">
        <v>692</v>
      </c>
      <c r="AH16" s="63" t="e">
        <f>AG16/AF16</f>
        <v>#VALUE!</v>
      </c>
      <c r="AI16" s="74" t="s">
        <v>701</v>
      </c>
      <c r="AJ16" s="74" t="s">
        <v>701</v>
      </c>
      <c r="AK16" s="412" t="s">
        <v>453</v>
      </c>
      <c r="AL16" s="512"/>
      <c r="AM16" s="236" t="s">
        <v>692</v>
      </c>
      <c r="AN16" s="96" t="s">
        <v>692</v>
      </c>
      <c r="AO16" s="63" t="e">
        <f>AN16/AM16</f>
        <v>#VALUE!</v>
      </c>
      <c r="AP16" s="74" t="s">
        <v>701</v>
      </c>
      <c r="AQ16" s="74" t="s">
        <v>701</v>
      </c>
      <c r="AR16" s="412" t="s">
        <v>453</v>
      </c>
      <c r="AS16" s="472"/>
      <c r="AT16" s="224">
        <v>155</v>
      </c>
      <c r="AU16" s="146">
        <v>155</v>
      </c>
      <c r="AV16" s="63">
        <f>AU16/AT16</f>
        <v>1</v>
      </c>
      <c r="AW16" s="246" t="s">
        <v>857</v>
      </c>
      <c r="AX16" s="246" t="s">
        <v>857</v>
      </c>
      <c r="AY16" s="412" t="s">
        <v>453</v>
      </c>
      <c r="AZ16" s="496"/>
      <c r="BA16" s="192">
        <v>253</v>
      </c>
      <c r="BB16" s="80">
        <v>253</v>
      </c>
      <c r="BC16" s="63">
        <f>BB16/BA16</f>
        <v>1</v>
      </c>
      <c r="BD16" s="444">
        <v>150000000</v>
      </c>
      <c r="BE16" s="444">
        <v>150000000</v>
      </c>
      <c r="BF16" s="412" t="s">
        <v>453</v>
      </c>
      <c r="BG16" s="622" t="s">
        <v>939</v>
      </c>
      <c r="BH16" s="192">
        <v>1741</v>
      </c>
      <c r="BI16" s="80">
        <v>1741</v>
      </c>
      <c r="BJ16" s="83">
        <v>1</v>
      </c>
      <c r="BK16" s="444"/>
      <c r="BL16" s="444"/>
      <c r="BM16" s="481" t="s">
        <v>515</v>
      </c>
      <c r="BN16" s="622" t="s">
        <v>516</v>
      </c>
      <c r="BO16" s="130">
        <v>1741</v>
      </c>
      <c r="BP16" s="60">
        <v>1523</v>
      </c>
      <c r="BQ16" s="63">
        <f>BP16/BO16</f>
        <v>0.87478460654796097</v>
      </c>
      <c r="BR16" s="467"/>
      <c r="BS16" s="467"/>
      <c r="BT16" s="412" t="s">
        <v>453</v>
      </c>
      <c r="BU16" s="621" t="s">
        <v>597</v>
      </c>
      <c r="BV16" s="99">
        <v>1741</v>
      </c>
      <c r="BW16" s="60">
        <v>1925</v>
      </c>
      <c r="BX16" s="318">
        <v>1</v>
      </c>
      <c r="BY16" s="454">
        <v>0</v>
      </c>
      <c r="BZ16" s="454">
        <v>0</v>
      </c>
      <c r="CA16" s="300">
        <v>0</v>
      </c>
      <c r="CB16" s="96" t="s">
        <v>1000</v>
      </c>
      <c r="CC16" s="567" t="s">
        <v>1049</v>
      </c>
      <c r="CD16" s="48" t="s">
        <v>436</v>
      </c>
      <c r="CE16" s="299">
        <v>5959</v>
      </c>
      <c r="CF16" s="63">
        <v>1</v>
      </c>
    </row>
    <row r="17" spans="1:84" ht="71.25" customHeight="1" x14ac:dyDescent="0.25">
      <c r="A17" s="681"/>
      <c r="B17" s="413"/>
      <c r="C17" s="680"/>
      <c r="D17" s="128" t="s">
        <v>46</v>
      </c>
      <c r="E17" s="60" t="s">
        <v>47</v>
      </c>
      <c r="F17" s="60" t="s">
        <v>48</v>
      </c>
      <c r="G17" s="60" t="s">
        <v>45</v>
      </c>
      <c r="H17" s="96" t="s">
        <v>1000</v>
      </c>
      <c r="I17" s="60" t="s">
        <v>37</v>
      </c>
      <c r="J17" s="48" t="s">
        <v>436</v>
      </c>
      <c r="K17" s="412"/>
      <c r="L17" s="412"/>
      <c r="M17" s="412"/>
      <c r="N17" s="412"/>
      <c r="O17" s="412"/>
      <c r="P17" s="412"/>
      <c r="Q17" s="125" t="s">
        <v>436</v>
      </c>
      <c r="R17" s="106" t="s">
        <v>41</v>
      </c>
      <c r="S17" s="589"/>
      <c r="T17" s="589"/>
      <c r="U17" s="589"/>
      <c r="V17" s="589"/>
      <c r="W17" s="412"/>
      <c r="X17" s="108"/>
      <c r="Y17" s="106" t="s">
        <v>41</v>
      </c>
      <c r="Z17" s="103">
        <v>0.01</v>
      </c>
      <c r="AA17" s="63" t="e">
        <f>Z17/Y17</f>
        <v>#VALUE!</v>
      </c>
      <c r="AB17" s="467"/>
      <c r="AC17" s="467"/>
      <c r="AD17" s="412"/>
      <c r="AE17" s="267" t="s">
        <v>672</v>
      </c>
      <c r="AF17" s="270">
        <v>4.0000000000000001E-3</v>
      </c>
      <c r="AG17" s="134">
        <v>4.0000000000000001E-3</v>
      </c>
      <c r="AH17" s="63">
        <f>AG17/AF17</f>
        <v>1</v>
      </c>
      <c r="AI17" s="474">
        <v>16500000</v>
      </c>
      <c r="AJ17" s="474">
        <v>16500000</v>
      </c>
      <c r="AK17" s="412"/>
      <c r="AL17" s="512" t="s">
        <v>738</v>
      </c>
      <c r="AM17" s="238">
        <v>4.0000000000000001E-3</v>
      </c>
      <c r="AN17" s="139" t="s">
        <v>41</v>
      </c>
      <c r="AO17" s="63" t="e">
        <f>AN17/AM17</f>
        <v>#VALUE!</v>
      </c>
      <c r="AP17" s="524" t="s">
        <v>791</v>
      </c>
      <c r="AQ17" s="524" t="s">
        <v>701</v>
      </c>
      <c r="AR17" s="412"/>
      <c r="AS17" s="521" t="s">
        <v>820</v>
      </c>
      <c r="AT17" s="229">
        <v>4.0000000000000001E-3</v>
      </c>
      <c r="AU17" s="148">
        <v>3.5000000000000001E-3</v>
      </c>
      <c r="AV17" s="63">
        <f>AU17/AT17</f>
        <v>0.875</v>
      </c>
      <c r="AW17" s="493" t="s">
        <v>857</v>
      </c>
      <c r="AX17" s="493" t="s">
        <v>857</v>
      </c>
      <c r="AY17" s="412"/>
      <c r="AZ17" s="497" t="s">
        <v>870</v>
      </c>
      <c r="BA17" s="192">
        <v>253</v>
      </c>
      <c r="BB17" s="80">
        <v>253</v>
      </c>
      <c r="BC17" s="63">
        <f>BB17/BA17</f>
        <v>1</v>
      </c>
      <c r="BD17" s="444"/>
      <c r="BE17" s="444"/>
      <c r="BF17" s="412"/>
      <c r="BG17" s="622"/>
      <c r="BH17" s="192">
        <v>1741</v>
      </c>
      <c r="BI17" s="80">
        <v>1741</v>
      </c>
      <c r="BJ17" s="83">
        <v>1</v>
      </c>
      <c r="BK17" s="444"/>
      <c r="BL17" s="444"/>
      <c r="BM17" s="481"/>
      <c r="BN17" s="622"/>
      <c r="BO17" s="130">
        <v>1741</v>
      </c>
      <c r="BP17" s="60">
        <v>1523</v>
      </c>
      <c r="BQ17" s="63">
        <f>BP17/BO17</f>
        <v>0.87478460654796097</v>
      </c>
      <c r="BR17" s="467"/>
      <c r="BS17" s="467"/>
      <c r="BT17" s="412"/>
      <c r="BU17" s="621"/>
      <c r="BV17" s="99">
        <v>1741</v>
      </c>
      <c r="BW17" s="60">
        <v>1925</v>
      </c>
      <c r="BX17" s="318">
        <v>1</v>
      </c>
      <c r="BY17" s="456"/>
      <c r="BZ17" s="456"/>
      <c r="CA17" s="300">
        <v>0</v>
      </c>
      <c r="CB17" s="96" t="s">
        <v>1000</v>
      </c>
      <c r="CC17" s="569"/>
      <c r="CD17" s="48" t="s">
        <v>436</v>
      </c>
      <c r="CE17" s="299">
        <v>5959</v>
      </c>
      <c r="CF17" s="318">
        <v>1</v>
      </c>
    </row>
    <row r="18" spans="1:84" ht="147.75" customHeight="1" x14ac:dyDescent="0.25">
      <c r="A18" s="681"/>
      <c r="B18" s="413"/>
      <c r="C18" s="680"/>
      <c r="D18" s="602" t="s">
        <v>49</v>
      </c>
      <c r="E18" s="412" t="s">
        <v>50</v>
      </c>
      <c r="F18" s="60" t="s">
        <v>51</v>
      </c>
      <c r="G18" s="60" t="s">
        <v>52</v>
      </c>
      <c r="H18" s="96" t="s">
        <v>1001</v>
      </c>
      <c r="I18" s="60" t="s">
        <v>53</v>
      </c>
      <c r="J18" s="48" t="s">
        <v>54</v>
      </c>
      <c r="K18" s="412" t="s">
        <v>437</v>
      </c>
      <c r="L18" s="412" t="s">
        <v>383</v>
      </c>
      <c r="M18" s="412" t="s">
        <v>302</v>
      </c>
      <c r="N18" s="412" t="s">
        <v>438</v>
      </c>
      <c r="O18" s="412" t="s">
        <v>303</v>
      </c>
      <c r="P18" s="412" t="s">
        <v>397</v>
      </c>
      <c r="Q18" s="125" t="s">
        <v>54</v>
      </c>
      <c r="R18" s="106" t="s">
        <v>41</v>
      </c>
      <c r="S18" s="589"/>
      <c r="T18" s="589"/>
      <c r="U18" s="589"/>
      <c r="V18" s="589"/>
      <c r="W18" s="412" t="s">
        <v>281</v>
      </c>
      <c r="X18" s="108"/>
      <c r="Y18" s="106" t="s">
        <v>41</v>
      </c>
      <c r="Z18" s="103">
        <v>0.05</v>
      </c>
      <c r="AA18" s="41">
        <v>1</v>
      </c>
      <c r="AB18" s="628"/>
      <c r="AC18" s="628"/>
      <c r="AD18" s="412" t="s">
        <v>281</v>
      </c>
      <c r="AE18" s="267" t="s">
        <v>671</v>
      </c>
      <c r="AF18" s="517">
        <v>7.0000000000000001E-3</v>
      </c>
      <c r="AG18" s="518">
        <v>0.109</v>
      </c>
      <c r="AH18" s="41">
        <v>1</v>
      </c>
      <c r="AI18" s="474"/>
      <c r="AJ18" s="474"/>
      <c r="AK18" s="412" t="s">
        <v>281</v>
      </c>
      <c r="AL18" s="512"/>
      <c r="AM18" s="653">
        <v>7.0000000000000001E-3</v>
      </c>
      <c r="AN18" s="654" t="s">
        <v>41</v>
      </c>
      <c r="AO18" s="41">
        <v>1</v>
      </c>
      <c r="AP18" s="524"/>
      <c r="AQ18" s="524"/>
      <c r="AR18" s="412" t="s">
        <v>281</v>
      </c>
      <c r="AS18" s="521"/>
      <c r="AT18" s="513">
        <v>0.1</v>
      </c>
      <c r="AU18" s="514">
        <v>0.08</v>
      </c>
      <c r="AV18" s="41">
        <v>1</v>
      </c>
      <c r="AW18" s="493"/>
      <c r="AX18" s="493"/>
      <c r="AY18" s="412" t="s">
        <v>281</v>
      </c>
      <c r="AZ18" s="497"/>
      <c r="BA18" s="191">
        <v>4.0000000000000001E-3</v>
      </c>
      <c r="BB18" s="78">
        <v>4.3999999999999997E-2</v>
      </c>
      <c r="BC18" s="41">
        <v>1</v>
      </c>
      <c r="BD18" s="645">
        <v>115272000</v>
      </c>
      <c r="BE18" s="645">
        <v>57636000</v>
      </c>
      <c r="BF18" s="412" t="s">
        <v>281</v>
      </c>
      <c r="BG18" s="646"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473" t="s">
        <v>402</v>
      </c>
      <c r="BI18" s="78">
        <v>0.03</v>
      </c>
      <c r="BJ18" s="247">
        <v>1</v>
      </c>
      <c r="BK18" s="624" t="s">
        <v>517</v>
      </c>
      <c r="BL18" s="624">
        <v>1980000</v>
      </c>
      <c r="BM18" s="481" t="s">
        <v>281</v>
      </c>
      <c r="BN18" s="625" t="s">
        <v>518</v>
      </c>
      <c r="BO18" s="627" t="s">
        <v>402</v>
      </c>
      <c r="BP18" s="38">
        <v>0.03</v>
      </c>
      <c r="BQ18" s="41">
        <v>1</v>
      </c>
      <c r="BR18" s="628" t="s">
        <v>466</v>
      </c>
      <c r="BS18" s="628" t="s">
        <v>467</v>
      </c>
      <c r="BT18" s="412" t="s">
        <v>281</v>
      </c>
      <c r="BU18" s="629" t="s">
        <v>598</v>
      </c>
      <c r="BV18" s="380" t="s">
        <v>980</v>
      </c>
      <c r="BW18" s="38">
        <v>0.03</v>
      </c>
      <c r="BX18" s="41">
        <v>1</v>
      </c>
      <c r="BY18" s="558">
        <f>163000000+
31500000</f>
        <v>194500000</v>
      </c>
      <c r="BZ18" s="558">
        <f>163000000+63000000</f>
        <v>226000000</v>
      </c>
      <c r="CA18" s="570">
        <v>1</v>
      </c>
      <c r="CB18" s="96" t="s">
        <v>1001</v>
      </c>
      <c r="CC18" s="561" t="s">
        <v>1050</v>
      </c>
      <c r="CD18" s="48" t="s">
        <v>54</v>
      </c>
      <c r="CE18" s="38">
        <v>0.03</v>
      </c>
      <c r="CF18" s="329">
        <v>1</v>
      </c>
    </row>
    <row r="19" spans="1:84" ht="93.75" customHeight="1" x14ac:dyDescent="0.25">
      <c r="A19" s="681"/>
      <c r="B19" s="413"/>
      <c r="C19" s="680"/>
      <c r="D19" s="602"/>
      <c r="E19" s="412"/>
      <c r="F19" s="412" t="s">
        <v>55</v>
      </c>
      <c r="G19" s="412" t="s">
        <v>52</v>
      </c>
      <c r="H19" s="451" t="s">
        <v>1002</v>
      </c>
      <c r="I19" s="412" t="s">
        <v>56</v>
      </c>
      <c r="J19" s="413" t="s">
        <v>57</v>
      </c>
      <c r="K19" s="412"/>
      <c r="L19" s="412"/>
      <c r="M19" s="412"/>
      <c r="N19" s="412"/>
      <c r="O19" s="412"/>
      <c r="P19" s="412"/>
      <c r="Q19" s="554" t="s">
        <v>57</v>
      </c>
      <c r="R19" s="104" t="s">
        <v>41</v>
      </c>
      <c r="S19" s="589"/>
      <c r="T19" s="589"/>
      <c r="U19" s="589"/>
      <c r="V19" s="589"/>
      <c r="W19" s="412"/>
      <c r="X19" s="105"/>
      <c r="Y19" s="104" t="s">
        <v>41</v>
      </c>
      <c r="Z19" s="102">
        <v>1</v>
      </c>
      <c r="AA19" s="419">
        <v>0.97219999999999995</v>
      </c>
      <c r="AB19" s="628"/>
      <c r="AC19" s="628"/>
      <c r="AD19" s="412"/>
      <c r="AE19" s="266" t="s">
        <v>673</v>
      </c>
      <c r="AF19" s="517"/>
      <c r="AG19" s="518"/>
      <c r="AH19" s="419">
        <v>0.97219999999999995</v>
      </c>
      <c r="AI19" s="474"/>
      <c r="AJ19" s="474"/>
      <c r="AK19" s="412"/>
      <c r="AL19" s="512"/>
      <c r="AM19" s="653"/>
      <c r="AN19" s="654"/>
      <c r="AO19" s="419">
        <v>0.97219999999999995</v>
      </c>
      <c r="AP19" s="524"/>
      <c r="AQ19" s="524"/>
      <c r="AR19" s="412"/>
      <c r="AS19" s="521"/>
      <c r="AT19" s="513"/>
      <c r="AU19" s="514"/>
      <c r="AV19" s="419">
        <v>0.97219999999999995</v>
      </c>
      <c r="AW19" s="493"/>
      <c r="AX19" s="493"/>
      <c r="AY19" s="412"/>
      <c r="AZ19" s="497"/>
      <c r="BA19" s="473">
        <v>7.0000000000000001E-3</v>
      </c>
      <c r="BB19" s="601">
        <v>8.6999999999999994E-2</v>
      </c>
      <c r="BC19" s="419">
        <v>0.97219999999999995</v>
      </c>
      <c r="BD19" s="645"/>
      <c r="BE19" s="645"/>
      <c r="BF19" s="412"/>
      <c r="BG19" s="646"/>
      <c r="BH19" s="473"/>
      <c r="BI19" s="601" t="s">
        <v>413</v>
      </c>
      <c r="BJ19" s="489">
        <v>0.97219999999999995</v>
      </c>
      <c r="BK19" s="624"/>
      <c r="BL19" s="624"/>
      <c r="BM19" s="481"/>
      <c r="BN19" s="626"/>
      <c r="BO19" s="627"/>
      <c r="BP19" s="564" t="s">
        <v>413</v>
      </c>
      <c r="BQ19" s="419">
        <v>0.97219999999999995</v>
      </c>
      <c r="BR19" s="628"/>
      <c r="BS19" s="628"/>
      <c r="BT19" s="412"/>
      <c r="BU19" s="629"/>
      <c r="BV19" s="575">
        <v>7.0000000000000007E-2</v>
      </c>
      <c r="BW19" s="564" t="s">
        <v>413</v>
      </c>
      <c r="BX19" s="419">
        <v>0.97219999999999995</v>
      </c>
      <c r="BY19" s="559"/>
      <c r="BZ19" s="559"/>
      <c r="CA19" s="570"/>
      <c r="CB19" s="451" t="s">
        <v>1002</v>
      </c>
      <c r="CC19" s="562"/>
      <c r="CD19" s="413" t="s">
        <v>57</v>
      </c>
      <c r="CE19" s="399" t="s">
        <v>413</v>
      </c>
      <c r="CF19" s="431">
        <v>1</v>
      </c>
    </row>
    <row r="20" spans="1:84" ht="225" customHeight="1" x14ac:dyDescent="0.25">
      <c r="A20" s="681"/>
      <c r="B20" s="413"/>
      <c r="C20" s="680"/>
      <c r="D20" s="602"/>
      <c r="E20" s="412"/>
      <c r="F20" s="412"/>
      <c r="G20" s="412"/>
      <c r="H20" s="460"/>
      <c r="I20" s="412"/>
      <c r="J20" s="413"/>
      <c r="K20" s="412"/>
      <c r="L20" s="412"/>
      <c r="M20" s="412"/>
      <c r="N20" s="412"/>
      <c r="O20" s="412"/>
      <c r="P20" s="412"/>
      <c r="Q20" s="554"/>
      <c r="R20" s="104" t="s">
        <v>41</v>
      </c>
      <c r="S20" s="527"/>
      <c r="T20" s="527"/>
      <c r="U20" s="527"/>
      <c r="V20" s="527"/>
      <c r="W20" s="412"/>
      <c r="X20" s="657"/>
      <c r="Y20" s="104" t="s">
        <v>41</v>
      </c>
      <c r="Z20" s="102" t="s">
        <v>662</v>
      </c>
      <c r="AA20" s="419"/>
      <c r="AB20" s="628"/>
      <c r="AC20" s="628"/>
      <c r="AD20" s="412"/>
      <c r="AE20" s="528" t="s">
        <v>674</v>
      </c>
      <c r="AF20" s="530">
        <v>0.04</v>
      </c>
      <c r="AG20" s="536">
        <v>0.04</v>
      </c>
      <c r="AH20" s="419"/>
      <c r="AI20" s="474">
        <v>10000000</v>
      </c>
      <c r="AJ20" s="474">
        <v>10000000</v>
      </c>
      <c r="AK20" s="412"/>
      <c r="AL20" s="512" t="s">
        <v>739</v>
      </c>
      <c r="AM20" s="650">
        <v>0.05</v>
      </c>
      <c r="AN20" s="475">
        <v>0.05</v>
      </c>
      <c r="AO20" s="419"/>
      <c r="AP20" s="474" t="s">
        <v>792</v>
      </c>
      <c r="AQ20" s="474" t="s">
        <v>793</v>
      </c>
      <c r="AR20" s="412"/>
      <c r="AS20" s="472" t="s">
        <v>821</v>
      </c>
      <c r="AT20" s="505">
        <v>0.06</v>
      </c>
      <c r="AU20" s="506">
        <v>0.06</v>
      </c>
      <c r="AV20" s="419"/>
      <c r="AW20" s="502" t="s">
        <v>857</v>
      </c>
      <c r="AX20" s="502" t="s">
        <v>857</v>
      </c>
      <c r="AY20" s="412"/>
      <c r="AZ20" s="498" t="s">
        <v>871</v>
      </c>
      <c r="BA20" s="473"/>
      <c r="BB20" s="601"/>
      <c r="BC20" s="419"/>
      <c r="BD20" s="645"/>
      <c r="BE20" s="645"/>
      <c r="BF20" s="412"/>
      <c r="BG20" s="646"/>
      <c r="BH20" s="473"/>
      <c r="BI20" s="601"/>
      <c r="BJ20" s="489"/>
      <c r="BK20" s="624"/>
      <c r="BL20" s="624"/>
      <c r="BM20" s="481"/>
      <c r="BN20" s="626"/>
      <c r="BO20" s="627"/>
      <c r="BP20" s="564"/>
      <c r="BQ20" s="419"/>
      <c r="BR20" s="628"/>
      <c r="BS20" s="628"/>
      <c r="BT20" s="412"/>
      <c r="BU20" s="629"/>
      <c r="BV20" s="576"/>
      <c r="BW20" s="564"/>
      <c r="BX20" s="419"/>
      <c r="BY20" s="560"/>
      <c r="BZ20" s="560"/>
      <c r="CA20" s="427"/>
      <c r="CB20" s="460"/>
      <c r="CC20" s="563"/>
      <c r="CD20" s="413"/>
      <c r="CE20" s="400"/>
      <c r="CF20" s="431"/>
    </row>
    <row r="21" spans="1:84" ht="15" customHeight="1" x14ac:dyDescent="0.25">
      <c r="A21" s="681"/>
      <c r="B21" s="413"/>
      <c r="C21" s="680"/>
      <c r="D21" s="602" t="s">
        <v>58</v>
      </c>
      <c r="E21" s="412" t="s">
        <v>59</v>
      </c>
      <c r="F21" s="412" t="s">
        <v>454</v>
      </c>
      <c r="G21" s="412" t="s">
        <v>60</v>
      </c>
      <c r="H21" s="451" t="s">
        <v>1003</v>
      </c>
      <c r="I21" s="412" t="s">
        <v>37</v>
      </c>
      <c r="J21" s="411">
        <v>0.1</v>
      </c>
      <c r="K21" s="412" t="s">
        <v>292</v>
      </c>
      <c r="L21" s="412" t="s">
        <v>304</v>
      </c>
      <c r="M21" s="412">
        <v>4103059</v>
      </c>
      <c r="N21" s="412" t="s">
        <v>305</v>
      </c>
      <c r="O21" s="412">
        <v>410305900</v>
      </c>
      <c r="P21" s="412" t="s">
        <v>306</v>
      </c>
      <c r="Q21" s="656">
        <v>0.1</v>
      </c>
      <c r="R21" s="104" t="s">
        <v>41</v>
      </c>
      <c r="S21" s="589"/>
      <c r="T21" s="589"/>
      <c r="U21" s="589"/>
      <c r="V21" s="589"/>
      <c r="W21" s="412" t="s">
        <v>459</v>
      </c>
      <c r="X21" s="657"/>
      <c r="Y21" s="104" t="s">
        <v>41</v>
      </c>
      <c r="Z21" s="102" t="s">
        <v>662</v>
      </c>
      <c r="AA21" s="425">
        <v>1</v>
      </c>
      <c r="AB21" s="467"/>
      <c r="AC21" s="467"/>
      <c r="AD21" s="412" t="s">
        <v>459</v>
      </c>
      <c r="AE21" s="528"/>
      <c r="AF21" s="530"/>
      <c r="AG21" s="536"/>
      <c r="AH21" s="425">
        <v>1</v>
      </c>
      <c r="AI21" s="474"/>
      <c r="AJ21" s="474"/>
      <c r="AK21" s="412" t="s">
        <v>459</v>
      </c>
      <c r="AL21" s="512"/>
      <c r="AM21" s="650"/>
      <c r="AN21" s="476"/>
      <c r="AO21" s="425">
        <v>1</v>
      </c>
      <c r="AP21" s="474"/>
      <c r="AQ21" s="474"/>
      <c r="AR21" s="412" t="s">
        <v>459</v>
      </c>
      <c r="AS21" s="472"/>
      <c r="AT21" s="505"/>
      <c r="AU21" s="506"/>
      <c r="AV21" s="425">
        <v>1</v>
      </c>
      <c r="AW21" s="502"/>
      <c r="AX21" s="502"/>
      <c r="AY21" s="412" t="s">
        <v>459</v>
      </c>
      <c r="AZ21" s="498"/>
      <c r="BA21" s="480">
        <v>200</v>
      </c>
      <c r="BB21" s="481">
        <v>200</v>
      </c>
      <c r="BC21" s="425">
        <v>1</v>
      </c>
      <c r="BD21" s="444">
        <v>30000000</v>
      </c>
      <c r="BE21" s="444">
        <v>15245000</v>
      </c>
      <c r="BF21" s="412" t="s">
        <v>459</v>
      </c>
      <c r="BG21" s="644" t="s">
        <v>940</v>
      </c>
      <c r="BH21" s="609">
        <v>0</v>
      </c>
      <c r="BI21" s="481">
        <v>0</v>
      </c>
      <c r="BJ21" s="489">
        <v>1</v>
      </c>
      <c r="BK21" s="444"/>
      <c r="BL21" s="444"/>
      <c r="BM21" s="481" t="s">
        <v>519</v>
      </c>
      <c r="BN21" s="622" t="s">
        <v>520</v>
      </c>
      <c r="BO21" s="623">
        <v>10</v>
      </c>
      <c r="BP21" s="412">
        <v>55</v>
      </c>
      <c r="BQ21" s="425">
        <v>1</v>
      </c>
      <c r="BR21" s="467" t="s">
        <v>468</v>
      </c>
      <c r="BS21" s="467" t="s">
        <v>599</v>
      </c>
      <c r="BT21" s="412" t="s">
        <v>459</v>
      </c>
      <c r="BU21" s="621" t="s">
        <v>600</v>
      </c>
      <c r="BV21" s="565">
        <v>0.1336</v>
      </c>
      <c r="BW21" s="564">
        <v>0.1336</v>
      </c>
      <c r="BX21" s="425">
        <v>1</v>
      </c>
      <c r="BY21" s="566">
        <f>70000000+45000000+
363237526+363237526+264860887+163000000</f>
        <v>1269335939</v>
      </c>
      <c r="BZ21" s="468">
        <f>34620000+
30000000+
7000000+171202526+264860887+163000000</f>
        <v>670683413</v>
      </c>
      <c r="CA21" s="420">
        <v>1</v>
      </c>
      <c r="CB21" s="451" t="s">
        <v>1003</v>
      </c>
      <c r="CC21" s="567" t="s">
        <v>1083</v>
      </c>
      <c r="CD21" s="411">
        <v>0.1</v>
      </c>
      <c r="CE21" s="399">
        <v>0.1336</v>
      </c>
      <c r="CF21" s="420">
        <v>1</v>
      </c>
    </row>
    <row r="22" spans="1:84" ht="16.5" x14ac:dyDescent="0.25">
      <c r="A22" s="681"/>
      <c r="B22" s="413"/>
      <c r="C22" s="680"/>
      <c r="D22" s="602"/>
      <c r="E22" s="412"/>
      <c r="F22" s="412"/>
      <c r="G22" s="412"/>
      <c r="H22" s="452"/>
      <c r="I22" s="412"/>
      <c r="J22" s="411"/>
      <c r="K22" s="412"/>
      <c r="L22" s="412"/>
      <c r="M22" s="412"/>
      <c r="N22" s="412"/>
      <c r="O22" s="412"/>
      <c r="P22" s="412"/>
      <c r="Q22" s="656"/>
      <c r="R22" s="104" t="s">
        <v>41</v>
      </c>
      <c r="S22" s="589"/>
      <c r="T22" s="589"/>
      <c r="U22" s="589"/>
      <c r="V22" s="589"/>
      <c r="W22" s="412"/>
      <c r="X22" s="105"/>
      <c r="Y22" s="104" t="s">
        <v>41</v>
      </c>
      <c r="Z22" s="102" t="s">
        <v>662</v>
      </c>
      <c r="AA22" s="425"/>
      <c r="AB22" s="467"/>
      <c r="AC22" s="467"/>
      <c r="AD22" s="412"/>
      <c r="AE22" s="266" t="s">
        <v>675</v>
      </c>
      <c r="AF22" s="530"/>
      <c r="AG22" s="536"/>
      <c r="AH22" s="425"/>
      <c r="AI22" s="474"/>
      <c r="AJ22" s="474"/>
      <c r="AK22" s="412"/>
      <c r="AL22" s="512"/>
      <c r="AM22" s="650"/>
      <c r="AN22" s="476"/>
      <c r="AO22" s="425"/>
      <c r="AP22" s="474"/>
      <c r="AQ22" s="474"/>
      <c r="AR22" s="412"/>
      <c r="AS22" s="472"/>
      <c r="AT22" s="504">
        <v>400</v>
      </c>
      <c r="AU22" s="492">
        <v>437</v>
      </c>
      <c r="AV22" s="425"/>
      <c r="AW22" s="493" t="s">
        <v>857</v>
      </c>
      <c r="AX22" s="493" t="s">
        <v>857</v>
      </c>
      <c r="AY22" s="412"/>
      <c r="AZ22" s="496" t="s">
        <v>872</v>
      </c>
      <c r="BA22" s="480"/>
      <c r="BB22" s="481"/>
      <c r="BC22" s="425"/>
      <c r="BD22" s="444"/>
      <c r="BE22" s="444"/>
      <c r="BF22" s="412"/>
      <c r="BG22" s="644"/>
      <c r="BH22" s="480"/>
      <c r="BI22" s="481"/>
      <c r="BJ22" s="489"/>
      <c r="BK22" s="444"/>
      <c r="BL22" s="444"/>
      <c r="BM22" s="481"/>
      <c r="BN22" s="622"/>
      <c r="BO22" s="623"/>
      <c r="BP22" s="412"/>
      <c r="BQ22" s="425"/>
      <c r="BR22" s="467"/>
      <c r="BS22" s="467"/>
      <c r="BT22" s="412"/>
      <c r="BU22" s="621"/>
      <c r="BV22" s="565"/>
      <c r="BW22" s="412"/>
      <c r="BX22" s="425"/>
      <c r="BY22" s="566"/>
      <c r="BZ22" s="468"/>
      <c r="CA22" s="421"/>
      <c r="CB22" s="452"/>
      <c r="CC22" s="568"/>
      <c r="CD22" s="411"/>
      <c r="CE22" s="396"/>
      <c r="CF22" s="421"/>
    </row>
    <row r="23" spans="1:84" ht="51.75" customHeight="1" x14ac:dyDescent="0.25">
      <c r="A23" s="681"/>
      <c r="B23" s="413"/>
      <c r="C23" s="680"/>
      <c r="D23" s="602"/>
      <c r="E23" s="412"/>
      <c r="F23" s="412"/>
      <c r="G23" s="412"/>
      <c r="H23" s="452"/>
      <c r="I23" s="412"/>
      <c r="J23" s="411"/>
      <c r="K23" s="412"/>
      <c r="L23" s="412"/>
      <c r="M23" s="412"/>
      <c r="N23" s="412"/>
      <c r="O23" s="412"/>
      <c r="P23" s="412"/>
      <c r="Q23" s="656"/>
      <c r="R23" s="104" t="s">
        <v>41</v>
      </c>
      <c r="S23" s="589"/>
      <c r="T23" s="589"/>
      <c r="U23" s="589"/>
      <c r="V23" s="589"/>
      <c r="W23" s="412"/>
      <c r="X23" s="105"/>
      <c r="Y23" s="104" t="s">
        <v>41</v>
      </c>
      <c r="Z23" s="102" t="s">
        <v>662</v>
      </c>
      <c r="AA23" s="425"/>
      <c r="AB23" s="467"/>
      <c r="AC23" s="467"/>
      <c r="AD23" s="412"/>
      <c r="AE23" s="266" t="s">
        <v>676</v>
      </c>
      <c r="AF23" s="530"/>
      <c r="AG23" s="536"/>
      <c r="AH23" s="425"/>
      <c r="AI23" s="474"/>
      <c r="AJ23" s="474"/>
      <c r="AK23" s="412"/>
      <c r="AL23" s="512"/>
      <c r="AM23" s="650"/>
      <c r="AN23" s="476"/>
      <c r="AO23" s="425"/>
      <c r="AP23" s="474"/>
      <c r="AQ23" s="474"/>
      <c r="AR23" s="412"/>
      <c r="AS23" s="472"/>
      <c r="AT23" s="504"/>
      <c r="AU23" s="492"/>
      <c r="AV23" s="425"/>
      <c r="AW23" s="493"/>
      <c r="AX23" s="493"/>
      <c r="AY23" s="412"/>
      <c r="AZ23" s="496"/>
      <c r="BA23" s="480"/>
      <c r="BB23" s="481"/>
      <c r="BC23" s="425"/>
      <c r="BD23" s="444"/>
      <c r="BE23" s="444"/>
      <c r="BF23" s="412"/>
      <c r="BG23" s="644"/>
      <c r="BH23" s="480"/>
      <c r="BI23" s="481"/>
      <c r="BJ23" s="489"/>
      <c r="BK23" s="444"/>
      <c r="BL23" s="444"/>
      <c r="BM23" s="481"/>
      <c r="BN23" s="622"/>
      <c r="BO23" s="623"/>
      <c r="BP23" s="412"/>
      <c r="BQ23" s="425"/>
      <c r="BR23" s="467"/>
      <c r="BS23" s="467"/>
      <c r="BT23" s="412"/>
      <c r="BU23" s="621"/>
      <c r="BV23" s="565"/>
      <c r="BW23" s="412"/>
      <c r="BX23" s="425"/>
      <c r="BY23" s="566"/>
      <c r="BZ23" s="468"/>
      <c r="CA23" s="421"/>
      <c r="CB23" s="452"/>
      <c r="CC23" s="568"/>
      <c r="CD23" s="411"/>
      <c r="CE23" s="396"/>
      <c r="CF23" s="421"/>
    </row>
    <row r="24" spans="1:84" ht="211.5" customHeight="1" x14ac:dyDescent="0.25">
      <c r="A24" s="681"/>
      <c r="B24" s="413"/>
      <c r="C24" s="680"/>
      <c r="D24" s="602"/>
      <c r="E24" s="412"/>
      <c r="F24" s="412"/>
      <c r="G24" s="412"/>
      <c r="H24" s="460"/>
      <c r="I24" s="412"/>
      <c r="J24" s="411"/>
      <c r="K24" s="412"/>
      <c r="L24" s="412"/>
      <c r="M24" s="412"/>
      <c r="N24" s="412"/>
      <c r="O24" s="412"/>
      <c r="P24" s="412"/>
      <c r="Q24" s="656"/>
      <c r="R24" s="104" t="s">
        <v>41</v>
      </c>
      <c r="S24" s="589"/>
      <c r="T24" s="589"/>
      <c r="U24" s="589"/>
      <c r="V24" s="589"/>
      <c r="W24" s="412"/>
      <c r="X24" s="105"/>
      <c r="Y24" s="104" t="s">
        <v>41</v>
      </c>
      <c r="Z24" s="102" t="s">
        <v>662</v>
      </c>
      <c r="AA24" s="425"/>
      <c r="AB24" s="467"/>
      <c r="AC24" s="467"/>
      <c r="AD24" s="412"/>
      <c r="AE24" s="266" t="s">
        <v>677</v>
      </c>
      <c r="AF24" s="239">
        <v>0.15</v>
      </c>
      <c r="AG24" s="134">
        <v>0.15</v>
      </c>
      <c r="AH24" s="425"/>
      <c r="AI24" s="74">
        <v>2338933220</v>
      </c>
      <c r="AJ24" s="74">
        <v>2338933220</v>
      </c>
      <c r="AK24" s="412"/>
      <c r="AL24" s="271" t="s">
        <v>740</v>
      </c>
      <c r="AM24" s="215">
        <v>0.23</v>
      </c>
      <c r="AN24" s="138" t="s">
        <v>701</v>
      </c>
      <c r="AO24" s="425"/>
      <c r="AP24" s="250">
        <f>27500000+48300000</f>
        <v>75800000</v>
      </c>
      <c r="AQ24" s="250">
        <v>17340000</v>
      </c>
      <c r="AR24" s="412"/>
      <c r="AS24" s="225" t="s">
        <v>822</v>
      </c>
      <c r="AT24" s="226">
        <v>0.28000000000000003</v>
      </c>
      <c r="AU24" s="146">
        <v>0.25</v>
      </c>
      <c r="AV24" s="425"/>
      <c r="AW24" s="246" t="s">
        <v>857</v>
      </c>
      <c r="AX24" s="246" t="s">
        <v>857</v>
      </c>
      <c r="AY24" s="412"/>
      <c r="AZ24" s="281" t="s">
        <v>873</v>
      </c>
      <c r="BA24" s="480"/>
      <c r="BB24" s="481"/>
      <c r="BC24" s="425"/>
      <c r="BD24" s="444"/>
      <c r="BE24" s="444"/>
      <c r="BF24" s="412"/>
      <c r="BG24" s="644"/>
      <c r="BH24" s="480"/>
      <c r="BI24" s="481"/>
      <c r="BJ24" s="489"/>
      <c r="BK24" s="444"/>
      <c r="BL24" s="444"/>
      <c r="BM24" s="481"/>
      <c r="BN24" s="622"/>
      <c r="BO24" s="623"/>
      <c r="BP24" s="412"/>
      <c r="BQ24" s="425"/>
      <c r="BR24" s="467"/>
      <c r="BS24" s="467"/>
      <c r="BT24" s="412"/>
      <c r="BU24" s="621"/>
      <c r="BV24" s="565"/>
      <c r="BW24" s="412"/>
      <c r="BX24" s="425"/>
      <c r="BY24" s="566"/>
      <c r="BZ24" s="468"/>
      <c r="CA24" s="422"/>
      <c r="CB24" s="460"/>
      <c r="CC24" s="569"/>
      <c r="CD24" s="411"/>
      <c r="CE24" s="398"/>
      <c r="CF24" s="422"/>
    </row>
    <row r="25" spans="1:84" ht="175.5" customHeight="1" x14ac:dyDescent="0.25">
      <c r="A25" s="681"/>
      <c r="B25" s="413"/>
      <c r="C25" s="680"/>
      <c r="D25" s="128" t="s">
        <v>61</v>
      </c>
      <c r="E25" s="60" t="s">
        <v>62</v>
      </c>
      <c r="F25" s="60" t="s">
        <v>63</v>
      </c>
      <c r="G25" s="60" t="s">
        <v>439</v>
      </c>
      <c r="H25" s="96" t="s">
        <v>1004</v>
      </c>
      <c r="I25" s="60" t="s">
        <v>37</v>
      </c>
      <c r="J25" s="62">
        <v>0.6</v>
      </c>
      <c r="K25" s="60" t="s">
        <v>296</v>
      </c>
      <c r="L25" s="60" t="s">
        <v>384</v>
      </c>
      <c r="M25" s="60" t="s">
        <v>374</v>
      </c>
      <c r="N25" s="60" t="s">
        <v>388</v>
      </c>
      <c r="O25" s="60" t="s">
        <v>375</v>
      </c>
      <c r="P25" s="60" t="s">
        <v>390</v>
      </c>
      <c r="Q25" s="126">
        <v>0.6</v>
      </c>
      <c r="R25" s="104" t="s">
        <v>41</v>
      </c>
      <c r="S25" s="589"/>
      <c r="T25" s="589"/>
      <c r="U25" s="589"/>
      <c r="V25" s="589"/>
      <c r="W25" s="60" t="s">
        <v>257</v>
      </c>
      <c r="X25" s="105"/>
      <c r="Y25" s="104" t="s">
        <v>41</v>
      </c>
      <c r="Z25" s="102" t="s">
        <v>662</v>
      </c>
      <c r="AA25" s="63">
        <v>0.5</v>
      </c>
      <c r="AB25" s="58"/>
      <c r="AC25" s="58"/>
      <c r="AD25" s="60" t="s">
        <v>257</v>
      </c>
      <c r="AE25" s="266" t="s">
        <v>678</v>
      </c>
      <c r="AF25" s="236">
        <v>1</v>
      </c>
      <c r="AG25" s="96">
        <v>1</v>
      </c>
      <c r="AH25" s="63">
        <v>0.5</v>
      </c>
      <c r="AI25" s="74">
        <v>54450000</v>
      </c>
      <c r="AJ25" s="74">
        <v>54450000</v>
      </c>
      <c r="AK25" s="60" t="s">
        <v>257</v>
      </c>
      <c r="AL25" s="269" t="s">
        <v>741</v>
      </c>
      <c r="AM25" s="188">
        <v>4</v>
      </c>
      <c r="AN25" s="72">
        <v>4</v>
      </c>
      <c r="AO25" s="63">
        <v>0.5</v>
      </c>
      <c r="AP25" s="250">
        <f>33000000+20140000</f>
        <v>53140000</v>
      </c>
      <c r="AQ25" s="250">
        <v>31540000</v>
      </c>
      <c r="AR25" s="60" t="s">
        <v>257</v>
      </c>
      <c r="AS25" s="214" t="s">
        <v>823</v>
      </c>
      <c r="AT25" s="224">
        <v>5</v>
      </c>
      <c r="AU25" s="146">
        <v>4.05</v>
      </c>
      <c r="AV25" s="63">
        <v>0.5</v>
      </c>
      <c r="AW25" s="246" t="s">
        <v>857</v>
      </c>
      <c r="AX25" s="246" t="s">
        <v>857</v>
      </c>
      <c r="AY25" s="60" t="s">
        <v>257</v>
      </c>
      <c r="AZ25" s="281" t="s">
        <v>874</v>
      </c>
      <c r="BA25" s="192">
        <v>3</v>
      </c>
      <c r="BB25" s="80" t="s">
        <v>164</v>
      </c>
      <c r="BC25" s="63">
        <v>0.5</v>
      </c>
      <c r="BD25" s="79">
        <v>28800000</v>
      </c>
      <c r="BE25" s="79">
        <v>25081000</v>
      </c>
      <c r="BF25" s="60" t="s">
        <v>257</v>
      </c>
      <c r="BG25" s="182" t="s">
        <v>941</v>
      </c>
      <c r="BH25" s="194">
        <v>0.1</v>
      </c>
      <c r="BI25" s="84">
        <v>0.05</v>
      </c>
      <c r="BJ25" s="83">
        <v>0.5</v>
      </c>
      <c r="BK25" s="79"/>
      <c r="BL25" s="79"/>
      <c r="BM25" s="80" t="s">
        <v>257</v>
      </c>
      <c r="BN25" s="165" t="s">
        <v>521</v>
      </c>
      <c r="BO25" s="164">
        <v>0.1</v>
      </c>
      <c r="BP25" s="62">
        <v>0.05</v>
      </c>
      <c r="BQ25" s="63">
        <v>0.5</v>
      </c>
      <c r="BR25" s="58" t="s">
        <v>601</v>
      </c>
      <c r="BS25" s="58" t="s">
        <v>602</v>
      </c>
      <c r="BT25" s="60" t="s">
        <v>257</v>
      </c>
      <c r="BU25" s="115" t="s">
        <v>603</v>
      </c>
      <c r="BV25" s="138">
        <v>0.5</v>
      </c>
      <c r="BW25" s="62">
        <v>0.58099999999999996</v>
      </c>
      <c r="BX25" s="63">
        <v>1</v>
      </c>
      <c r="BY25" s="339">
        <f>918000000+79914452</f>
        <v>997914452</v>
      </c>
      <c r="BZ25" s="339">
        <v>79914452</v>
      </c>
      <c r="CA25" s="63">
        <f>BZ25/BY25</f>
        <v>8.0081465740712607E-2</v>
      </c>
      <c r="CB25" s="96" t="s">
        <v>1004</v>
      </c>
      <c r="CC25" s="346" t="s">
        <v>1084</v>
      </c>
      <c r="CD25" s="62">
        <v>0.6</v>
      </c>
      <c r="CE25" s="62">
        <v>0.58099999999999996</v>
      </c>
      <c r="CF25" s="63">
        <f>CE25/CD25</f>
        <v>0.96833333333333327</v>
      </c>
    </row>
    <row r="26" spans="1:84" ht="92.25" customHeight="1" x14ac:dyDescent="0.25">
      <c r="A26" s="681"/>
      <c r="B26" s="413"/>
      <c r="C26" s="680"/>
      <c r="D26" s="128" t="s">
        <v>64</v>
      </c>
      <c r="E26" s="48" t="s">
        <v>457</v>
      </c>
      <c r="F26" s="48" t="s">
        <v>65</v>
      </c>
      <c r="G26" s="48" t="s">
        <v>66</v>
      </c>
      <c r="H26" s="96" t="s">
        <v>1005</v>
      </c>
      <c r="I26" s="48">
        <v>1</v>
      </c>
      <c r="J26" s="48">
        <v>5</v>
      </c>
      <c r="K26" s="60" t="s">
        <v>296</v>
      </c>
      <c r="L26" s="60" t="s">
        <v>307</v>
      </c>
      <c r="M26" s="60">
        <v>3502017</v>
      </c>
      <c r="N26" s="60" t="s">
        <v>308</v>
      </c>
      <c r="O26" s="60">
        <v>350201701</v>
      </c>
      <c r="P26" s="60" t="s">
        <v>309</v>
      </c>
      <c r="Q26" s="125">
        <v>5</v>
      </c>
      <c r="R26" s="104" t="s">
        <v>41</v>
      </c>
      <c r="S26" s="589"/>
      <c r="T26" s="589"/>
      <c r="U26" s="589"/>
      <c r="V26" s="589"/>
      <c r="W26" s="60" t="s">
        <v>282</v>
      </c>
      <c r="X26" s="108"/>
      <c r="Y26" s="104" t="s">
        <v>41</v>
      </c>
      <c r="Z26" s="102" t="s">
        <v>662</v>
      </c>
      <c r="AA26" s="57" t="e">
        <f>(Z26/Y26)*1</f>
        <v>#VALUE!</v>
      </c>
      <c r="AB26" s="58"/>
      <c r="AC26" s="58"/>
      <c r="AD26" s="60" t="s">
        <v>282</v>
      </c>
      <c r="AE26" s="267" t="s">
        <v>671</v>
      </c>
      <c r="AF26" s="239">
        <v>0.85</v>
      </c>
      <c r="AG26" s="134">
        <v>0.63</v>
      </c>
      <c r="AH26" s="57">
        <f>(AG26/AF26)*1</f>
        <v>0.74117647058823533</v>
      </c>
      <c r="AI26" s="474">
        <v>7595374483</v>
      </c>
      <c r="AJ26" s="474">
        <v>4950478143</v>
      </c>
      <c r="AK26" s="60" t="s">
        <v>282</v>
      </c>
      <c r="AL26" s="269" t="s">
        <v>742</v>
      </c>
      <c r="AM26" s="236" t="s">
        <v>778</v>
      </c>
      <c r="AN26" s="134">
        <v>0.63</v>
      </c>
      <c r="AO26" s="57" t="e">
        <f>(AN26/AM26)*1</f>
        <v>#VALUE!</v>
      </c>
      <c r="AP26" s="474">
        <v>16187350279</v>
      </c>
      <c r="AQ26" s="474">
        <v>13135040761</v>
      </c>
      <c r="AR26" s="60" t="s">
        <v>282</v>
      </c>
      <c r="AS26" s="472" t="s">
        <v>824</v>
      </c>
      <c r="AT26" s="505">
        <v>0.85</v>
      </c>
      <c r="AU26" s="515">
        <v>0.69599999999999995</v>
      </c>
      <c r="AV26" s="57">
        <f>(AU26/AT26)*1</f>
        <v>0.81882352941176462</v>
      </c>
      <c r="AW26" s="503" t="s">
        <v>857</v>
      </c>
      <c r="AX26" s="503" t="s">
        <v>857</v>
      </c>
      <c r="AY26" s="60" t="s">
        <v>282</v>
      </c>
      <c r="AZ26" s="496" t="s">
        <v>875</v>
      </c>
      <c r="BA26" s="192">
        <v>1</v>
      </c>
      <c r="BB26" s="80" t="s">
        <v>919</v>
      </c>
      <c r="BC26" s="57" t="e">
        <f>(BB26/BA26)*1</f>
        <v>#VALUE!</v>
      </c>
      <c r="BD26" s="79">
        <v>70900000</v>
      </c>
      <c r="BE26" s="79">
        <v>27980000</v>
      </c>
      <c r="BF26" s="60" t="s">
        <v>282</v>
      </c>
      <c r="BG26" s="187" t="s">
        <v>942</v>
      </c>
      <c r="BH26" s="192">
        <v>1</v>
      </c>
      <c r="BI26" s="80">
        <v>0</v>
      </c>
      <c r="BJ26" s="81">
        <f>(BI26/BH26)*1</f>
        <v>0</v>
      </c>
      <c r="BK26" s="79"/>
      <c r="BL26" s="79"/>
      <c r="BM26" s="80" t="s">
        <v>282</v>
      </c>
      <c r="BN26" s="289" t="s">
        <v>522</v>
      </c>
      <c r="BO26" s="130">
        <v>1</v>
      </c>
      <c r="BP26" s="60">
        <v>0</v>
      </c>
      <c r="BQ26" s="57">
        <f>(BP26/BO26)*1</f>
        <v>0</v>
      </c>
      <c r="BR26" s="58">
        <v>0</v>
      </c>
      <c r="BS26" s="58">
        <v>0</v>
      </c>
      <c r="BT26" s="60" t="s">
        <v>282</v>
      </c>
      <c r="BU26" s="290" t="s">
        <v>604</v>
      </c>
      <c r="BV26" s="72">
        <v>1</v>
      </c>
      <c r="BW26" s="60">
        <v>1</v>
      </c>
      <c r="BX26" s="57">
        <f>(BW26/BV26)*1</f>
        <v>1</v>
      </c>
      <c r="BY26" s="339">
        <v>0</v>
      </c>
      <c r="BZ26" s="339">
        <v>0</v>
      </c>
      <c r="CA26" s="304">
        <v>0</v>
      </c>
      <c r="CB26" s="96" t="s">
        <v>1005</v>
      </c>
      <c r="CC26" s="349" t="s">
        <v>1093</v>
      </c>
      <c r="CD26" s="373">
        <v>5</v>
      </c>
      <c r="CE26" s="376">
        <v>1</v>
      </c>
      <c r="CF26" s="365">
        <f>CE26/CD26</f>
        <v>0.2</v>
      </c>
    </row>
    <row r="27" spans="1:84" ht="68.25" customHeight="1" x14ac:dyDescent="0.25">
      <c r="A27" s="681"/>
      <c r="B27" s="413" t="s">
        <v>67</v>
      </c>
      <c r="C27" s="680" t="s">
        <v>68</v>
      </c>
      <c r="D27" s="602" t="s">
        <v>69</v>
      </c>
      <c r="E27" s="413" t="s">
        <v>70</v>
      </c>
      <c r="F27" s="48" t="s">
        <v>71</v>
      </c>
      <c r="G27" s="48" t="s">
        <v>72</v>
      </c>
      <c r="H27" s="319" t="s">
        <v>1006</v>
      </c>
      <c r="I27" s="251" t="s">
        <v>73</v>
      </c>
      <c r="J27" s="48" t="s">
        <v>74</v>
      </c>
      <c r="K27" s="412" t="s">
        <v>292</v>
      </c>
      <c r="L27" s="412" t="s">
        <v>310</v>
      </c>
      <c r="M27" s="412" t="s">
        <v>377</v>
      </c>
      <c r="N27" s="412" t="s">
        <v>376</v>
      </c>
      <c r="O27" s="412" t="s">
        <v>378</v>
      </c>
      <c r="P27" s="412" t="s">
        <v>379</v>
      </c>
      <c r="Q27" s="125" t="s">
        <v>74</v>
      </c>
      <c r="R27" s="104" t="s">
        <v>41</v>
      </c>
      <c r="S27" s="527"/>
      <c r="T27" s="527"/>
      <c r="U27" s="527"/>
      <c r="V27" s="527"/>
      <c r="W27" s="412" t="s">
        <v>258</v>
      </c>
      <c r="X27" s="657"/>
      <c r="Y27" s="104" t="s">
        <v>41</v>
      </c>
      <c r="Z27" s="102" t="s">
        <v>662</v>
      </c>
      <c r="AA27" s="57" t="e">
        <f>Z27/Y27</f>
        <v>#VALUE!</v>
      </c>
      <c r="AB27" s="467"/>
      <c r="AC27" s="467"/>
      <c r="AD27" s="412" t="s">
        <v>258</v>
      </c>
      <c r="AE27" s="528" t="s">
        <v>679</v>
      </c>
      <c r="AF27" s="530">
        <v>0.5</v>
      </c>
      <c r="AG27" s="536">
        <v>0.41</v>
      </c>
      <c r="AH27" s="57">
        <f>AG27/AF27</f>
        <v>0.82</v>
      </c>
      <c r="AI27" s="474"/>
      <c r="AJ27" s="474"/>
      <c r="AK27" s="412" t="s">
        <v>258</v>
      </c>
      <c r="AL27" s="472" t="s">
        <v>743</v>
      </c>
      <c r="AM27" s="537" t="s">
        <v>83</v>
      </c>
      <c r="AN27" s="536">
        <v>0.41</v>
      </c>
      <c r="AO27" s="57" t="e">
        <f>AN27/AM27</f>
        <v>#VALUE!</v>
      </c>
      <c r="AP27" s="474"/>
      <c r="AQ27" s="474"/>
      <c r="AR27" s="412" t="s">
        <v>258</v>
      </c>
      <c r="AS27" s="472"/>
      <c r="AT27" s="505"/>
      <c r="AU27" s="515"/>
      <c r="AV27" s="57" t="e">
        <f>AU27/AT27</f>
        <v>#DIV/0!</v>
      </c>
      <c r="AW27" s="503"/>
      <c r="AX27" s="503"/>
      <c r="AY27" s="412" t="s">
        <v>258</v>
      </c>
      <c r="AZ27" s="496"/>
      <c r="BA27" s="194">
        <v>0.85</v>
      </c>
      <c r="BB27" s="84">
        <v>0.66</v>
      </c>
      <c r="BC27" s="57">
        <f>BB27/BA27</f>
        <v>0.77647058823529413</v>
      </c>
      <c r="BD27" s="444" t="s">
        <v>924</v>
      </c>
      <c r="BE27" s="444" t="s">
        <v>925</v>
      </c>
      <c r="BF27" s="412" t="s">
        <v>258</v>
      </c>
      <c r="BG27" s="446" t="s">
        <v>943</v>
      </c>
      <c r="BH27" s="191">
        <v>0.86699999999999999</v>
      </c>
      <c r="BI27" s="252">
        <v>0.85680000000000001</v>
      </c>
      <c r="BJ27" s="81">
        <f>BI27/BH27</f>
        <v>0.9882352941176471</v>
      </c>
      <c r="BK27" s="444"/>
      <c r="BL27" s="79"/>
      <c r="BM27" s="481" t="s">
        <v>258</v>
      </c>
      <c r="BN27" s="193" t="s">
        <v>523</v>
      </c>
      <c r="BO27" s="166">
        <v>0.878</v>
      </c>
      <c r="BP27" s="38">
        <v>0.76090000000000002</v>
      </c>
      <c r="BQ27" s="57">
        <f>BP27/BO27</f>
        <v>0.86662870159453309</v>
      </c>
      <c r="BR27" s="467">
        <v>0</v>
      </c>
      <c r="BS27" s="467">
        <v>0</v>
      </c>
      <c r="BT27" s="412" t="s">
        <v>258</v>
      </c>
      <c r="BU27" s="163" t="s">
        <v>605</v>
      </c>
      <c r="BV27" s="682">
        <v>0.89900000000000002</v>
      </c>
      <c r="BW27" s="684">
        <v>0.63339999999999996</v>
      </c>
      <c r="BX27" s="57">
        <v>0</v>
      </c>
      <c r="BY27" s="467">
        <f>918000000+359582746+698802400+12000000</f>
        <v>1988385146</v>
      </c>
      <c r="BZ27" s="454">
        <f>107874824+209640720+12000000</f>
        <v>329515544</v>
      </c>
      <c r="CA27" s="426">
        <f>BZ27/BY27</f>
        <v>0.16572017984688767</v>
      </c>
      <c r="CB27" s="319" t="s">
        <v>1006</v>
      </c>
      <c r="CC27" s="82" t="s">
        <v>1051</v>
      </c>
      <c r="CD27" s="436">
        <v>0.9</v>
      </c>
      <c r="CE27" s="399">
        <v>0.63339999999999996</v>
      </c>
      <c r="CF27" s="57">
        <v>0</v>
      </c>
    </row>
    <row r="28" spans="1:84" ht="15" customHeight="1" x14ac:dyDescent="0.25">
      <c r="A28" s="681"/>
      <c r="B28" s="413"/>
      <c r="C28" s="680"/>
      <c r="D28" s="602"/>
      <c r="E28" s="413"/>
      <c r="F28" s="413" t="s">
        <v>75</v>
      </c>
      <c r="G28" s="413" t="s">
        <v>72</v>
      </c>
      <c r="H28" s="451" t="s">
        <v>1006</v>
      </c>
      <c r="I28" s="616" t="s">
        <v>76</v>
      </c>
      <c r="J28" s="413" t="s">
        <v>77</v>
      </c>
      <c r="K28" s="412"/>
      <c r="L28" s="412"/>
      <c r="M28" s="412"/>
      <c r="N28" s="412"/>
      <c r="O28" s="412"/>
      <c r="P28" s="412"/>
      <c r="Q28" s="554" t="s">
        <v>77</v>
      </c>
      <c r="R28" s="104" t="s">
        <v>41</v>
      </c>
      <c r="S28" s="589"/>
      <c r="T28" s="589"/>
      <c r="U28" s="589"/>
      <c r="V28" s="589"/>
      <c r="W28" s="412"/>
      <c r="X28" s="657"/>
      <c r="Y28" s="104" t="s">
        <v>41</v>
      </c>
      <c r="Z28" s="102" t="s">
        <v>662</v>
      </c>
      <c r="AA28" s="431" t="e">
        <f>Z28/Y28</f>
        <v>#VALUE!</v>
      </c>
      <c r="AB28" s="467"/>
      <c r="AC28" s="467"/>
      <c r="AD28" s="412"/>
      <c r="AE28" s="528"/>
      <c r="AF28" s="530"/>
      <c r="AG28" s="536"/>
      <c r="AH28" s="431" t="e">
        <f>AG28/AF28</f>
        <v>#DIV/0!</v>
      </c>
      <c r="AI28" s="474"/>
      <c r="AJ28" s="474"/>
      <c r="AK28" s="412"/>
      <c r="AL28" s="472"/>
      <c r="AM28" s="537"/>
      <c r="AN28" s="488"/>
      <c r="AO28" s="431" t="e">
        <f>AN28/AM28</f>
        <v>#DIV/0!</v>
      </c>
      <c r="AP28" s="474"/>
      <c r="AQ28" s="474"/>
      <c r="AR28" s="412"/>
      <c r="AS28" s="472"/>
      <c r="AT28" s="230">
        <v>0.5</v>
      </c>
      <c r="AU28" s="253">
        <v>0.61519999999999997</v>
      </c>
      <c r="AV28" s="431">
        <f>AU28/AT28</f>
        <v>1.2303999999999999</v>
      </c>
      <c r="AW28" s="246" t="s">
        <v>857</v>
      </c>
      <c r="AX28" s="246" t="s">
        <v>857</v>
      </c>
      <c r="AY28" s="412"/>
      <c r="AZ28" s="233" t="s">
        <v>876</v>
      </c>
      <c r="BA28" s="609">
        <v>0.55000000000000004</v>
      </c>
      <c r="BB28" s="619">
        <v>0.42</v>
      </c>
      <c r="BC28" s="431">
        <f>BB28/BA28</f>
        <v>0.76363636363636356</v>
      </c>
      <c r="BD28" s="444"/>
      <c r="BE28" s="444"/>
      <c r="BF28" s="412"/>
      <c r="BG28" s="446"/>
      <c r="BH28" s="609">
        <v>0.52</v>
      </c>
      <c r="BI28" s="619">
        <v>0.5091</v>
      </c>
      <c r="BJ28" s="489">
        <f>BI28/BH28*1</f>
        <v>0.97903846153846152</v>
      </c>
      <c r="BK28" s="444"/>
      <c r="BL28" s="79"/>
      <c r="BM28" s="481"/>
      <c r="BN28" s="447" t="s">
        <v>524</v>
      </c>
      <c r="BO28" s="620">
        <v>0.52</v>
      </c>
      <c r="BP28" s="564">
        <v>0.41539999999999999</v>
      </c>
      <c r="BQ28" s="431">
        <f>BP28/BO28</f>
        <v>0.79884615384615376</v>
      </c>
      <c r="BR28" s="467"/>
      <c r="BS28" s="467"/>
      <c r="BT28" s="412"/>
      <c r="BU28" s="486" t="s">
        <v>606</v>
      </c>
      <c r="BV28" s="683"/>
      <c r="BW28" s="685"/>
      <c r="BX28" s="431">
        <v>0</v>
      </c>
      <c r="BY28" s="467"/>
      <c r="BZ28" s="455"/>
      <c r="CA28" s="570"/>
      <c r="CB28" s="451" t="s">
        <v>1006</v>
      </c>
      <c r="CC28" s="434" t="s">
        <v>1052</v>
      </c>
      <c r="CD28" s="437"/>
      <c r="CE28" s="400"/>
      <c r="CF28" s="432">
        <v>0</v>
      </c>
    </row>
    <row r="29" spans="1:84" ht="222" customHeight="1" x14ac:dyDescent="0.25">
      <c r="A29" s="681"/>
      <c r="B29" s="413"/>
      <c r="C29" s="680"/>
      <c r="D29" s="602"/>
      <c r="E29" s="413"/>
      <c r="F29" s="413"/>
      <c r="G29" s="413"/>
      <c r="H29" s="460"/>
      <c r="I29" s="616"/>
      <c r="J29" s="413"/>
      <c r="K29" s="412"/>
      <c r="L29" s="412"/>
      <c r="M29" s="412"/>
      <c r="N29" s="412"/>
      <c r="O29" s="412"/>
      <c r="P29" s="412"/>
      <c r="Q29" s="554"/>
      <c r="R29" s="104" t="s">
        <v>41</v>
      </c>
      <c r="S29" s="589"/>
      <c r="T29" s="589"/>
      <c r="U29" s="589"/>
      <c r="V29" s="589"/>
      <c r="W29" s="412"/>
      <c r="X29" s="657"/>
      <c r="Y29" s="104" t="s">
        <v>41</v>
      </c>
      <c r="Z29" s="102" t="s">
        <v>662</v>
      </c>
      <c r="AA29" s="431"/>
      <c r="AB29" s="467"/>
      <c r="AC29" s="467"/>
      <c r="AD29" s="412"/>
      <c r="AE29" s="528" t="s">
        <v>680</v>
      </c>
      <c r="AF29" s="236">
        <v>5</v>
      </c>
      <c r="AG29" s="96">
        <v>5</v>
      </c>
      <c r="AH29" s="431"/>
      <c r="AI29" s="74" t="s">
        <v>702</v>
      </c>
      <c r="AJ29" s="74" t="s">
        <v>703</v>
      </c>
      <c r="AK29" s="412"/>
      <c r="AL29" s="269" t="s">
        <v>744</v>
      </c>
      <c r="AM29" s="188">
        <v>6</v>
      </c>
      <c r="AN29" s="72">
        <v>3</v>
      </c>
      <c r="AO29" s="431"/>
      <c r="AP29" s="140">
        <v>1186000000</v>
      </c>
      <c r="AQ29" s="254">
        <v>976986480</v>
      </c>
      <c r="AR29" s="412"/>
      <c r="AS29" s="214" t="s">
        <v>825</v>
      </c>
      <c r="AT29" s="504">
        <v>7</v>
      </c>
      <c r="AU29" s="492">
        <v>9</v>
      </c>
      <c r="AV29" s="431"/>
      <c r="AW29" s="643" t="s">
        <v>857</v>
      </c>
      <c r="AX29" s="589" t="s">
        <v>857</v>
      </c>
      <c r="AY29" s="412"/>
      <c r="AZ29" s="499" t="s">
        <v>877</v>
      </c>
      <c r="BA29" s="480"/>
      <c r="BB29" s="481"/>
      <c r="BC29" s="431"/>
      <c r="BD29" s="444"/>
      <c r="BE29" s="444"/>
      <c r="BF29" s="412"/>
      <c r="BG29" s="446"/>
      <c r="BH29" s="609"/>
      <c r="BI29" s="619"/>
      <c r="BJ29" s="489"/>
      <c r="BK29" s="444"/>
      <c r="BL29" s="79"/>
      <c r="BM29" s="481"/>
      <c r="BN29" s="447"/>
      <c r="BO29" s="620"/>
      <c r="BP29" s="564"/>
      <c r="BQ29" s="431"/>
      <c r="BR29" s="467"/>
      <c r="BS29" s="467"/>
      <c r="BT29" s="412"/>
      <c r="BU29" s="486"/>
      <c r="BV29" s="363">
        <v>0.53400000000000003</v>
      </c>
      <c r="BW29" s="362">
        <v>0.36549999999999999</v>
      </c>
      <c r="BX29" s="431"/>
      <c r="BY29" s="467"/>
      <c r="BZ29" s="456"/>
      <c r="CA29" s="427"/>
      <c r="CB29" s="460"/>
      <c r="CC29" s="457"/>
      <c r="CD29" s="343">
        <v>0.55000000000000004</v>
      </c>
      <c r="CE29" s="59">
        <v>0.36549999999999999</v>
      </c>
      <c r="CF29" s="433"/>
    </row>
    <row r="30" spans="1:84" ht="39" customHeight="1" x14ac:dyDescent="0.25">
      <c r="A30" s="681"/>
      <c r="B30" s="413"/>
      <c r="C30" s="680"/>
      <c r="D30" s="602" t="s">
        <v>78</v>
      </c>
      <c r="E30" s="48" t="s">
        <v>79</v>
      </c>
      <c r="F30" s="48" t="s">
        <v>440</v>
      </c>
      <c r="G30" s="48" t="s">
        <v>72</v>
      </c>
      <c r="H30" s="96" t="s">
        <v>1006</v>
      </c>
      <c r="I30" s="48">
        <v>4</v>
      </c>
      <c r="J30" s="48">
        <v>8</v>
      </c>
      <c r="K30" s="60" t="s">
        <v>292</v>
      </c>
      <c r="L30" s="60" t="s">
        <v>310</v>
      </c>
      <c r="M30" s="60">
        <v>2201030</v>
      </c>
      <c r="N30" s="60" t="s">
        <v>311</v>
      </c>
      <c r="O30" s="60">
        <v>220103000</v>
      </c>
      <c r="P30" s="60" t="s">
        <v>312</v>
      </c>
      <c r="Q30" s="125">
        <v>8</v>
      </c>
      <c r="R30" s="104" t="s">
        <v>41</v>
      </c>
      <c r="S30" s="589"/>
      <c r="T30" s="589"/>
      <c r="U30" s="589"/>
      <c r="V30" s="589"/>
      <c r="W30" s="60" t="s">
        <v>259</v>
      </c>
      <c r="X30" s="657"/>
      <c r="Y30" s="104" t="s">
        <v>41</v>
      </c>
      <c r="Z30" s="102" t="s">
        <v>662</v>
      </c>
      <c r="AA30" s="57" t="e">
        <f>(Z30/Y30)*1</f>
        <v>#VALUE!</v>
      </c>
      <c r="AB30" s="58"/>
      <c r="AC30" s="58"/>
      <c r="AD30" s="60" t="s">
        <v>259</v>
      </c>
      <c r="AE30" s="528"/>
      <c r="AF30" s="239">
        <v>0.4</v>
      </c>
      <c r="AG30" s="134">
        <v>0.19</v>
      </c>
      <c r="AH30" s="57">
        <f>(AG30/AF30)*1</f>
        <v>0.47499999999999998</v>
      </c>
      <c r="AI30" s="474">
        <v>130000000</v>
      </c>
      <c r="AJ30" s="474">
        <v>988000</v>
      </c>
      <c r="AK30" s="60" t="s">
        <v>259</v>
      </c>
      <c r="AL30" s="269" t="s">
        <v>745</v>
      </c>
      <c r="AM30" s="236" t="s">
        <v>779</v>
      </c>
      <c r="AN30" s="96" t="s">
        <v>41</v>
      </c>
      <c r="AO30" s="57" t="e">
        <f>(AN30/AM30)*1</f>
        <v>#VALUE!</v>
      </c>
      <c r="AP30" s="474" t="s">
        <v>794</v>
      </c>
      <c r="AQ30" s="474">
        <v>67600000</v>
      </c>
      <c r="AR30" s="60" t="s">
        <v>259</v>
      </c>
      <c r="AS30" s="472" t="s">
        <v>826</v>
      </c>
      <c r="AT30" s="504"/>
      <c r="AU30" s="492"/>
      <c r="AV30" s="57" t="e">
        <f>(AU30/AT30)*1</f>
        <v>#DIV/0!</v>
      </c>
      <c r="AW30" s="643"/>
      <c r="AX30" s="589"/>
      <c r="AY30" s="60" t="s">
        <v>259</v>
      </c>
      <c r="AZ30" s="498"/>
      <c r="BA30" s="192">
        <v>8</v>
      </c>
      <c r="BB30" s="80">
        <v>8</v>
      </c>
      <c r="BC30" s="57">
        <f>(BB30/BA30)*1</f>
        <v>1</v>
      </c>
      <c r="BD30" s="79" t="s">
        <v>926</v>
      </c>
      <c r="BE30" s="79" t="s">
        <v>927</v>
      </c>
      <c r="BF30" s="60" t="s">
        <v>259</v>
      </c>
      <c r="BG30" s="183" t="s">
        <v>944</v>
      </c>
      <c r="BH30" s="195">
        <v>8</v>
      </c>
      <c r="BI30" s="80">
        <v>8</v>
      </c>
      <c r="BJ30" s="81">
        <f>(BI30/BH30)*1</f>
        <v>1</v>
      </c>
      <c r="BK30" s="79"/>
      <c r="BL30" s="79"/>
      <c r="BM30" s="80" t="s">
        <v>259</v>
      </c>
      <c r="BN30" s="196" t="s">
        <v>525</v>
      </c>
      <c r="BO30" s="167">
        <v>8</v>
      </c>
      <c r="BP30" s="60">
        <v>8</v>
      </c>
      <c r="BQ30" s="57">
        <f>(BP30/BO30)*1</f>
        <v>1</v>
      </c>
      <c r="BR30" s="58"/>
      <c r="BS30" s="58"/>
      <c r="BT30" s="60" t="s">
        <v>259</v>
      </c>
      <c r="BU30" s="181" t="s">
        <v>607</v>
      </c>
      <c r="BV30" s="377">
        <v>8</v>
      </c>
      <c r="BW30" s="378">
        <v>4</v>
      </c>
      <c r="BX30" s="57">
        <f>(BW30/BV30)*1</f>
        <v>0.5</v>
      </c>
      <c r="BY30" s="58">
        <v>0</v>
      </c>
      <c r="BZ30" s="58">
        <v>0</v>
      </c>
      <c r="CA30" s="57">
        <v>0</v>
      </c>
      <c r="CB30" s="96" t="s">
        <v>1006</v>
      </c>
      <c r="CC30" s="350" t="s">
        <v>1094</v>
      </c>
      <c r="CD30" s="48">
        <v>8</v>
      </c>
      <c r="CE30" s="60">
        <v>4</v>
      </c>
      <c r="CF30" s="63">
        <f>CE30/CD30</f>
        <v>0.5</v>
      </c>
    </row>
    <row r="31" spans="1:84" ht="337.5" customHeight="1" x14ac:dyDescent="0.25">
      <c r="A31" s="681"/>
      <c r="B31" s="413"/>
      <c r="C31" s="680"/>
      <c r="D31" s="602"/>
      <c r="E31" s="48" t="s">
        <v>455</v>
      </c>
      <c r="F31" s="48" t="s">
        <v>80</v>
      </c>
      <c r="G31" s="48" t="s">
        <v>81</v>
      </c>
      <c r="H31" s="96" t="s">
        <v>1007</v>
      </c>
      <c r="I31" s="37" t="s">
        <v>82</v>
      </c>
      <c r="J31" s="48" t="s">
        <v>83</v>
      </c>
      <c r="K31" s="60" t="s">
        <v>292</v>
      </c>
      <c r="L31" s="60" t="s">
        <v>313</v>
      </c>
      <c r="M31" s="60" t="s">
        <v>294</v>
      </c>
      <c r="N31" s="60" t="s">
        <v>314</v>
      </c>
      <c r="O31" s="60" t="s">
        <v>294</v>
      </c>
      <c r="P31" s="60" t="s">
        <v>315</v>
      </c>
      <c r="Q31" s="125" t="s">
        <v>83</v>
      </c>
      <c r="R31" s="104" t="s">
        <v>41</v>
      </c>
      <c r="S31" s="589"/>
      <c r="T31" s="589"/>
      <c r="U31" s="589"/>
      <c r="V31" s="589"/>
      <c r="W31" s="412" t="s">
        <v>260</v>
      </c>
      <c r="X31" s="108"/>
      <c r="Y31" s="104" t="s">
        <v>41</v>
      </c>
      <c r="Z31" s="102" t="s">
        <v>662</v>
      </c>
      <c r="AA31" s="57">
        <v>1</v>
      </c>
      <c r="AB31" s="58"/>
      <c r="AC31" s="58"/>
      <c r="AD31" s="412" t="s">
        <v>260</v>
      </c>
      <c r="AE31" s="267" t="s">
        <v>681</v>
      </c>
      <c r="AF31" s="239">
        <v>0.5</v>
      </c>
      <c r="AG31" s="96" t="s">
        <v>41</v>
      </c>
      <c r="AH31" s="57">
        <v>1</v>
      </c>
      <c r="AI31" s="474"/>
      <c r="AJ31" s="474"/>
      <c r="AK31" s="412" t="s">
        <v>260</v>
      </c>
      <c r="AL31" s="472" t="s">
        <v>746</v>
      </c>
      <c r="AM31" s="239">
        <v>0.5</v>
      </c>
      <c r="AN31" s="134" t="s">
        <v>41</v>
      </c>
      <c r="AO31" s="57">
        <v>1</v>
      </c>
      <c r="AP31" s="474"/>
      <c r="AQ31" s="474"/>
      <c r="AR31" s="412" t="s">
        <v>260</v>
      </c>
      <c r="AS31" s="472"/>
      <c r="AT31" s="226">
        <v>0.24</v>
      </c>
      <c r="AU31" s="147">
        <v>0.44</v>
      </c>
      <c r="AV31" s="57">
        <v>1</v>
      </c>
      <c r="AW31" s="246" t="s">
        <v>857</v>
      </c>
      <c r="AX31" s="246" t="s">
        <v>857</v>
      </c>
      <c r="AY31" s="412" t="s">
        <v>260</v>
      </c>
      <c r="AZ31" s="232" t="s">
        <v>878</v>
      </c>
      <c r="BA31" s="192"/>
      <c r="BB31" s="80"/>
      <c r="BC31" s="57">
        <v>1</v>
      </c>
      <c r="BD31" s="444" t="s">
        <v>928</v>
      </c>
      <c r="BE31" s="444" t="s">
        <v>928</v>
      </c>
      <c r="BF31" s="412" t="s">
        <v>260</v>
      </c>
      <c r="BG31" s="183" t="s">
        <v>945</v>
      </c>
      <c r="BH31" s="197">
        <v>0.4415</v>
      </c>
      <c r="BI31" s="86">
        <v>0.47299999999999998</v>
      </c>
      <c r="BJ31" s="81">
        <v>1</v>
      </c>
      <c r="BK31" s="79" t="s">
        <v>526</v>
      </c>
      <c r="BL31" s="79" t="s">
        <v>527</v>
      </c>
      <c r="BM31" s="481" t="s">
        <v>260</v>
      </c>
      <c r="BN31" s="196" t="s">
        <v>528</v>
      </c>
      <c r="BO31" s="169">
        <v>0.46100000000000002</v>
      </c>
      <c r="BP31" s="39">
        <v>0.47299999999999998</v>
      </c>
      <c r="BQ31" s="57">
        <v>1</v>
      </c>
      <c r="BR31" s="58" t="s">
        <v>469</v>
      </c>
      <c r="BS31" s="58" t="s">
        <v>470</v>
      </c>
      <c r="BT31" s="412" t="s">
        <v>260</v>
      </c>
      <c r="BU31" s="181" t="s">
        <v>608</v>
      </c>
      <c r="BV31" s="138" t="s">
        <v>981</v>
      </c>
      <c r="BW31" s="39">
        <v>0.47299999999999998</v>
      </c>
      <c r="BX31" s="57">
        <v>0.93</v>
      </c>
      <c r="BY31" s="58">
        <f>918000000+
3690000</f>
        <v>921690000</v>
      </c>
      <c r="BZ31" s="338">
        <v>3960000</v>
      </c>
      <c r="CA31" s="57">
        <f>BZ31/BY31</f>
        <v>4.296455424274973E-3</v>
      </c>
      <c r="CB31" s="96" t="s">
        <v>1007</v>
      </c>
      <c r="CC31" s="434" t="s">
        <v>1097</v>
      </c>
      <c r="CD31" s="48" t="s">
        <v>83</v>
      </c>
      <c r="CE31" s="39">
        <v>0.47299999999999998</v>
      </c>
      <c r="CF31" s="57">
        <v>0.93</v>
      </c>
    </row>
    <row r="32" spans="1:84" ht="108" customHeight="1" x14ac:dyDescent="0.25">
      <c r="A32" s="681"/>
      <c r="B32" s="413"/>
      <c r="C32" s="680"/>
      <c r="D32" s="602" t="s">
        <v>84</v>
      </c>
      <c r="E32" s="48" t="s">
        <v>85</v>
      </c>
      <c r="F32" s="48" t="s">
        <v>86</v>
      </c>
      <c r="G32" s="48" t="s">
        <v>81</v>
      </c>
      <c r="H32" s="96" t="s">
        <v>1007</v>
      </c>
      <c r="I32" s="37" t="s">
        <v>87</v>
      </c>
      <c r="J32" s="48" t="s">
        <v>88</v>
      </c>
      <c r="K32" s="412" t="s">
        <v>292</v>
      </c>
      <c r="L32" s="412" t="s">
        <v>310</v>
      </c>
      <c r="M32" s="412">
        <v>2201033</v>
      </c>
      <c r="N32" s="412" t="s">
        <v>316</v>
      </c>
      <c r="O32" s="412">
        <v>220103300</v>
      </c>
      <c r="P32" s="412" t="s">
        <v>317</v>
      </c>
      <c r="Q32" s="125" t="s">
        <v>88</v>
      </c>
      <c r="R32" s="104" t="s">
        <v>41</v>
      </c>
      <c r="S32" s="589"/>
      <c r="T32" s="589"/>
      <c r="U32" s="589"/>
      <c r="V32" s="589"/>
      <c r="W32" s="412"/>
      <c r="X32" s="657"/>
      <c r="Y32" s="104" t="s">
        <v>41</v>
      </c>
      <c r="Z32" s="102" t="s">
        <v>662</v>
      </c>
      <c r="AA32" s="57">
        <v>0.86550000000000005</v>
      </c>
      <c r="AB32" s="58"/>
      <c r="AC32" s="58"/>
      <c r="AD32" s="412"/>
      <c r="AE32" s="528" t="s">
        <v>682</v>
      </c>
      <c r="AF32" s="239">
        <v>0.1</v>
      </c>
      <c r="AG32" s="1">
        <v>8.7999999999999995E-2</v>
      </c>
      <c r="AH32" s="57">
        <v>0.86550000000000005</v>
      </c>
      <c r="AI32" s="474"/>
      <c r="AJ32" s="474"/>
      <c r="AK32" s="412"/>
      <c r="AL32" s="472"/>
      <c r="AM32" s="215">
        <v>0.09</v>
      </c>
      <c r="AN32" s="138" t="s">
        <v>41</v>
      </c>
      <c r="AO32" s="57">
        <v>0.86550000000000005</v>
      </c>
      <c r="AP32" s="474"/>
      <c r="AQ32" s="474"/>
      <c r="AR32" s="412"/>
      <c r="AS32" s="472"/>
      <c r="AT32" s="226">
        <v>0.48</v>
      </c>
      <c r="AU32" s="147">
        <v>0.42</v>
      </c>
      <c r="AV32" s="57">
        <v>0.86550000000000005</v>
      </c>
      <c r="AW32" s="246" t="s">
        <v>857</v>
      </c>
      <c r="AX32" s="246" t="s">
        <v>857</v>
      </c>
      <c r="AY32" s="412"/>
      <c r="AZ32" s="231" t="s">
        <v>879</v>
      </c>
      <c r="BA32" s="194"/>
      <c r="BB32" s="80"/>
      <c r="BC32" s="57">
        <v>0.86550000000000005</v>
      </c>
      <c r="BD32" s="444"/>
      <c r="BE32" s="444"/>
      <c r="BF32" s="412"/>
      <c r="BG32" s="193" t="s">
        <v>946</v>
      </c>
      <c r="BH32" s="198">
        <v>0.47</v>
      </c>
      <c r="BI32" s="87">
        <v>0.54300000000000004</v>
      </c>
      <c r="BJ32" s="81">
        <v>0</v>
      </c>
      <c r="BK32" s="79">
        <v>71030094</v>
      </c>
      <c r="BL32" s="79">
        <v>56824075</v>
      </c>
      <c r="BM32" s="481"/>
      <c r="BN32" s="193" t="s">
        <v>529</v>
      </c>
      <c r="BO32" s="170">
        <v>0.46800000000000003</v>
      </c>
      <c r="BP32" s="61">
        <v>0.54300000000000004</v>
      </c>
      <c r="BQ32" s="57">
        <v>0.86550000000000005</v>
      </c>
      <c r="BR32" s="58">
        <v>0</v>
      </c>
      <c r="BS32" s="58">
        <v>0</v>
      </c>
      <c r="BT32" s="412"/>
      <c r="BU32" s="163" t="s">
        <v>609</v>
      </c>
      <c r="BV32" s="139" t="s">
        <v>982</v>
      </c>
      <c r="BW32" s="61">
        <v>0.54300000000000004</v>
      </c>
      <c r="BX32" s="57">
        <v>0</v>
      </c>
      <c r="BY32" s="58">
        <v>0</v>
      </c>
      <c r="BZ32" s="58">
        <v>0</v>
      </c>
      <c r="CA32" s="57">
        <v>0</v>
      </c>
      <c r="CB32" s="96" t="s">
        <v>1007</v>
      </c>
      <c r="CC32" s="457"/>
      <c r="CD32" s="48" t="s">
        <v>88</v>
      </c>
      <c r="CE32" s="61">
        <v>0.54300000000000004</v>
      </c>
      <c r="CF32" s="63">
        <v>0</v>
      </c>
    </row>
    <row r="33" spans="1:84" ht="333.6" customHeight="1" x14ac:dyDescent="0.25">
      <c r="A33" s="681"/>
      <c r="B33" s="413"/>
      <c r="C33" s="680"/>
      <c r="D33" s="602"/>
      <c r="E33" s="48" t="s">
        <v>89</v>
      </c>
      <c r="F33" s="48" t="s">
        <v>90</v>
      </c>
      <c r="G33" s="48" t="s">
        <v>81</v>
      </c>
      <c r="H33" s="96" t="s">
        <v>1007</v>
      </c>
      <c r="I33" s="37" t="s">
        <v>91</v>
      </c>
      <c r="J33" s="48" t="s">
        <v>92</v>
      </c>
      <c r="K33" s="412"/>
      <c r="L33" s="412"/>
      <c r="M33" s="412"/>
      <c r="N33" s="412"/>
      <c r="O33" s="412"/>
      <c r="P33" s="412"/>
      <c r="Q33" s="125" t="s">
        <v>92</v>
      </c>
      <c r="R33" s="104" t="s">
        <v>41</v>
      </c>
      <c r="S33" s="589"/>
      <c r="T33" s="589"/>
      <c r="U33" s="589"/>
      <c r="V33" s="589"/>
      <c r="W33" s="412"/>
      <c r="X33" s="657"/>
      <c r="Y33" s="104" t="s">
        <v>41</v>
      </c>
      <c r="Z33" s="102" t="s">
        <v>662</v>
      </c>
      <c r="AA33" s="57">
        <v>1</v>
      </c>
      <c r="AB33" s="58"/>
      <c r="AC33" s="58"/>
      <c r="AD33" s="412"/>
      <c r="AE33" s="528"/>
      <c r="AF33" s="239">
        <v>0.55000000000000004</v>
      </c>
      <c r="AG33" s="134">
        <v>0.51</v>
      </c>
      <c r="AH33" s="57">
        <v>1</v>
      </c>
      <c r="AI33" s="474"/>
      <c r="AJ33" s="474"/>
      <c r="AK33" s="412"/>
      <c r="AL33" s="214" t="s">
        <v>747</v>
      </c>
      <c r="AM33" s="239">
        <v>0.57999999999999996</v>
      </c>
      <c r="AN33" s="134" t="s">
        <v>41</v>
      </c>
      <c r="AO33" s="57">
        <v>1</v>
      </c>
      <c r="AP33" s="474"/>
      <c r="AQ33" s="474"/>
      <c r="AR33" s="412"/>
      <c r="AS33" s="472"/>
      <c r="AT33" s="226">
        <v>0.08</v>
      </c>
      <c r="AU33" s="148">
        <v>8.5000000000000006E-2</v>
      </c>
      <c r="AV33" s="57">
        <v>1</v>
      </c>
      <c r="AW33" s="246" t="s">
        <v>857</v>
      </c>
      <c r="AX33" s="246" t="s">
        <v>857</v>
      </c>
      <c r="AY33" s="412"/>
      <c r="AZ33" s="232" t="s">
        <v>880</v>
      </c>
      <c r="BA33" s="194">
        <v>7.0000000000000007E-2</v>
      </c>
      <c r="BB33" s="78" t="s">
        <v>920</v>
      </c>
      <c r="BC33" s="57">
        <v>1</v>
      </c>
      <c r="BD33" s="444"/>
      <c r="BE33" s="444"/>
      <c r="BF33" s="412"/>
      <c r="BG33" s="193" t="s">
        <v>947</v>
      </c>
      <c r="BH33" s="198">
        <v>8.6800000000000002E-2</v>
      </c>
      <c r="BI33" s="87">
        <v>8.7900000000000006E-2</v>
      </c>
      <c r="BJ33" s="81">
        <v>1</v>
      </c>
      <c r="BK33" s="79" t="s">
        <v>530</v>
      </c>
      <c r="BL33" s="79" t="s">
        <v>530</v>
      </c>
      <c r="BM33" s="481"/>
      <c r="BN33" s="193" t="s">
        <v>531</v>
      </c>
      <c r="BO33" s="170">
        <v>8.1199999999999994E-2</v>
      </c>
      <c r="BP33" s="61">
        <v>8.7900000000000006E-2</v>
      </c>
      <c r="BQ33" s="57">
        <v>1</v>
      </c>
      <c r="BR33" s="58">
        <v>0</v>
      </c>
      <c r="BS33" s="58">
        <v>0</v>
      </c>
      <c r="BT33" s="412"/>
      <c r="BU33" s="163" t="s">
        <v>610</v>
      </c>
      <c r="BV33" s="139" t="s">
        <v>983</v>
      </c>
      <c r="BW33" s="61">
        <v>8.7900000000000006E-2</v>
      </c>
      <c r="BX33" s="57">
        <v>0.75</v>
      </c>
      <c r="BY33" s="58">
        <f>359582000+90000000</f>
        <v>449582000</v>
      </c>
      <c r="BZ33" s="58">
        <f>107874824+90000000</f>
        <v>197874824</v>
      </c>
      <c r="CA33" s="57">
        <f>BZ33/BY33</f>
        <v>0.44013066359418301</v>
      </c>
      <c r="CB33" s="96" t="s">
        <v>1007</v>
      </c>
      <c r="CC33" s="82" t="s">
        <v>1053</v>
      </c>
      <c r="CD33" s="48" t="s">
        <v>92</v>
      </c>
      <c r="CE33" s="61">
        <v>8.7900000000000006E-2</v>
      </c>
      <c r="CF33" s="63">
        <v>0.75</v>
      </c>
    </row>
    <row r="34" spans="1:84" ht="165.75" customHeight="1" x14ac:dyDescent="0.25">
      <c r="A34" s="681"/>
      <c r="B34" s="413"/>
      <c r="C34" s="680"/>
      <c r="D34" s="128" t="s">
        <v>93</v>
      </c>
      <c r="E34" s="48" t="s">
        <v>94</v>
      </c>
      <c r="F34" s="48" t="s">
        <v>95</v>
      </c>
      <c r="G34" s="48" t="s">
        <v>81</v>
      </c>
      <c r="H34" s="96" t="s">
        <v>1007</v>
      </c>
      <c r="I34" s="37" t="s">
        <v>96</v>
      </c>
      <c r="J34" s="48" t="s">
        <v>97</v>
      </c>
      <c r="K34" s="60" t="s">
        <v>292</v>
      </c>
      <c r="L34" s="60" t="s">
        <v>313</v>
      </c>
      <c r="M34" s="60" t="s">
        <v>294</v>
      </c>
      <c r="N34" s="60" t="s">
        <v>314</v>
      </c>
      <c r="O34" s="60" t="s">
        <v>294</v>
      </c>
      <c r="P34" s="60" t="s">
        <v>315</v>
      </c>
      <c r="Q34" s="125" t="s">
        <v>97</v>
      </c>
      <c r="R34" s="104" t="s">
        <v>41</v>
      </c>
      <c r="S34" s="589"/>
      <c r="T34" s="589"/>
      <c r="U34" s="589"/>
      <c r="V34" s="589"/>
      <c r="W34" s="412"/>
      <c r="X34" s="657"/>
      <c r="Y34" s="104" t="s">
        <v>41</v>
      </c>
      <c r="Z34" s="102" t="s">
        <v>662</v>
      </c>
      <c r="AA34" s="57" t="e">
        <f>Z34/Y34</f>
        <v>#VALUE!</v>
      </c>
      <c r="AB34" s="58"/>
      <c r="AC34" s="58"/>
      <c r="AD34" s="412"/>
      <c r="AE34" s="528"/>
      <c r="AF34" s="239">
        <v>0.7</v>
      </c>
      <c r="AG34" s="134">
        <v>0.5</v>
      </c>
      <c r="AH34" s="57">
        <f>AG34/AF34</f>
        <v>0.7142857142857143</v>
      </c>
      <c r="AI34" s="74" t="s">
        <v>704</v>
      </c>
      <c r="AJ34" s="74" t="s">
        <v>705</v>
      </c>
      <c r="AK34" s="412"/>
      <c r="AL34" s="269" t="s">
        <v>748</v>
      </c>
      <c r="AM34" s="215">
        <v>0.7</v>
      </c>
      <c r="AN34" s="138">
        <v>0.5</v>
      </c>
      <c r="AO34" s="57">
        <f>AN34/AM34</f>
        <v>0.7142857142857143</v>
      </c>
      <c r="AP34" s="255">
        <v>25750000</v>
      </c>
      <c r="AQ34" s="256">
        <v>22400000</v>
      </c>
      <c r="AR34" s="412"/>
      <c r="AS34" s="225" t="s">
        <v>827</v>
      </c>
      <c r="AT34" s="226">
        <v>0.6</v>
      </c>
      <c r="AU34" s="147">
        <v>0.56899999999999995</v>
      </c>
      <c r="AV34" s="57">
        <f>AU34/AT34</f>
        <v>0.94833333333333325</v>
      </c>
      <c r="AW34" s="246" t="s">
        <v>857</v>
      </c>
      <c r="AX34" s="246" t="s">
        <v>857</v>
      </c>
      <c r="AY34" s="412"/>
      <c r="AZ34" s="232" t="s">
        <v>881</v>
      </c>
      <c r="BA34" s="194">
        <v>0.71</v>
      </c>
      <c r="BB34" s="84">
        <v>0.63</v>
      </c>
      <c r="BC34" s="57">
        <f>BB34/BA34</f>
        <v>0.88732394366197187</v>
      </c>
      <c r="BD34" s="444"/>
      <c r="BE34" s="444"/>
      <c r="BF34" s="412"/>
      <c r="BG34" s="216" t="s">
        <v>948</v>
      </c>
      <c r="BH34" s="199">
        <v>0.68600000000000005</v>
      </c>
      <c r="BI34" s="88">
        <v>0.623</v>
      </c>
      <c r="BJ34" s="81">
        <f>BI34/BH34</f>
        <v>0.90816326530612235</v>
      </c>
      <c r="BK34" s="79"/>
      <c r="BL34" s="79"/>
      <c r="BM34" s="481"/>
      <c r="BN34" s="187" t="s">
        <v>532</v>
      </c>
      <c r="BO34" s="171">
        <v>0.69020000000000004</v>
      </c>
      <c r="BP34" s="40">
        <v>0.623</v>
      </c>
      <c r="BQ34" s="57">
        <f>BP34/BO34</f>
        <v>0.9026369168356998</v>
      </c>
      <c r="BR34" s="58">
        <v>0</v>
      </c>
      <c r="BS34" s="58">
        <v>0</v>
      </c>
      <c r="BT34" s="412"/>
      <c r="BU34" s="113" t="s">
        <v>611</v>
      </c>
      <c r="BV34" s="138">
        <v>0.70199999999999996</v>
      </c>
      <c r="BW34" s="40">
        <v>0.623</v>
      </c>
      <c r="BX34" s="57">
        <v>0.122</v>
      </c>
      <c r="BY34" s="58">
        <v>0</v>
      </c>
      <c r="BZ34" s="339">
        <v>0</v>
      </c>
      <c r="CA34" s="57">
        <f>BY34/BX34</f>
        <v>0</v>
      </c>
      <c r="CB34" s="96" t="s">
        <v>1007</v>
      </c>
      <c r="CC34" s="351" t="s">
        <v>1054</v>
      </c>
      <c r="CD34" s="48" t="s">
        <v>97</v>
      </c>
      <c r="CE34" s="40">
        <v>0.623</v>
      </c>
      <c r="CF34" s="63">
        <v>0.122</v>
      </c>
    </row>
    <row r="35" spans="1:84" ht="298.5" customHeight="1" x14ac:dyDescent="0.25">
      <c r="A35" s="681"/>
      <c r="B35" s="413" t="s">
        <v>98</v>
      </c>
      <c r="C35" s="680" t="s">
        <v>99</v>
      </c>
      <c r="D35" s="128" t="s">
        <v>100</v>
      </c>
      <c r="E35" s="48" t="s">
        <v>101</v>
      </c>
      <c r="F35" s="48" t="s">
        <v>102</v>
      </c>
      <c r="G35" s="48" t="s">
        <v>103</v>
      </c>
      <c r="H35" s="1" t="s">
        <v>1008</v>
      </c>
      <c r="I35" s="37" t="s">
        <v>104</v>
      </c>
      <c r="J35" s="64">
        <v>0.8</v>
      </c>
      <c r="K35" s="60" t="s">
        <v>292</v>
      </c>
      <c r="L35" s="60" t="s">
        <v>318</v>
      </c>
      <c r="M35" s="60" t="s">
        <v>294</v>
      </c>
      <c r="N35" s="48" t="s">
        <v>319</v>
      </c>
      <c r="O35" s="48" t="s">
        <v>294</v>
      </c>
      <c r="P35" s="48" t="s">
        <v>320</v>
      </c>
      <c r="Q35" s="126">
        <v>0.8</v>
      </c>
      <c r="R35" s="104" t="s">
        <v>41</v>
      </c>
      <c r="S35" s="589"/>
      <c r="T35" s="589"/>
      <c r="U35" s="589"/>
      <c r="V35" s="589"/>
      <c r="W35" s="60" t="s">
        <v>261</v>
      </c>
      <c r="X35" s="105"/>
      <c r="Y35" s="104" t="s">
        <v>41</v>
      </c>
      <c r="Z35" s="102" t="s">
        <v>662</v>
      </c>
      <c r="AA35" s="57" t="e">
        <f>Z35/Y35</f>
        <v>#VALUE!</v>
      </c>
      <c r="AB35" s="58"/>
      <c r="AC35" s="55"/>
      <c r="AD35" s="60" t="s">
        <v>261</v>
      </c>
      <c r="AE35" s="266" t="s">
        <v>671</v>
      </c>
      <c r="AF35" s="239">
        <v>0.6</v>
      </c>
      <c r="AG35" s="134">
        <v>0.86</v>
      </c>
      <c r="AH35" s="57">
        <f>AG35/AF35</f>
        <v>1.4333333333333333</v>
      </c>
      <c r="AI35" s="74">
        <v>28200000</v>
      </c>
      <c r="AJ35" s="74">
        <v>8167000</v>
      </c>
      <c r="AK35" s="60" t="s">
        <v>261</v>
      </c>
      <c r="AL35" s="269" t="s">
        <v>749</v>
      </c>
      <c r="AM35" s="215">
        <v>0.65</v>
      </c>
      <c r="AN35" s="138">
        <v>0.86</v>
      </c>
      <c r="AO35" s="57">
        <f>AN35/AM35</f>
        <v>1.323076923076923</v>
      </c>
      <c r="AP35" s="257">
        <v>29046000</v>
      </c>
      <c r="AQ35" s="141" t="s">
        <v>701</v>
      </c>
      <c r="AR35" s="60" t="s">
        <v>261</v>
      </c>
      <c r="AS35" s="225" t="s">
        <v>828</v>
      </c>
      <c r="AT35" s="226">
        <v>0.72</v>
      </c>
      <c r="AU35" s="147">
        <v>0.5</v>
      </c>
      <c r="AV35" s="57">
        <f>AU35/AT35</f>
        <v>0.69444444444444442</v>
      </c>
      <c r="AW35" s="246" t="s">
        <v>857</v>
      </c>
      <c r="AX35" s="246" t="s">
        <v>857</v>
      </c>
      <c r="AY35" s="60" t="s">
        <v>261</v>
      </c>
      <c r="AZ35" s="281" t="s">
        <v>882</v>
      </c>
      <c r="BA35" s="192">
        <v>12</v>
      </c>
      <c r="BB35" s="80">
        <v>12</v>
      </c>
      <c r="BC35" s="57">
        <f>BB35/BA35</f>
        <v>1</v>
      </c>
      <c r="BD35" s="79"/>
      <c r="BE35" s="79"/>
      <c r="BF35" s="60" t="s">
        <v>261</v>
      </c>
      <c r="BG35" s="183" t="s">
        <v>949</v>
      </c>
      <c r="BH35" s="194">
        <v>0.56000000000000005</v>
      </c>
      <c r="BI35" s="89">
        <f>5/12</f>
        <v>0.41666666666666669</v>
      </c>
      <c r="BJ35" s="81">
        <f>BI35/BH35</f>
        <v>0.74404761904761896</v>
      </c>
      <c r="BK35" s="79" t="s">
        <v>533</v>
      </c>
      <c r="BL35" s="101">
        <v>900</v>
      </c>
      <c r="BM35" s="80" t="s">
        <v>261</v>
      </c>
      <c r="BN35" s="183" t="s">
        <v>534</v>
      </c>
      <c r="BO35" s="164">
        <v>0.74</v>
      </c>
      <c r="BP35" s="59">
        <f>5/12</f>
        <v>0.41666666666666669</v>
      </c>
      <c r="BQ35" s="57">
        <f>BP35/BO35</f>
        <v>0.56306306306306309</v>
      </c>
      <c r="BR35" s="58" t="s">
        <v>462</v>
      </c>
      <c r="BS35" s="55" t="s">
        <v>461</v>
      </c>
      <c r="BT35" s="60" t="s">
        <v>261</v>
      </c>
      <c r="BU35" s="181" t="s">
        <v>612</v>
      </c>
      <c r="BV35" s="138">
        <v>0.72</v>
      </c>
      <c r="BW35" s="59">
        <f>11/12</f>
        <v>0.91666666666666663</v>
      </c>
      <c r="BX35" s="57">
        <v>1</v>
      </c>
      <c r="BY35" s="344">
        <v>90000000</v>
      </c>
      <c r="BZ35" s="315">
        <v>28753833</v>
      </c>
      <c r="CA35" s="57">
        <f>BZ35/BY35</f>
        <v>0.31948703333333334</v>
      </c>
      <c r="CB35" s="1" t="s">
        <v>1008</v>
      </c>
      <c r="CC35" s="352" t="s">
        <v>1055</v>
      </c>
      <c r="CD35" s="64">
        <v>0.8</v>
      </c>
      <c r="CE35" s="59">
        <f>11/12</f>
        <v>0.91666666666666663</v>
      </c>
      <c r="CF35" s="63">
        <v>1</v>
      </c>
    </row>
    <row r="36" spans="1:84" ht="205.5" customHeight="1" x14ac:dyDescent="0.25">
      <c r="A36" s="681"/>
      <c r="B36" s="413"/>
      <c r="C36" s="680"/>
      <c r="D36" s="128" t="s">
        <v>105</v>
      </c>
      <c r="E36" s="48" t="s">
        <v>106</v>
      </c>
      <c r="F36" s="48" t="s">
        <v>107</v>
      </c>
      <c r="G36" s="48" t="s">
        <v>108</v>
      </c>
      <c r="H36" s="96" t="s">
        <v>1009</v>
      </c>
      <c r="I36" s="48" t="s">
        <v>109</v>
      </c>
      <c r="J36" s="64">
        <v>1</v>
      </c>
      <c r="K36" s="60" t="s">
        <v>292</v>
      </c>
      <c r="L36" s="60" t="s">
        <v>321</v>
      </c>
      <c r="M36" s="48">
        <v>1903011</v>
      </c>
      <c r="N36" s="48" t="s">
        <v>322</v>
      </c>
      <c r="O36" s="48">
        <v>190301100</v>
      </c>
      <c r="P36" s="48" t="s">
        <v>323</v>
      </c>
      <c r="Q36" s="126">
        <v>1</v>
      </c>
      <c r="R36" s="104" t="s">
        <v>41</v>
      </c>
      <c r="S36" s="589"/>
      <c r="T36" s="589"/>
      <c r="U36" s="589"/>
      <c r="V36" s="589"/>
      <c r="W36" s="60" t="s">
        <v>262</v>
      </c>
      <c r="X36" s="105"/>
      <c r="Y36" s="104" t="s">
        <v>41</v>
      </c>
      <c r="Z36" s="102" t="s">
        <v>662</v>
      </c>
      <c r="AA36" s="57" t="e">
        <f>Z36/Y36</f>
        <v>#VALUE!</v>
      </c>
      <c r="AB36" s="58"/>
      <c r="AC36" s="58"/>
      <c r="AD36" s="60" t="s">
        <v>262</v>
      </c>
      <c r="AE36" s="266" t="s">
        <v>681</v>
      </c>
      <c r="AF36" s="537">
        <v>13</v>
      </c>
      <c r="AG36" s="488">
        <v>13</v>
      </c>
      <c r="AH36" s="57">
        <f>AG36/AF36</f>
        <v>1</v>
      </c>
      <c r="AI36" s="474" t="s">
        <v>706</v>
      </c>
      <c r="AJ36" s="474" t="s">
        <v>707</v>
      </c>
      <c r="AK36" s="60" t="s">
        <v>262</v>
      </c>
      <c r="AL36" s="472" t="s">
        <v>750</v>
      </c>
      <c r="AM36" s="651">
        <v>15</v>
      </c>
      <c r="AN36" s="652">
        <v>15</v>
      </c>
      <c r="AO36" s="57">
        <f>AN36/AM36</f>
        <v>1</v>
      </c>
      <c r="AP36" s="524">
        <v>405652392</v>
      </c>
      <c r="AQ36" s="524">
        <v>222770997</v>
      </c>
      <c r="AR36" s="60" t="s">
        <v>262</v>
      </c>
      <c r="AS36" s="522" t="s">
        <v>829</v>
      </c>
      <c r="AT36" s="226">
        <v>0.7</v>
      </c>
      <c r="AU36" s="147">
        <v>0.7</v>
      </c>
      <c r="AV36" s="57">
        <f>AU36/AT36</f>
        <v>1</v>
      </c>
      <c r="AW36" s="246" t="s">
        <v>857</v>
      </c>
      <c r="AX36" s="246" t="s">
        <v>857</v>
      </c>
      <c r="AY36" s="60" t="s">
        <v>262</v>
      </c>
      <c r="AZ36" s="281" t="s">
        <v>883</v>
      </c>
      <c r="BA36" s="192">
        <v>12</v>
      </c>
      <c r="BB36" s="80">
        <v>12</v>
      </c>
      <c r="BC36" s="57">
        <f>BB36/BA36</f>
        <v>1</v>
      </c>
      <c r="BD36" s="79"/>
      <c r="BE36" s="79"/>
      <c r="BF36" s="60" t="s">
        <v>262</v>
      </c>
      <c r="BG36" s="183" t="s">
        <v>949</v>
      </c>
      <c r="BH36" s="200">
        <v>0.94769999999999999</v>
      </c>
      <c r="BI36" s="89">
        <v>0.85</v>
      </c>
      <c r="BJ36" s="81">
        <f>BI36/BH36</f>
        <v>0.89690830431571167</v>
      </c>
      <c r="BK36" s="79"/>
      <c r="BL36" s="79"/>
      <c r="BM36" s="80" t="s">
        <v>262</v>
      </c>
      <c r="BN36" s="183" t="s">
        <v>535</v>
      </c>
      <c r="BO36" s="172">
        <v>0.96509999999999996</v>
      </c>
      <c r="BP36" s="59">
        <v>0.85</v>
      </c>
      <c r="BQ36" s="57">
        <f>BP36/BO36</f>
        <v>0.88073774738369082</v>
      </c>
      <c r="BR36" s="58">
        <v>0</v>
      </c>
      <c r="BS36" s="58">
        <v>0</v>
      </c>
      <c r="BT36" s="60" t="s">
        <v>262</v>
      </c>
      <c r="BU36" s="168" t="s">
        <v>613</v>
      </c>
      <c r="BV36" s="139">
        <v>0.98250000000000004</v>
      </c>
      <c r="BW36" s="59">
        <v>0.85</v>
      </c>
      <c r="BX36" s="57">
        <v>0.15379999999999999</v>
      </c>
      <c r="BY36" s="339">
        <v>0</v>
      </c>
      <c r="BZ36" s="339">
        <v>0</v>
      </c>
      <c r="CA36" s="57">
        <v>0</v>
      </c>
      <c r="CB36" s="96" t="s">
        <v>1009</v>
      </c>
      <c r="CC36" s="350" t="s">
        <v>1098</v>
      </c>
      <c r="CD36" s="64">
        <v>1</v>
      </c>
      <c r="CE36" s="59">
        <v>0.85</v>
      </c>
      <c r="CF36" s="63">
        <v>0.13800000000000001</v>
      </c>
    </row>
    <row r="37" spans="1:84" ht="15" customHeight="1" x14ac:dyDescent="0.25">
      <c r="A37" s="681"/>
      <c r="B37" s="413"/>
      <c r="C37" s="680"/>
      <c r="D37" s="602" t="s">
        <v>110</v>
      </c>
      <c r="E37" s="413" t="s">
        <v>111</v>
      </c>
      <c r="F37" s="413" t="s">
        <v>441</v>
      </c>
      <c r="G37" s="413" t="s">
        <v>112</v>
      </c>
      <c r="H37" s="451" t="s">
        <v>1010</v>
      </c>
      <c r="I37" s="413" t="s">
        <v>37</v>
      </c>
      <c r="J37" s="413" t="s">
        <v>442</v>
      </c>
      <c r="K37" s="412" t="s">
        <v>292</v>
      </c>
      <c r="L37" s="412" t="s">
        <v>324</v>
      </c>
      <c r="M37" s="412">
        <v>4301037</v>
      </c>
      <c r="N37" s="412" t="s">
        <v>325</v>
      </c>
      <c r="O37" s="412">
        <v>430103704</v>
      </c>
      <c r="P37" s="412" t="s">
        <v>326</v>
      </c>
      <c r="Q37" s="554" t="s">
        <v>442</v>
      </c>
      <c r="R37" s="104" t="s">
        <v>41</v>
      </c>
      <c r="S37" s="589"/>
      <c r="T37" s="589"/>
      <c r="U37" s="589"/>
      <c r="V37" s="589"/>
      <c r="W37" s="412" t="s">
        <v>263</v>
      </c>
      <c r="X37" s="658"/>
      <c r="Y37" s="104" t="s">
        <v>41</v>
      </c>
      <c r="Z37" s="102" t="s">
        <v>662</v>
      </c>
      <c r="AA37" s="425">
        <v>1</v>
      </c>
      <c r="AB37" s="467"/>
      <c r="AC37" s="467"/>
      <c r="AD37" s="412" t="s">
        <v>263</v>
      </c>
      <c r="AE37" s="529" t="s">
        <v>671</v>
      </c>
      <c r="AF37" s="537"/>
      <c r="AG37" s="488"/>
      <c r="AH37" s="425">
        <v>1</v>
      </c>
      <c r="AI37" s="474"/>
      <c r="AJ37" s="474"/>
      <c r="AK37" s="412" t="s">
        <v>263</v>
      </c>
      <c r="AL37" s="472"/>
      <c r="AM37" s="651"/>
      <c r="AN37" s="652"/>
      <c r="AO37" s="425">
        <v>1</v>
      </c>
      <c r="AP37" s="524"/>
      <c r="AQ37" s="524"/>
      <c r="AR37" s="412" t="s">
        <v>263</v>
      </c>
      <c r="AS37" s="522"/>
      <c r="AT37" s="504">
        <v>18</v>
      </c>
      <c r="AU37" s="492">
        <v>18</v>
      </c>
      <c r="AV37" s="425">
        <v>1</v>
      </c>
      <c r="AW37" s="643" t="s">
        <v>857</v>
      </c>
      <c r="AX37" s="643" t="s">
        <v>857</v>
      </c>
      <c r="AY37" s="412" t="s">
        <v>263</v>
      </c>
      <c r="AZ37" s="500" t="s">
        <v>884</v>
      </c>
      <c r="BA37" s="480">
        <v>1</v>
      </c>
      <c r="BB37" s="481">
        <v>1</v>
      </c>
      <c r="BC37" s="425">
        <v>1</v>
      </c>
      <c r="BD37" s="444" t="s">
        <v>929</v>
      </c>
      <c r="BE37" s="444">
        <v>120300000</v>
      </c>
      <c r="BF37" s="412" t="s">
        <v>263</v>
      </c>
      <c r="BG37" s="447" t="s">
        <v>950</v>
      </c>
      <c r="BH37" s="617">
        <v>0.21</v>
      </c>
      <c r="BI37" s="484">
        <v>0.75</v>
      </c>
      <c r="BJ37" s="489">
        <v>1</v>
      </c>
      <c r="BK37" s="444" t="s">
        <v>536</v>
      </c>
      <c r="BL37" s="600" t="s">
        <v>537</v>
      </c>
      <c r="BM37" s="481" t="s">
        <v>263</v>
      </c>
      <c r="BN37" s="447" t="s">
        <v>538</v>
      </c>
      <c r="BO37" s="618">
        <v>0.24</v>
      </c>
      <c r="BP37" s="477">
        <v>0.75</v>
      </c>
      <c r="BQ37" s="425">
        <v>1</v>
      </c>
      <c r="BR37" s="467">
        <v>143411000</v>
      </c>
      <c r="BS37" s="467" t="s">
        <v>614</v>
      </c>
      <c r="BT37" s="412" t="s">
        <v>263</v>
      </c>
      <c r="BU37" s="542" t="s">
        <v>615</v>
      </c>
      <c r="BV37" s="475">
        <v>0.27</v>
      </c>
      <c r="BW37" s="477">
        <v>0.75</v>
      </c>
      <c r="BX37" s="425">
        <v>1</v>
      </c>
      <c r="BY37" s="467">
        <f>12894828+14057500+
1253376033+
1405500</f>
        <v>1281733861</v>
      </c>
      <c r="BZ37" s="467">
        <f>12894828+
592550000+
14057500+14057500</f>
        <v>633559828</v>
      </c>
      <c r="CA37" s="420">
        <f>BZ37/BY37</f>
        <v>0.4942990485604406</v>
      </c>
      <c r="CB37" s="451" t="s">
        <v>1010</v>
      </c>
      <c r="CC37" s="465" t="s">
        <v>1056</v>
      </c>
      <c r="CD37" s="413" t="s">
        <v>442</v>
      </c>
      <c r="CE37" s="401">
        <v>0.75</v>
      </c>
      <c r="CF37" s="420">
        <v>1</v>
      </c>
    </row>
    <row r="38" spans="1:84" ht="83.25" customHeight="1" x14ac:dyDescent="0.25">
      <c r="A38" s="681"/>
      <c r="B38" s="413"/>
      <c r="C38" s="680"/>
      <c r="D38" s="602"/>
      <c r="E38" s="413"/>
      <c r="F38" s="413"/>
      <c r="G38" s="413"/>
      <c r="H38" s="452"/>
      <c r="I38" s="413"/>
      <c r="J38" s="413"/>
      <c r="K38" s="412"/>
      <c r="L38" s="412"/>
      <c r="M38" s="412"/>
      <c r="N38" s="412"/>
      <c r="O38" s="412"/>
      <c r="P38" s="412"/>
      <c r="Q38" s="554"/>
      <c r="R38" s="104" t="s">
        <v>41</v>
      </c>
      <c r="S38" s="589"/>
      <c r="T38" s="589"/>
      <c r="U38" s="589"/>
      <c r="V38" s="589"/>
      <c r="W38" s="412"/>
      <c r="X38" s="658"/>
      <c r="Y38" s="104" t="s">
        <v>41</v>
      </c>
      <c r="Z38" s="102" t="s">
        <v>662</v>
      </c>
      <c r="AA38" s="425"/>
      <c r="AB38" s="467"/>
      <c r="AC38" s="478"/>
      <c r="AD38" s="412"/>
      <c r="AE38" s="529"/>
      <c r="AF38" s="537"/>
      <c r="AG38" s="488"/>
      <c r="AH38" s="425"/>
      <c r="AI38" s="474"/>
      <c r="AJ38" s="474"/>
      <c r="AK38" s="412"/>
      <c r="AL38" s="472"/>
      <c r="AM38" s="651"/>
      <c r="AN38" s="652"/>
      <c r="AO38" s="425"/>
      <c r="AP38" s="524"/>
      <c r="AQ38" s="524"/>
      <c r="AR38" s="412"/>
      <c r="AS38" s="522"/>
      <c r="AT38" s="504"/>
      <c r="AU38" s="492"/>
      <c r="AV38" s="425"/>
      <c r="AW38" s="643"/>
      <c r="AX38" s="643"/>
      <c r="AY38" s="412"/>
      <c r="AZ38" s="500"/>
      <c r="BA38" s="480"/>
      <c r="BB38" s="481"/>
      <c r="BC38" s="425"/>
      <c r="BD38" s="444"/>
      <c r="BE38" s="444"/>
      <c r="BF38" s="412"/>
      <c r="BG38" s="447"/>
      <c r="BH38" s="617"/>
      <c r="BI38" s="484"/>
      <c r="BJ38" s="489"/>
      <c r="BK38" s="444"/>
      <c r="BL38" s="600"/>
      <c r="BM38" s="481"/>
      <c r="BN38" s="447"/>
      <c r="BO38" s="618"/>
      <c r="BP38" s="477"/>
      <c r="BQ38" s="425"/>
      <c r="BR38" s="467"/>
      <c r="BS38" s="478"/>
      <c r="BT38" s="412"/>
      <c r="BU38" s="486"/>
      <c r="BV38" s="476"/>
      <c r="BW38" s="477"/>
      <c r="BX38" s="425"/>
      <c r="BY38" s="467"/>
      <c r="BZ38" s="478"/>
      <c r="CA38" s="421"/>
      <c r="CB38" s="452"/>
      <c r="CC38" s="435"/>
      <c r="CD38" s="413"/>
      <c r="CE38" s="402"/>
      <c r="CF38" s="421"/>
    </row>
    <row r="39" spans="1:84" ht="231" customHeight="1" x14ac:dyDescent="0.25">
      <c r="A39" s="681"/>
      <c r="B39" s="413"/>
      <c r="C39" s="680"/>
      <c r="D39" s="602"/>
      <c r="E39" s="413"/>
      <c r="F39" s="413"/>
      <c r="G39" s="413"/>
      <c r="H39" s="460"/>
      <c r="I39" s="413"/>
      <c r="J39" s="413"/>
      <c r="K39" s="412"/>
      <c r="L39" s="412"/>
      <c r="M39" s="412"/>
      <c r="N39" s="412"/>
      <c r="O39" s="412"/>
      <c r="P39" s="412"/>
      <c r="Q39" s="554"/>
      <c r="R39" s="104" t="s">
        <v>41</v>
      </c>
      <c r="S39" s="589"/>
      <c r="T39" s="589"/>
      <c r="U39" s="589"/>
      <c r="V39" s="589"/>
      <c r="W39" s="412"/>
      <c r="X39" s="105"/>
      <c r="Y39" s="104" t="s">
        <v>41</v>
      </c>
      <c r="Z39" s="102" t="s">
        <v>662</v>
      </c>
      <c r="AA39" s="425"/>
      <c r="AB39" s="467"/>
      <c r="AC39" s="478"/>
      <c r="AD39" s="412"/>
      <c r="AE39" s="266" t="s">
        <v>671</v>
      </c>
      <c r="AF39" s="236">
        <v>12</v>
      </c>
      <c r="AG39" s="96">
        <v>12</v>
      </c>
      <c r="AH39" s="425"/>
      <c r="AI39" s="74" t="s">
        <v>708</v>
      </c>
      <c r="AJ39" s="74" t="s">
        <v>709</v>
      </c>
      <c r="AK39" s="412"/>
      <c r="AL39" s="269" t="s">
        <v>751</v>
      </c>
      <c r="AM39" s="188">
        <v>12</v>
      </c>
      <c r="AN39" s="72">
        <v>6</v>
      </c>
      <c r="AO39" s="425"/>
      <c r="AP39" s="141" t="s">
        <v>795</v>
      </c>
      <c r="AQ39" s="142">
        <v>31680000</v>
      </c>
      <c r="AR39" s="412"/>
      <c r="AS39" s="214" t="s">
        <v>830</v>
      </c>
      <c r="AT39" s="224">
        <v>12</v>
      </c>
      <c r="AU39" s="146">
        <v>12</v>
      </c>
      <c r="AV39" s="425"/>
      <c r="AW39" s="246" t="s">
        <v>857</v>
      </c>
      <c r="AX39" s="246" t="s">
        <v>857</v>
      </c>
      <c r="AY39" s="412"/>
      <c r="AZ39" s="232" t="s">
        <v>885</v>
      </c>
      <c r="BA39" s="480"/>
      <c r="BB39" s="481"/>
      <c r="BC39" s="425"/>
      <c r="BD39" s="444"/>
      <c r="BE39" s="444"/>
      <c r="BF39" s="412"/>
      <c r="BG39" s="447"/>
      <c r="BH39" s="617"/>
      <c r="BI39" s="484"/>
      <c r="BJ39" s="489"/>
      <c r="BK39" s="444"/>
      <c r="BL39" s="600"/>
      <c r="BM39" s="481"/>
      <c r="BN39" s="447"/>
      <c r="BO39" s="618"/>
      <c r="BP39" s="477"/>
      <c r="BQ39" s="425"/>
      <c r="BR39" s="467"/>
      <c r="BS39" s="478"/>
      <c r="BT39" s="412"/>
      <c r="BU39" s="486"/>
      <c r="BV39" s="476"/>
      <c r="BW39" s="477"/>
      <c r="BX39" s="425"/>
      <c r="BY39" s="467"/>
      <c r="BZ39" s="478"/>
      <c r="CA39" s="422"/>
      <c r="CB39" s="460"/>
      <c r="CC39" s="457"/>
      <c r="CD39" s="413"/>
      <c r="CE39" s="403"/>
      <c r="CF39" s="422"/>
    </row>
    <row r="40" spans="1:84" s="2" customFormat="1" ht="104.25" customHeight="1" x14ac:dyDescent="0.25">
      <c r="A40" s="681"/>
      <c r="B40" s="413"/>
      <c r="C40" s="680"/>
      <c r="D40" s="130" t="s">
        <v>113</v>
      </c>
      <c r="E40" s="60" t="s">
        <v>114</v>
      </c>
      <c r="F40" s="60" t="s">
        <v>115</v>
      </c>
      <c r="G40" s="60" t="s">
        <v>108</v>
      </c>
      <c r="H40" s="96" t="s">
        <v>1011</v>
      </c>
      <c r="I40" s="60" t="s">
        <v>37</v>
      </c>
      <c r="J40" s="60">
        <v>12</v>
      </c>
      <c r="K40" s="60" t="s">
        <v>292</v>
      </c>
      <c r="L40" s="60" t="s">
        <v>385</v>
      </c>
      <c r="M40" s="60" t="s">
        <v>327</v>
      </c>
      <c r="N40" s="60" t="s">
        <v>443</v>
      </c>
      <c r="O40" s="60" t="s">
        <v>328</v>
      </c>
      <c r="P40" s="60" t="s">
        <v>398</v>
      </c>
      <c r="Q40" s="129">
        <v>12</v>
      </c>
      <c r="R40" s="104" t="s">
        <v>41</v>
      </c>
      <c r="S40" s="589"/>
      <c r="T40" s="589"/>
      <c r="U40" s="589"/>
      <c r="V40" s="589"/>
      <c r="W40" s="60" t="s">
        <v>264</v>
      </c>
      <c r="X40" s="108"/>
      <c r="Y40" s="104" t="s">
        <v>41</v>
      </c>
      <c r="Z40" s="102" t="s">
        <v>662</v>
      </c>
      <c r="AA40" s="59">
        <v>1</v>
      </c>
      <c r="AB40" s="58"/>
      <c r="AC40" s="58"/>
      <c r="AD40" s="60" t="s">
        <v>264</v>
      </c>
      <c r="AE40" s="267" t="s">
        <v>679</v>
      </c>
      <c r="AF40" s="239">
        <v>1</v>
      </c>
      <c r="AG40" s="134">
        <v>1</v>
      </c>
      <c r="AH40" s="59">
        <v>1</v>
      </c>
      <c r="AI40" s="74" t="s">
        <v>710</v>
      </c>
      <c r="AJ40" s="74" t="s">
        <v>711</v>
      </c>
      <c r="AK40" s="60" t="s">
        <v>264</v>
      </c>
      <c r="AL40" s="271" t="s">
        <v>752</v>
      </c>
      <c r="AM40" s="240">
        <v>0.6</v>
      </c>
      <c r="AN40" s="76">
        <v>0.7</v>
      </c>
      <c r="AO40" s="59">
        <v>1</v>
      </c>
      <c r="AP40" s="143" t="s">
        <v>796</v>
      </c>
      <c r="AQ40" s="144">
        <v>43190000</v>
      </c>
      <c r="AR40" s="60" t="s">
        <v>264</v>
      </c>
      <c r="AS40" s="241" t="s">
        <v>831</v>
      </c>
      <c r="AT40" s="226">
        <v>0.65</v>
      </c>
      <c r="AU40" s="147">
        <v>0</v>
      </c>
      <c r="AV40" s="59">
        <v>1</v>
      </c>
      <c r="AW40" s="246" t="s">
        <v>857</v>
      </c>
      <c r="AX40" s="246" t="s">
        <v>857</v>
      </c>
      <c r="AY40" s="60" t="s">
        <v>264</v>
      </c>
      <c r="AZ40" s="282" t="s">
        <v>886</v>
      </c>
      <c r="BA40" s="192">
        <v>12</v>
      </c>
      <c r="BB40" s="80">
        <v>12</v>
      </c>
      <c r="BC40" s="59">
        <v>1</v>
      </c>
      <c r="BD40" s="79" t="s">
        <v>930</v>
      </c>
      <c r="BE40" s="79" t="s">
        <v>931</v>
      </c>
      <c r="BF40" s="60" t="s">
        <v>264</v>
      </c>
      <c r="BG40" s="183" t="s">
        <v>951</v>
      </c>
      <c r="BH40" s="195">
        <v>7</v>
      </c>
      <c r="BI40" s="80">
        <v>0</v>
      </c>
      <c r="BJ40" s="89">
        <f>(BI40/BH40)*1</f>
        <v>0</v>
      </c>
      <c r="BK40" s="79"/>
      <c r="BL40" s="79"/>
      <c r="BM40" s="80" t="s">
        <v>264</v>
      </c>
      <c r="BN40" s="183" t="s">
        <v>539</v>
      </c>
      <c r="BO40" s="111">
        <v>8</v>
      </c>
      <c r="BP40" s="48">
        <v>12</v>
      </c>
      <c r="BQ40" s="59">
        <v>1</v>
      </c>
      <c r="BR40" s="58">
        <v>0</v>
      </c>
      <c r="BS40" s="58">
        <v>5770000</v>
      </c>
      <c r="BT40" s="60" t="s">
        <v>264</v>
      </c>
      <c r="BU40" s="291" t="s">
        <v>616</v>
      </c>
      <c r="BV40" s="95">
        <v>9</v>
      </c>
      <c r="BW40" s="48">
        <v>11</v>
      </c>
      <c r="BX40" s="59">
        <v>1</v>
      </c>
      <c r="BY40" s="344">
        <v>90000000</v>
      </c>
      <c r="BZ40" s="315">
        <v>28753833</v>
      </c>
      <c r="CA40" s="305">
        <v>0</v>
      </c>
      <c r="CB40" s="96" t="s">
        <v>1011</v>
      </c>
      <c r="CC40" s="353" t="s">
        <v>1057</v>
      </c>
      <c r="CD40" s="60">
        <v>12</v>
      </c>
      <c r="CE40" s="306">
        <v>11</v>
      </c>
      <c r="CF40" s="324">
        <f>CE40/CD40</f>
        <v>0.91666666666666663</v>
      </c>
    </row>
    <row r="41" spans="1:84" s="2" customFormat="1" ht="222" customHeight="1" x14ac:dyDescent="0.25">
      <c r="A41" s="681"/>
      <c r="B41" s="413"/>
      <c r="C41" s="680"/>
      <c r="D41" s="130" t="s">
        <v>116</v>
      </c>
      <c r="E41" s="60" t="s">
        <v>117</v>
      </c>
      <c r="F41" s="60" t="s">
        <v>118</v>
      </c>
      <c r="G41" s="60" t="s">
        <v>108</v>
      </c>
      <c r="H41" s="96" t="s">
        <v>1011</v>
      </c>
      <c r="I41" s="60" t="s">
        <v>37</v>
      </c>
      <c r="J41" s="62">
        <v>1</v>
      </c>
      <c r="K41" s="60" t="s">
        <v>292</v>
      </c>
      <c r="L41" s="60" t="s">
        <v>329</v>
      </c>
      <c r="M41" s="60" t="s">
        <v>37</v>
      </c>
      <c r="N41" s="60" t="s">
        <v>330</v>
      </c>
      <c r="O41" s="60" t="s">
        <v>37</v>
      </c>
      <c r="P41" s="60" t="s">
        <v>331</v>
      </c>
      <c r="Q41" s="131">
        <v>1</v>
      </c>
      <c r="R41" s="104" t="s">
        <v>41</v>
      </c>
      <c r="S41" s="589"/>
      <c r="T41" s="589"/>
      <c r="U41" s="589"/>
      <c r="V41" s="589"/>
      <c r="W41" s="60" t="s">
        <v>265</v>
      </c>
      <c r="X41" s="657"/>
      <c r="Y41" s="104" t="s">
        <v>41</v>
      </c>
      <c r="Z41" s="102" t="s">
        <v>662</v>
      </c>
      <c r="AA41" s="59">
        <v>1</v>
      </c>
      <c r="AB41" s="58"/>
      <c r="AC41" s="58"/>
      <c r="AD41" s="60" t="s">
        <v>265</v>
      </c>
      <c r="AE41" s="528" t="s">
        <v>683</v>
      </c>
      <c r="AF41" s="236">
        <v>12</v>
      </c>
      <c r="AG41" s="96">
        <v>12</v>
      </c>
      <c r="AH41" s="59">
        <v>1</v>
      </c>
      <c r="AI41" s="474" t="s">
        <v>712</v>
      </c>
      <c r="AJ41" s="474" t="s">
        <v>712</v>
      </c>
      <c r="AK41" s="60" t="s">
        <v>265</v>
      </c>
      <c r="AL41" s="472" t="s">
        <v>753</v>
      </c>
      <c r="AM41" s="188">
        <v>12</v>
      </c>
      <c r="AN41" s="72">
        <v>12</v>
      </c>
      <c r="AO41" s="59">
        <v>1</v>
      </c>
      <c r="AP41" s="525">
        <v>106571580996</v>
      </c>
      <c r="AQ41" s="525">
        <v>47709283071</v>
      </c>
      <c r="AR41" s="60" t="s">
        <v>265</v>
      </c>
      <c r="AS41" s="472" t="s">
        <v>832</v>
      </c>
      <c r="AT41" s="224">
        <v>12</v>
      </c>
      <c r="AU41" s="146">
        <v>12</v>
      </c>
      <c r="AV41" s="59">
        <v>1</v>
      </c>
      <c r="AW41" s="246" t="s">
        <v>857</v>
      </c>
      <c r="AX41" s="246" t="s">
        <v>857</v>
      </c>
      <c r="AY41" s="60" t="s">
        <v>265</v>
      </c>
      <c r="AZ41" s="233" t="s">
        <v>887</v>
      </c>
      <c r="BA41" s="192">
        <v>12</v>
      </c>
      <c r="BB41" s="80">
        <v>10</v>
      </c>
      <c r="BC41" s="59">
        <v>1</v>
      </c>
      <c r="BD41" s="79"/>
      <c r="BE41" s="79"/>
      <c r="BF41" s="60" t="s">
        <v>265</v>
      </c>
      <c r="BG41" s="182" t="s">
        <v>952</v>
      </c>
      <c r="BH41" s="201">
        <v>1</v>
      </c>
      <c r="BI41" s="80">
        <v>0</v>
      </c>
      <c r="BJ41" s="89">
        <v>0</v>
      </c>
      <c r="BK41" s="79"/>
      <c r="BL41" s="79"/>
      <c r="BM41" s="80" t="s">
        <v>265</v>
      </c>
      <c r="BN41" s="182" t="s">
        <v>540</v>
      </c>
      <c r="BO41" s="111">
        <v>100</v>
      </c>
      <c r="BP41" s="48">
        <v>1</v>
      </c>
      <c r="BQ41" s="59">
        <v>1</v>
      </c>
      <c r="BR41" s="58">
        <v>13200000</v>
      </c>
      <c r="BS41" s="58" t="s">
        <v>617</v>
      </c>
      <c r="BT41" s="60" t="s">
        <v>265</v>
      </c>
      <c r="BU41" s="182" t="s">
        <v>618</v>
      </c>
      <c r="BV41" s="361">
        <v>1</v>
      </c>
      <c r="BW41" s="361">
        <v>1</v>
      </c>
      <c r="BX41" s="59">
        <v>1</v>
      </c>
      <c r="BY41" s="339">
        <v>8655000</v>
      </c>
      <c r="BZ41" s="339">
        <v>8655000</v>
      </c>
      <c r="CA41" s="59">
        <f>BZ41/BY41</f>
        <v>1</v>
      </c>
      <c r="CB41" s="96" t="s">
        <v>1011</v>
      </c>
      <c r="CC41" s="354" t="s">
        <v>1058</v>
      </c>
      <c r="CD41" s="361">
        <v>1</v>
      </c>
      <c r="CE41" s="361">
        <v>1</v>
      </c>
      <c r="CF41" s="59">
        <f>CE41/CD41</f>
        <v>1</v>
      </c>
    </row>
    <row r="42" spans="1:84" ht="123" customHeight="1" x14ac:dyDescent="0.25">
      <c r="A42" s="681"/>
      <c r="B42" s="413"/>
      <c r="C42" s="680"/>
      <c r="D42" s="602" t="s">
        <v>119</v>
      </c>
      <c r="E42" s="413" t="s">
        <v>120</v>
      </c>
      <c r="F42" s="48" t="s">
        <v>121</v>
      </c>
      <c r="G42" s="48" t="s">
        <v>122</v>
      </c>
      <c r="H42" s="96" t="s">
        <v>1012</v>
      </c>
      <c r="I42" s="48">
        <v>1</v>
      </c>
      <c r="J42" s="48">
        <v>12</v>
      </c>
      <c r="K42" s="412" t="s">
        <v>292</v>
      </c>
      <c r="L42" s="661" t="s">
        <v>332</v>
      </c>
      <c r="M42" s="413">
        <v>1203002</v>
      </c>
      <c r="N42" s="413" t="s">
        <v>333</v>
      </c>
      <c r="O42" s="413">
        <v>120300200</v>
      </c>
      <c r="P42" s="413" t="s">
        <v>334</v>
      </c>
      <c r="Q42" s="125">
        <v>12</v>
      </c>
      <c r="R42" s="104" t="s">
        <v>41</v>
      </c>
      <c r="S42" s="589"/>
      <c r="T42" s="589"/>
      <c r="U42" s="589"/>
      <c r="V42" s="589"/>
      <c r="W42" s="412" t="s">
        <v>266</v>
      </c>
      <c r="X42" s="657"/>
      <c r="Y42" s="104" t="s">
        <v>41</v>
      </c>
      <c r="Z42" s="102" t="s">
        <v>663</v>
      </c>
      <c r="AA42" s="57" t="e">
        <f>Z42/Y42</f>
        <v>#VALUE!</v>
      </c>
      <c r="AB42" s="58"/>
      <c r="AC42" s="58"/>
      <c r="AD42" s="412" t="s">
        <v>266</v>
      </c>
      <c r="AE42" s="528"/>
      <c r="AF42" s="236">
        <v>1</v>
      </c>
      <c r="AG42" s="96">
        <v>1</v>
      </c>
      <c r="AH42" s="57">
        <f>AG42/AF42</f>
        <v>1</v>
      </c>
      <c r="AI42" s="474"/>
      <c r="AJ42" s="474"/>
      <c r="AK42" s="412" t="s">
        <v>266</v>
      </c>
      <c r="AL42" s="472"/>
      <c r="AM42" s="188">
        <v>1</v>
      </c>
      <c r="AN42" s="72">
        <v>1</v>
      </c>
      <c r="AO42" s="57">
        <f>AN42/AM42</f>
        <v>1</v>
      </c>
      <c r="AP42" s="476"/>
      <c r="AQ42" s="476"/>
      <c r="AR42" s="412" t="s">
        <v>266</v>
      </c>
      <c r="AS42" s="472"/>
      <c r="AT42" s="224">
        <v>1</v>
      </c>
      <c r="AU42" s="146">
        <v>1</v>
      </c>
      <c r="AV42" s="57">
        <f>AU42/AT42</f>
        <v>1</v>
      </c>
      <c r="AW42" s="246" t="s">
        <v>857</v>
      </c>
      <c r="AX42" s="246" t="s">
        <v>857</v>
      </c>
      <c r="AY42" s="412" t="s">
        <v>266</v>
      </c>
      <c r="AZ42" s="234" t="s">
        <v>888</v>
      </c>
      <c r="BA42" s="192">
        <v>1</v>
      </c>
      <c r="BB42" s="80">
        <v>1</v>
      </c>
      <c r="BC42" s="57">
        <f>BB42/BA42</f>
        <v>1</v>
      </c>
      <c r="BD42" s="444"/>
      <c r="BE42" s="444"/>
      <c r="BF42" s="412" t="s">
        <v>266</v>
      </c>
      <c r="BG42" s="446" t="s">
        <v>1034</v>
      </c>
      <c r="BH42" s="195">
        <v>12</v>
      </c>
      <c r="BI42" s="80">
        <v>10</v>
      </c>
      <c r="BJ42" s="81">
        <f>BI42/BH42</f>
        <v>0.83333333333333337</v>
      </c>
      <c r="BK42" s="79">
        <v>14200000</v>
      </c>
      <c r="BL42" s="79">
        <v>14200000</v>
      </c>
      <c r="BM42" s="481" t="s">
        <v>266</v>
      </c>
      <c r="BN42" s="193" t="s">
        <v>541</v>
      </c>
      <c r="BO42" s="167">
        <v>12</v>
      </c>
      <c r="BP42" s="60">
        <v>12</v>
      </c>
      <c r="BQ42" s="57">
        <f>BP42/BO42</f>
        <v>1</v>
      </c>
      <c r="BR42" s="58">
        <v>14200000</v>
      </c>
      <c r="BS42" s="58" t="s">
        <v>988</v>
      </c>
      <c r="BT42" s="412" t="s">
        <v>266</v>
      </c>
      <c r="BU42" s="163" t="s">
        <v>989</v>
      </c>
      <c r="BV42" s="331">
        <v>12</v>
      </c>
      <c r="BW42" s="333">
        <v>12</v>
      </c>
      <c r="BX42" s="57">
        <f>BW42/BV42</f>
        <v>1</v>
      </c>
      <c r="BY42" s="339">
        <v>0</v>
      </c>
      <c r="BZ42" s="339">
        <v>0</v>
      </c>
      <c r="CA42" s="57">
        <f>BY42/BX42</f>
        <v>0</v>
      </c>
      <c r="CB42" s="96" t="s">
        <v>1012</v>
      </c>
      <c r="CC42" s="82" t="s">
        <v>1059</v>
      </c>
      <c r="CD42" s="48">
        <v>12</v>
      </c>
      <c r="CE42" s="60">
        <v>12</v>
      </c>
      <c r="CF42" s="63">
        <f>CE42/CD42</f>
        <v>1</v>
      </c>
    </row>
    <row r="43" spans="1:84" ht="228.75" customHeight="1" x14ac:dyDescent="0.25">
      <c r="A43" s="681"/>
      <c r="B43" s="413"/>
      <c r="C43" s="680"/>
      <c r="D43" s="602"/>
      <c r="E43" s="413"/>
      <c r="F43" s="60" t="s">
        <v>123</v>
      </c>
      <c r="G43" s="60" t="s">
        <v>124</v>
      </c>
      <c r="H43" s="96" t="s">
        <v>1013</v>
      </c>
      <c r="I43" s="48" t="s">
        <v>125</v>
      </c>
      <c r="J43" s="48" t="s">
        <v>126</v>
      </c>
      <c r="K43" s="412"/>
      <c r="L43" s="661"/>
      <c r="M43" s="413"/>
      <c r="N43" s="413"/>
      <c r="O43" s="413"/>
      <c r="P43" s="413"/>
      <c r="Q43" s="125" t="s">
        <v>126</v>
      </c>
      <c r="R43" s="104" t="s">
        <v>41</v>
      </c>
      <c r="S43" s="589"/>
      <c r="T43" s="589"/>
      <c r="U43" s="589"/>
      <c r="V43" s="589"/>
      <c r="W43" s="412"/>
      <c r="X43" s="105"/>
      <c r="Y43" s="104" t="s">
        <v>41</v>
      </c>
      <c r="Z43" s="102" t="s">
        <v>37</v>
      </c>
      <c r="AA43" s="258">
        <v>1</v>
      </c>
      <c r="AB43" s="58"/>
      <c r="AC43" s="58"/>
      <c r="AD43" s="412"/>
      <c r="AE43" s="266" t="s">
        <v>684</v>
      </c>
      <c r="AF43" s="537">
        <v>1</v>
      </c>
      <c r="AG43" s="488">
        <v>1</v>
      </c>
      <c r="AH43" s="258">
        <v>1</v>
      </c>
      <c r="AI43" s="474"/>
      <c r="AJ43" s="474"/>
      <c r="AK43" s="412"/>
      <c r="AL43" s="472"/>
      <c r="AM43" s="537" t="s">
        <v>694</v>
      </c>
      <c r="AN43" s="488" t="s">
        <v>694</v>
      </c>
      <c r="AO43" s="258">
        <v>1</v>
      </c>
      <c r="AP43" s="474" t="s">
        <v>797</v>
      </c>
      <c r="AQ43" s="474" t="s">
        <v>701</v>
      </c>
      <c r="AR43" s="412"/>
      <c r="AS43" s="472" t="s">
        <v>833</v>
      </c>
      <c r="AT43" s="516">
        <v>1</v>
      </c>
      <c r="AU43" s="492">
        <v>1</v>
      </c>
      <c r="AV43" s="258">
        <v>1</v>
      </c>
      <c r="AW43" s="502" t="s">
        <v>858</v>
      </c>
      <c r="AX43" s="502" t="s">
        <v>859</v>
      </c>
      <c r="AY43" s="412"/>
      <c r="AZ43" s="496" t="s">
        <v>889</v>
      </c>
      <c r="BA43" s="192">
        <v>332</v>
      </c>
      <c r="BB43" s="80">
        <v>200</v>
      </c>
      <c r="BC43" s="258">
        <v>1</v>
      </c>
      <c r="BD43" s="444"/>
      <c r="BE43" s="444"/>
      <c r="BF43" s="412"/>
      <c r="BG43" s="446"/>
      <c r="BH43" s="192">
        <v>234.42</v>
      </c>
      <c r="BI43" s="80">
        <v>306.45999999999998</v>
      </c>
      <c r="BJ43" s="259">
        <v>1</v>
      </c>
      <c r="BK43" s="79">
        <v>97928400</v>
      </c>
      <c r="BL43" s="79">
        <v>27393333</v>
      </c>
      <c r="BM43" s="481"/>
      <c r="BN43" s="193" t="s">
        <v>542</v>
      </c>
      <c r="BO43" s="130">
        <v>234.42</v>
      </c>
      <c r="BP43" s="60">
        <v>306.45999999999998</v>
      </c>
      <c r="BQ43" s="258">
        <v>1</v>
      </c>
      <c r="BR43" s="58">
        <v>97928400</v>
      </c>
      <c r="BS43" s="58" t="s">
        <v>991</v>
      </c>
      <c r="BT43" s="412"/>
      <c r="BU43" s="163" t="s">
        <v>990</v>
      </c>
      <c r="BV43" s="96">
        <v>234.42</v>
      </c>
      <c r="BW43" s="60">
        <v>682</v>
      </c>
      <c r="BX43" s="258">
        <v>0</v>
      </c>
      <c r="BY43" s="58">
        <f>17310000+11170350+
768000+7770000</f>
        <v>37018350</v>
      </c>
      <c r="BZ43" s="58">
        <f>17310000+22340700+384000+7770000</f>
        <v>47804700</v>
      </c>
      <c r="CA43" s="327">
        <v>1</v>
      </c>
      <c r="CB43" s="96" t="s">
        <v>1013</v>
      </c>
      <c r="CC43" s="82" t="s">
        <v>1060</v>
      </c>
      <c r="CD43" s="368" t="s">
        <v>126</v>
      </c>
      <c r="CE43" s="372">
        <v>682</v>
      </c>
      <c r="CF43" s="365">
        <v>1</v>
      </c>
    </row>
    <row r="44" spans="1:84" ht="45" customHeight="1" x14ac:dyDescent="0.25">
      <c r="A44" s="681"/>
      <c r="B44" s="413"/>
      <c r="C44" s="680"/>
      <c r="D44" s="602" t="s">
        <v>127</v>
      </c>
      <c r="E44" s="413" t="s">
        <v>128</v>
      </c>
      <c r="F44" s="413" t="s">
        <v>129</v>
      </c>
      <c r="G44" s="413" t="s">
        <v>124</v>
      </c>
      <c r="H44" s="451" t="s">
        <v>1013</v>
      </c>
      <c r="I44" s="413" t="s">
        <v>130</v>
      </c>
      <c r="J44" s="413" t="s">
        <v>126</v>
      </c>
      <c r="K44" s="412" t="s">
        <v>292</v>
      </c>
      <c r="L44" s="661" t="s">
        <v>332</v>
      </c>
      <c r="M44" s="413">
        <v>1203002</v>
      </c>
      <c r="N44" s="413" t="s">
        <v>333</v>
      </c>
      <c r="O44" s="413">
        <v>120300200</v>
      </c>
      <c r="P44" s="413" t="s">
        <v>334</v>
      </c>
      <c r="Q44" s="554" t="s">
        <v>126</v>
      </c>
      <c r="R44" s="104" t="s">
        <v>41</v>
      </c>
      <c r="S44" s="589"/>
      <c r="T44" s="589"/>
      <c r="U44" s="589"/>
      <c r="V44" s="589"/>
      <c r="W44" s="412"/>
      <c r="X44" s="657"/>
      <c r="Y44" s="104" t="s">
        <v>41</v>
      </c>
      <c r="Z44" s="102" t="s">
        <v>37</v>
      </c>
      <c r="AA44" s="490">
        <v>0.76700000000000002</v>
      </c>
      <c r="AB44" s="467"/>
      <c r="AC44" s="467"/>
      <c r="AD44" s="412"/>
      <c r="AE44" s="528" t="s">
        <v>680</v>
      </c>
      <c r="AF44" s="537"/>
      <c r="AG44" s="488"/>
      <c r="AH44" s="490">
        <v>0.76700000000000002</v>
      </c>
      <c r="AI44" s="474"/>
      <c r="AJ44" s="474"/>
      <c r="AK44" s="412"/>
      <c r="AL44" s="472"/>
      <c r="AM44" s="537"/>
      <c r="AN44" s="488"/>
      <c r="AO44" s="490">
        <v>0.76700000000000002</v>
      </c>
      <c r="AP44" s="474"/>
      <c r="AQ44" s="474"/>
      <c r="AR44" s="412"/>
      <c r="AS44" s="472"/>
      <c r="AT44" s="516"/>
      <c r="AU44" s="492"/>
      <c r="AV44" s="490">
        <v>0.76700000000000002</v>
      </c>
      <c r="AW44" s="502"/>
      <c r="AX44" s="502"/>
      <c r="AY44" s="412"/>
      <c r="AZ44" s="496"/>
      <c r="BA44" s="480">
        <v>1</v>
      </c>
      <c r="BB44" s="481">
        <v>1</v>
      </c>
      <c r="BC44" s="490">
        <v>0.76700000000000002</v>
      </c>
      <c r="BD44" s="444"/>
      <c r="BE44" s="444"/>
      <c r="BF44" s="412"/>
      <c r="BG44" s="446"/>
      <c r="BH44" s="473" t="s">
        <v>419</v>
      </c>
      <c r="BI44" s="614">
        <v>0.31940000000000002</v>
      </c>
      <c r="BJ44" s="483">
        <v>0</v>
      </c>
      <c r="BK44" s="444">
        <v>15000000</v>
      </c>
      <c r="BL44" s="444">
        <v>3620000</v>
      </c>
      <c r="BM44" s="481"/>
      <c r="BN44" s="447" t="s">
        <v>543</v>
      </c>
      <c r="BO44" s="615" t="s">
        <v>419</v>
      </c>
      <c r="BP44" s="616">
        <v>0.31940000000000002</v>
      </c>
      <c r="BQ44" s="490">
        <v>0.76700000000000002</v>
      </c>
      <c r="BR44" s="467">
        <v>15000000</v>
      </c>
      <c r="BS44" s="467" t="s">
        <v>619</v>
      </c>
      <c r="BT44" s="412"/>
      <c r="BU44" s="486" t="s">
        <v>620</v>
      </c>
      <c r="BV44" s="554" t="s">
        <v>126</v>
      </c>
      <c r="BW44" s="555">
        <v>56.78</v>
      </c>
      <c r="BX44" s="490">
        <v>0.76700000000000002</v>
      </c>
      <c r="BY44" s="556">
        <v>157000000</v>
      </c>
      <c r="BZ44" s="454">
        <v>0</v>
      </c>
      <c r="CA44" s="423">
        <f>BZ44/BY44</f>
        <v>0</v>
      </c>
      <c r="CB44" s="451" t="s">
        <v>1013</v>
      </c>
      <c r="CC44" s="434" t="s">
        <v>1085</v>
      </c>
      <c r="CD44" s="413" t="s">
        <v>126</v>
      </c>
      <c r="CE44" s="404">
        <v>0.31940000000000002</v>
      </c>
      <c r="CF44" s="423">
        <v>0</v>
      </c>
    </row>
    <row r="45" spans="1:84" ht="177" customHeight="1" x14ac:dyDescent="0.25">
      <c r="A45" s="681"/>
      <c r="B45" s="413"/>
      <c r="C45" s="680"/>
      <c r="D45" s="602"/>
      <c r="E45" s="413"/>
      <c r="F45" s="413"/>
      <c r="G45" s="413"/>
      <c r="H45" s="460"/>
      <c r="I45" s="413"/>
      <c r="J45" s="413"/>
      <c r="K45" s="412"/>
      <c r="L45" s="661"/>
      <c r="M45" s="413"/>
      <c r="N45" s="413"/>
      <c r="O45" s="413"/>
      <c r="P45" s="413"/>
      <c r="Q45" s="554"/>
      <c r="R45" s="104" t="s">
        <v>41</v>
      </c>
      <c r="S45" s="589"/>
      <c r="T45" s="589"/>
      <c r="U45" s="589"/>
      <c r="V45" s="589"/>
      <c r="W45" s="412"/>
      <c r="X45" s="657"/>
      <c r="Y45" s="104" t="s">
        <v>41</v>
      </c>
      <c r="Z45" s="102" t="s">
        <v>37</v>
      </c>
      <c r="AA45" s="490"/>
      <c r="AB45" s="467"/>
      <c r="AC45" s="467"/>
      <c r="AD45" s="412"/>
      <c r="AE45" s="528"/>
      <c r="AF45" s="537">
        <v>1</v>
      </c>
      <c r="AG45" s="488">
        <v>1</v>
      </c>
      <c r="AH45" s="490"/>
      <c r="AI45" s="474" t="s">
        <v>713</v>
      </c>
      <c r="AJ45" s="474" t="s">
        <v>714</v>
      </c>
      <c r="AK45" s="412"/>
      <c r="AL45" s="472" t="s">
        <v>754</v>
      </c>
      <c r="AM45" s="590">
        <v>1</v>
      </c>
      <c r="AN45" s="476">
        <v>1</v>
      </c>
      <c r="AO45" s="490"/>
      <c r="AP45" s="524">
        <v>20600000</v>
      </c>
      <c r="AQ45" s="524" t="s">
        <v>701</v>
      </c>
      <c r="AR45" s="412"/>
      <c r="AS45" s="472" t="s">
        <v>834</v>
      </c>
      <c r="AT45" s="516">
        <v>1</v>
      </c>
      <c r="AU45" s="492">
        <v>1</v>
      </c>
      <c r="AV45" s="490"/>
      <c r="AW45" s="493" t="s">
        <v>857</v>
      </c>
      <c r="AX45" s="493" t="s">
        <v>857</v>
      </c>
      <c r="AY45" s="412"/>
      <c r="AZ45" s="496" t="s">
        <v>890</v>
      </c>
      <c r="BA45" s="480"/>
      <c r="BB45" s="481"/>
      <c r="BC45" s="490"/>
      <c r="BD45" s="444"/>
      <c r="BE45" s="444"/>
      <c r="BF45" s="412"/>
      <c r="BG45" s="446"/>
      <c r="BH45" s="473"/>
      <c r="BI45" s="614"/>
      <c r="BJ45" s="483"/>
      <c r="BK45" s="444"/>
      <c r="BL45" s="444"/>
      <c r="BM45" s="481"/>
      <c r="BN45" s="447"/>
      <c r="BO45" s="615"/>
      <c r="BP45" s="616"/>
      <c r="BQ45" s="490"/>
      <c r="BR45" s="467"/>
      <c r="BS45" s="467"/>
      <c r="BT45" s="412"/>
      <c r="BU45" s="486"/>
      <c r="BV45" s="554"/>
      <c r="BW45" s="555"/>
      <c r="BX45" s="490"/>
      <c r="BY45" s="557"/>
      <c r="BZ45" s="456"/>
      <c r="CA45" s="424"/>
      <c r="CB45" s="460"/>
      <c r="CC45" s="457"/>
      <c r="CD45" s="413"/>
      <c r="CE45" s="405"/>
      <c r="CF45" s="424"/>
    </row>
    <row r="46" spans="1:84" ht="51" customHeight="1" x14ac:dyDescent="0.25">
      <c r="A46" s="681"/>
      <c r="B46" s="413"/>
      <c r="C46" s="680"/>
      <c r="D46" s="602" t="s">
        <v>131</v>
      </c>
      <c r="E46" s="413" t="s">
        <v>132</v>
      </c>
      <c r="F46" s="413" t="s">
        <v>133</v>
      </c>
      <c r="G46" s="413" t="s">
        <v>124</v>
      </c>
      <c r="H46" s="451" t="s">
        <v>1014</v>
      </c>
      <c r="I46" s="413" t="s">
        <v>134</v>
      </c>
      <c r="J46" s="413" t="s">
        <v>126</v>
      </c>
      <c r="K46" s="413" t="s">
        <v>335</v>
      </c>
      <c r="L46" s="413" t="s">
        <v>336</v>
      </c>
      <c r="M46" s="413" t="s">
        <v>37</v>
      </c>
      <c r="N46" s="413" t="s">
        <v>337</v>
      </c>
      <c r="O46" s="413" t="s">
        <v>37</v>
      </c>
      <c r="P46" s="413" t="s">
        <v>338</v>
      </c>
      <c r="Q46" s="554" t="s">
        <v>126</v>
      </c>
      <c r="R46" s="104" t="s">
        <v>41</v>
      </c>
      <c r="S46" s="589"/>
      <c r="T46" s="589"/>
      <c r="U46" s="589"/>
      <c r="V46" s="589"/>
      <c r="W46" s="413" t="s">
        <v>267</v>
      </c>
      <c r="X46" s="657"/>
      <c r="Y46" s="104" t="s">
        <v>41</v>
      </c>
      <c r="Z46" s="102" t="s">
        <v>37</v>
      </c>
      <c r="AA46" s="490">
        <v>0.74860000000000004</v>
      </c>
      <c r="AB46" s="467"/>
      <c r="AC46" s="467"/>
      <c r="AD46" s="413" t="s">
        <v>267</v>
      </c>
      <c r="AE46" s="528"/>
      <c r="AF46" s="537"/>
      <c r="AG46" s="488"/>
      <c r="AH46" s="490">
        <v>0.74860000000000004</v>
      </c>
      <c r="AI46" s="474"/>
      <c r="AJ46" s="474"/>
      <c r="AK46" s="413" t="s">
        <v>267</v>
      </c>
      <c r="AL46" s="472"/>
      <c r="AM46" s="590"/>
      <c r="AN46" s="476"/>
      <c r="AO46" s="490">
        <v>0.74860000000000004</v>
      </c>
      <c r="AP46" s="524"/>
      <c r="AQ46" s="524"/>
      <c r="AR46" s="413" t="s">
        <v>267</v>
      </c>
      <c r="AS46" s="472"/>
      <c r="AT46" s="516"/>
      <c r="AU46" s="492"/>
      <c r="AV46" s="490">
        <v>0.74860000000000004</v>
      </c>
      <c r="AW46" s="493"/>
      <c r="AX46" s="493"/>
      <c r="AY46" s="413" t="s">
        <v>267</v>
      </c>
      <c r="AZ46" s="496"/>
      <c r="BA46" s="480">
        <v>933</v>
      </c>
      <c r="BB46" s="481">
        <v>558</v>
      </c>
      <c r="BC46" s="490">
        <v>0.74860000000000004</v>
      </c>
      <c r="BD46" s="444">
        <v>430000000</v>
      </c>
      <c r="BE46" s="444">
        <v>260170284</v>
      </c>
      <c r="BF46" s="413" t="s">
        <v>267</v>
      </c>
      <c r="BG46" s="446" t="s">
        <v>953</v>
      </c>
      <c r="BH46" s="530" t="s">
        <v>418</v>
      </c>
      <c r="BI46" s="518">
        <v>0.1862</v>
      </c>
      <c r="BJ46" s="612">
        <v>0</v>
      </c>
      <c r="BK46" s="474"/>
      <c r="BL46" s="474"/>
      <c r="BM46" s="488" t="s">
        <v>267</v>
      </c>
      <c r="BN46" s="613" t="s">
        <v>544</v>
      </c>
      <c r="BO46" s="593" t="s">
        <v>418</v>
      </c>
      <c r="BP46" s="458">
        <v>0.1862</v>
      </c>
      <c r="BQ46" s="490">
        <v>0.74860000000000004</v>
      </c>
      <c r="BR46" s="467"/>
      <c r="BS46" s="467">
        <v>21000000</v>
      </c>
      <c r="BT46" s="413" t="s">
        <v>267</v>
      </c>
      <c r="BU46" s="611" t="s">
        <v>621</v>
      </c>
      <c r="BV46" s="451" t="s">
        <v>984</v>
      </c>
      <c r="BW46" s="541">
        <v>131</v>
      </c>
      <c r="BX46" s="490">
        <v>0.74860000000000004</v>
      </c>
      <c r="BY46" s="467">
        <f>49862300+85288200+85288200+10000000</f>
        <v>230438700</v>
      </c>
      <c r="BZ46" s="468">
        <f>85288200+85288200+10000000</f>
        <v>180576400</v>
      </c>
      <c r="CA46" s="423">
        <f>BZ46/BY46</f>
        <v>0.78362011242035301</v>
      </c>
      <c r="CB46" s="451" t="s">
        <v>1014</v>
      </c>
      <c r="CC46" s="429" t="s">
        <v>1061</v>
      </c>
      <c r="CD46" s="413" t="s">
        <v>126</v>
      </c>
      <c r="CE46" s="408">
        <v>0.1862</v>
      </c>
      <c r="CF46" s="423">
        <v>0</v>
      </c>
    </row>
    <row r="47" spans="1:84" ht="179.25" customHeight="1" x14ac:dyDescent="0.25">
      <c r="A47" s="681"/>
      <c r="B47" s="413"/>
      <c r="C47" s="680"/>
      <c r="D47" s="602"/>
      <c r="E47" s="413"/>
      <c r="F47" s="413"/>
      <c r="G47" s="413"/>
      <c r="H47" s="460"/>
      <c r="I47" s="413"/>
      <c r="J47" s="413"/>
      <c r="K47" s="413"/>
      <c r="L47" s="413"/>
      <c r="M47" s="413"/>
      <c r="N47" s="413"/>
      <c r="O47" s="413"/>
      <c r="P47" s="413"/>
      <c r="Q47" s="554"/>
      <c r="R47" s="104" t="s">
        <v>41</v>
      </c>
      <c r="S47" s="589"/>
      <c r="T47" s="589"/>
      <c r="U47" s="589"/>
      <c r="V47" s="589"/>
      <c r="W47" s="413"/>
      <c r="X47" s="657"/>
      <c r="Y47" s="104" t="s">
        <v>41</v>
      </c>
      <c r="Z47" s="102" t="s">
        <v>37</v>
      </c>
      <c r="AA47" s="490"/>
      <c r="AB47" s="467"/>
      <c r="AC47" s="467"/>
      <c r="AD47" s="413"/>
      <c r="AE47" s="528"/>
      <c r="AF47" s="236">
        <v>1</v>
      </c>
      <c r="AG47" s="96">
        <v>1</v>
      </c>
      <c r="AH47" s="490"/>
      <c r="AI47" s="74" t="s">
        <v>710</v>
      </c>
      <c r="AJ47" s="74" t="s">
        <v>711</v>
      </c>
      <c r="AK47" s="413"/>
      <c r="AL47" s="214" t="s">
        <v>755</v>
      </c>
      <c r="AM47" s="188">
        <v>1</v>
      </c>
      <c r="AN47" s="72">
        <v>1</v>
      </c>
      <c r="AO47" s="490"/>
      <c r="AP47" s="143" t="s">
        <v>796</v>
      </c>
      <c r="AQ47" s="144">
        <v>43190000</v>
      </c>
      <c r="AR47" s="413"/>
      <c r="AS47" s="241" t="s">
        <v>831</v>
      </c>
      <c r="AT47" s="224">
        <v>1</v>
      </c>
      <c r="AU47" s="146">
        <v>1</v>
      </c>
      <c r="AV47" s="490"/>
      <c r="AW47" s="246" t="s">
        <v>857</v>
      </c>
      <c r="AX47" s="246" t="s">
        <v>857</v>
      </c>
      <c r="AY47" s="413"/>
      <c r="AZ47" s="282" t="s">
        <v>891</v>
      </c>
      <c r="BA47" s="480"/>
      <c r="BB47" s="481"/>
      <c r="BC47" s="490"/>
      <c r="BD47" s="444"/>
      <c r="BE47" s="444"/>
      <c r="BF47" s="413"/>
      <c r="BG47" s="446"/>
      <c r="BH47" s="537"/>
      <c r="BI47" s="518"/>
      <c r="BJ47" s="612"/>
      <c r="BK47" s="474"/>
      <c r="BL47" s="474"/>
      <c r="BM47" s="488"/>
      <c r="BN47" s="613"/>
      <c r="BO47" s="602"/>
      <c r="BP47" s="458"/>
      <c r="BQ47" s="490"/>
      <c r="BR47" s="467"/>
      <c r="BS47" s="467"/>
      <c r="BT47" s="413"/>
      <c r="BU47" s="611"/>
      <c r="BV47" s="460"/>
      <c r="BW47" s="541"/>
      <c r="BX47" s="490"/>
      <c r="BY47" s="467"/>
      <c r="BZ47" s="468"/>
      <c r="CA47" s="424"/>
      <c r="CB47" s="460"/>
      <c r="CC47" s="430"/>
      <c r="CD47" s="413"/>
      <c r="CE47" s="409"/>
      <c r="CF47" s="424"/>
    </row>
    <row r="48" spans="1:84" ht="348.75" customHeight="1" x14ac:dyDescent="0.25">
      <c r="A48" s="681"/>
      <c r="B48" s="413"/>
      <c r="C48" s="680"/>
      <c r="D48" s="128" t="s">
        <v>135</v>
      </c>
      <c r="E48" s="48" t="s">
        <v>136</v>
      </c>
      <c r="F48" s="48" t="s">
        <v>137</v>
      </c>
      <c r="G48" s="48" t="s">
        <v>124</v>
      </c>
      <c r="H48" s="96" t="s">
        <v>1015</v>
      </c>
      <c r="I48" s="48" t="s">
        <v>138</v>
      </c>
      <c r="J48" s="48" t="s">
        <v>126</v>
      </c>
      <c r="K48" s="60" t="s">
        <v>292</v>
      </c>
      <c r="L48" s="60" t="s">
        <v>329</v>
      </c>
      <c r="M48" s="48" t="s">
        <v>37</v>
      </c>
      <c r="N48" s="48" t="s">
        <v>330</v>
      </c>
      <c r="O48" s="48" t="s">
        <v>37</v>
      </c>
      <c r="P48" s="48" t="s">
        <v>331</v>
      </c>
      <c r="Q48" s="129" t="s">
        <v>126</v>
      </c>
      <c r="R48" s="104" t="s">
        <v>41</v>
      </c>
      <c r="S48" s="589"/>
      <c r="T48" s="589"/>
      <c r="U48" s="589"/>
      <c r="V48" s="589"/>
      <c r="W48" s="60" t="s">
        <v>265</v>
      </c>
      <c r="X48" s="657"/>
      <c r="Y48" s="104" t="s">
        <v>41</v>
      </c>
      <c r="Z48" s="102" t="s">
        <v>37</v>
      </c>
      <c r="AA48" s="258">
        <v>0.71279999999999999</v>
      </c>
      <c r="AB48" s="58"/>
      <c r="AC48" s="58"/>
      <c r="AD48" s="60" t="s">
        <v>265</v>
      </c>
      <c r="AE48" s="528"/>
      <c r="AF48" s="236">
        <v>1</v>
      </c>
      <c r="AG48" s="134" t="s">
        <v>37</v>
      </c>
      <c r="AH48" s="258">
        <v>0.71279999999999999</v>
      </c>
      <c r="AI48" s="474" t="s">
        <v>715</v>
      </c>
      <c r="AJ48" s="474" t="s">
        <v>716</v>
      </c>
      <c r="AK48" s="60" t="s">
        <v>265</v>
      </c>
      <c r="AL48" s="512" t="s">
        <v>756</v>
      </c>
      <c r="AM48" s="188">
        <v>1</v>
      </c>
      <c r="AN48" s="72">
        <v>1</v>
      </c>
      <c r="AO48" s="258">
        <v>0.71279999999999999</v>
      </c>
      <c r="AP48" s="524" t="s">
        <v>798</v>
      </c>
      <c r="AQ48" s="524" t="s">
        <v>799</v>
      </c>
      <c r="AR48" s="60" t="s">
        <v>265</v>
      </c>
      <c r="AS48" s="472" t="s">
        <v>835</v>
      </c>
      <c r="AT48" s="224">
        <v>1</v>
      </c>
      <c r="AU48" s="146">
        <v>3</v>
      </c>
      <c r="AV48" s="258">
        <v>0.71279999999999999</v>
      </c>
      <c r="AW48" s="246" t="s">
        <v>857</v>
      </c>
      <c r="AX48" s="246" t="s">
        <v>857</v>
      </c>
      <c r="AY48" s="60" t="s">
        <v>265</v>
      </c>
      <c r="AZ48" s="233" t="s">
        <v>892</v>
      </c>
      <c r="BA48" s="192">
        <v>12</v>
      </c>
      <c r="BB48" s="80">
        <v>10</v>
      </c>
      <c r="BC48" s="258">
        <v>0.71279999999999999</v>
      </c>
      <c r="BD48" s="79"/>
      <c r="BE48" s="79"/>
      <c r="BF48" s="60" t="s">
        <v>265</v>
      </c>
      <c r="BG48" s="182" t="s">
        <v>952</v>
      </c>
      <c r="BH48" s="202" t="s">
        <v>417</v>
      </c>
      <c r="BI48" s="87">
        <v>8.1500000000000003E-2</v>
      </c>
      <c r="BJ48" s="91">
        <v>0</v>
      </c>
      <c r="BK48" s="79"/>
      <c r="BL48" s="79"/>
      <c r="BM48" s="80" t="s">
        <v>265</v>
      </c>
      <c r="BN48" s="165" t="s">
        <v>545</v>
      </c>
      <c r="BO48" s="173" t="s">
        <v>417</v>
      </c>
      <c r="BP48" s="251">
        <v>8.1500000000000003E-2</v>
      </c>
      <c r="BQ48" s="258">
        <v>0.71279999999999999</v>
      </c>
      <c r="BR48" s="58">
        <v>23080000</v>
      </c>
      <c r="BS48" s="58"/>
      <c r="BT48" s="60" t="s">
        <v>265</v>
      </c>
      <c r="BU48" s="115" t="s">
        <v>622</v>
      </c>
      <c r="BV48" s="96" t="s">
        <v>984</v>
      </c>
      <c r="BW48" s="342">
        <v>7.2</v>
      </c>
      <c r="BX48" s="258">
        <v>0.71279999999999999</v>
      </c>
      <c r="BY48" s="339">
        <v>8655000</v>
      </c>
      <c r="BZ48" s="339">
        <v>8655000</v>
      </c>
      <c r="CA48" s="308">
        <f>BZ48/BY48</f>
        <v>1</v>
      </c>
      <c r="CB48" s="96" t="s">
        <v>1015</v>
      </c>
      <c r="CC48" s="346" t="s">
        <v>1062</v>
      </c>
      <c r="CD48" s="48" t="s">
        <v>126</v>
      </c>
      <c r="CE48" s="307">
        <v>8.1500000000000003E-2</v>
      </c>
      <c r="CF48" s="308">
        <v>0</v>
      </c>
    </row>
    <row r="49" spans="1:84" ht="109.5" customHeight="1" x14ac:dyDescent="0.25">
      <c r="A49" s="681"/>
      <c r="B49" s="413"/>
      <c r="C49" s="680"/>
      <c r="D49" s="602" t="s">
        <v>139</v>
      </c>
      <c r="E49" s="413" t="s">
        <v>140</v>
      </c>
      <c r="F49" s="48" t="s">
        <v>444</v>
      </c>
      <c r="G49" s="48" t="s">
        <v>141</v>
      </c>
      <c r="H49" s="96" t="s">
        <v>1016</v>
      </c>
      <c r="I49" s="48" t="s">
        <v>37</v>
      </c>
      <c r="J49" s="64">
        <v>1</v>
      </c>
      <c r="K49" s="412" t="s">
        <v>292</v>
      </c>
      <c r="L49" s="412" t="s">
        <v>339</v>
      </c>
      <c r="M49" s="412" t="s">
        <v>37</v>
      </c>
      <c r="N49" s="412" t="s">
        <v>340</v>
      </c>
      <c r="O49" s="412" t="s">
        <v>37</v>
      </c>
      <c r="P49" s="412" t="s">
        <v>391</v>
      </c>
      <c r="Q49" s="126">
        <v>1</v>
      </c>
      <c r="R49" s="104" t="s">
        <v>41</v>
      </c>
      <c r="S49" s="589"/>
      <c r="T49" s="589"/>
      <c r="U49" s="589"/>
      <c r="V49" s="589"/>
      <c r="W49" s="412" t="s">
        <v>268</v>
      </c>
      <c r="X49" s="657"/>
      <c r="Y49" s="104" t="s">
        <v>41</v>
      </c>
      <c r="Z49" s="102">
        <v>2</v>
      </c>
      <c r="AA49" s="63" t="e">
        <f>Z49/Y49</f>
        <v>#VALUE!</v>
      </c>
      <c r="AB49" s="467"/>
      <c r="AC49" s="467"/>
      <c r="AD49" s="412" t="s">
        <v>268</v>
      </c>
      <c r="AE49" s="528"/>
      <c r="AF49" s="239" t="s">
        <v>693</v>
      </c>
      <c r="AG49" s="96">
        <v>441</v>
      </c>
      <c r="AH49" s="63" t="e">
        <f>AG49/AF49</f>
        <v>#VALUE!</v>
      </c>
      <c r="AI49" s="474"/>
      <c r="AJ49" s="474"/>
      <c r="AK49" s="412" t="s">
        <v>268</v>
      </c>
      <c r="AL49" s="512"/>
      <c r="AM49" s="188" t="s">
        <v>693</v>
      </c>
      <c r="AN49" s="72" t="s">
        <v>41</v>
      </c>
      <c r="AO49" s="63" t="e">
        <f>AN49/AM49</f>
        <v>#VALUE!</v>
      </c>
      <c r="AP49" s="524"/>
      <c r="AQ49" s="524"/>
      <c r="AR49" s="412" t="s">
        <v>268</v>
      </c>
      <c r="AS49" s="472"/>
      <c r="AT49" s="224">
        <v>12</v>
      </c>
      <c r="AU49" s="146">
        <v>3</v>
      </c>
      <c r="AV49" s="63">
        <f>AU49/AT49</f>
        <v>0.25</v>
      </c>
      <c r="AW49" s="246" t="s">
        <v>857</v>
      </c>
      <c r="AX49" s="246" t="s">
        <v>857</v>
      </c>
      <c r="AY49" s="412" t="s">
        <v>268</v>
      </c>
      <c r="AZ49" s="233" t="s">
        <v>893</v>
      </c>
      <c r="BA49" s="192">
        <v>1</v>
      </c>
      <c r="BB49" s="97">
        <v>4</v>
      </c>
      <c r="BC49" s="63">
        <f>BB49/BA49</f>
        <v>4</v>
      </c>
      <c r="BD49" s="444"/>
      <c r="BE49" s="444"/>
      <c r="BF49" s="412" t="s">
        <v>268</v>
      </c>
      <c r="BG49" s="217" t="s">
        <v>954</v>
      </c>
      <c r="BH49" s="194">
        <v>0.7</v>
      </c>
      <c r="BI49" s="80">
        <v>0</v>
      </c>
      <c r="BJ49" s="83" t="s">
        <v>546</v>
      </c>
      <c r="BK49" s="444"/>
      <c r="BL49" s="444"/>
      <c r="BM49" s="481" t="s">
        <v>268</v>
      </c>
      <c r="BN49" s="158" t="s">
        <v>547</v>
      </c>
      <c r="BO49" s="174">
        <v>1800</v>
      </c>
      <c r="BP49" s="60">
        <v>1361</v>
      </c>
      <c r="BQ49" s="63">
        <f>BP49/BO49</f>
        <v>0.75611111111111107</v>
      </c>
      <c r="BR49" s="467">
        <v>1000000000</v>
      </c>
      <c r="BS49" s="467" t="s">
        <v>471</v>
      </c>
      <c r="BT49" s="412" t="s">
        <v>268</v>
      </c>
      <c r="BU49" s="175" t="s">
        <v>623</v>
      </c>
      <c r="BV49" s="375">
        <v>1</v>
      </c>
      <c r="BW49" s="374">
        <v>1</v>
      </c>
      <c r="BX49" s="366">
        <f>BW49/BV49</f>
        <v>1</v>
      </c>
      <c r="BY49" s="454">
        <f>6000000+10000000</f>
        <v>16000000</v>
      </c>
      <c r="BZ49" s="454">
        <f>6000000+10000000</f>
        <v>16000000</v>
      </c>
      <c r="CA49" s="414">
        <f>BZ49/BY49</f>
        <v>1</v>
      </c>
      <c r="CB49" s="96" t="s">
        <v>1016</v>
      </c>
      <c r="CC49" s="355" t="s">
        <v>1092</v>
      </c>
      <c r="CD49" s="64">
        <v>1</v>
      </c>
      <c r="CE49" s="62">
        <v>1</v>
      </c>
      <c r="CF49" s="318">
        <v>1</v>
      </c>
    </row>
    <row r="50" spans="1:84" ht="156" customHeight="1" x14ac:dyDescent="0.25">
      <c r="A50" s="681"/>
      <c r="B50" s="413"/>
      <c r="C50" s="680"/>
      <c r="D50" s="602"/>
      <c r="E50" s="413"/>
      <c r="F50" s="48" t="s">
        <v>142</v>
      </c>
      <c r="G50" s="48" t="s">
        <v>124</v>
      </c>
      <c r="H50" s="96" t="s">
        <v>1013</v>
      </c>
      <c r="I50" s="48" t="s">
        <v>143</v>
      </c>
      <c r="J50" s="48" t="s">
        <v>126</v>
      </c>
      <c r="K50" s="412"/>
      <c r="L50" s="412"/>
      <c r="M50" s="412"/>
      <c r="N50" s="412"/>
      <c r="O50" s="412"/>
      <c r="P50" s="412"/>
      <c r="Q50" s="129" t="s">
        <v>126</v>
      </c>
      <c r="R50" s="104" t="s">
        <v>41</v>
      </c>
      <c r="S50" s="589"/>
      <c r="T50" s="589"/>
      <c r="U50" s="589"/>
      <c r="V50" s="589"/>
      <c r="W50" s="412"/>
      <c r="X50" s="105"/>
      <c r="Y50" s="104" t="s">
        <v>41</v>
      </c>
      <c r="Z50" s="102">
        <v>1</v>
      </c>
      <c r="AA50" s="57">
        <v>1</v>
      </c>
      <c r="AB50" s="467"/>
      <c r="AC50" s="467"/>
      <c r="AD50" s="412"/>
      <c r="AE50" s="268" t="s">
        <v>685</v>
      </c>
      <c r="AF50" s="537">
        <v>4</v>
      </c>
      <c r="AG50" s="518">
        <v>0.04</v>
      </c>
      <c r="AH50" s="57">
        <v>1</v>
      </c>
      <c r="AI50" s="474" t="s">
        <v>717</v>
      </c>
      <c r="AJ50" s="474" t="s">
        <v>718</v>
      </c>
      <c r="AK50" s="412"/>
      <c r="AL50" s="472" t="s">
        <v>757</v>
      </c>
      <c r="AM50" s="590">
        <v>5</v>
      </c>
      <c r="AN50" s="476">
        <v>5</v>
      </c>
      <c r="AO50" s="57">
        <v>1</v>
      </c>
      <c r="AP50" s="524" t="s">
        <v>800</v>
      </c>
      <c r="AQ50" s="524" t="s">
        <v>801</v>
      </c>
      <c r="AR50" s="412"/>
      <c r="AS50" s="472" t="s">
        <v>836</v>
      </c>
      <c r="AT50" s="504">
        <v>6</v>
      </c>
      <c r="AU50" s="492">
        <v>3</v>
      </c>
      <c r="AV50" s="57">
        <v>1</v>
      </c>
      <c r="AW50" s="493" t="s">
        <v>857</v>
      </c>
      <c r="AX50" s="493" t="s">
        <v>857</v>
      </c>
      <c r="AY50" s="412"/>
      <c r="AZ50" s="471" t="s">
        <v>894</v>
      </c>
      <c r="BA50" s="188" t="s">
        <v>693</v>
      </c>
      <c r="BB50" s="80">
        <v>200</v>
      </c>
      <c r="BC50" s="57">
        <v>1</v>
      </c>
      <c r="BD50" s="444"/>
      <c r="BE50" s="444"/>
      <c r="BF50" s="412"/>
      <c r="BG50" s="287" t="s">
        <v>955</v>
      </c>
      <c r="BH50" s="200">
        <v>0.15</v>
      </c>
      <c r="BI50" s="87">
        <v>0.1227</v>
      </c>
      <c r="BJ50" s="81">
        <v>1</v>
      </c>
      <c r="BK50" s="444"/>
      <c r="BL50" s="444"/>
      <c r="BM50" s="481"/>
      <c r="BN50" s="287" t="s">
        <v>548</v>
      </c>
      <c r="BO50" s="172">
        <v>0.15</v>
      </c>
      <c r="BP50" s="61">
        <v>0.1227</v>
      </c>
      <c r="BQ50" s="57">
        <v>1</v>
      </c>
      <c r="BR50" s="467"/>
      <c r="BS50" s="467"/>
      <c r="BT50" s="412"/>
      <c r="BU50" s="292" t="s">
        <v>624</v>
      </c>
      <c r="BV50" s="134">
        <v>0.15</v>
      </c>
      <c r="BW50" s="61">
        <v>0.1227</v>
      </c>
      <c r="BX50" s="57">
        <v>1</v>
      </c>
      <c r="BY50" s="456"/>
      <c r="BZ50" s="456"/>
      <c r="CA50" s="428"/>
      <c r="CB50" s="96" t="s">
        <v>1013</v>
      </c>
      <c r="CC50" s="356" t="s">
        <v>1063</v>
      </c>
      <c r="CD50" s="48" t="s">
        <v>1040</v>
      </c>
      <c r="CE50" s="309">
        <v>0.1227</v>
      </c>
      <c r="CF50" s="318">
        <v>1</v>
      </c>
    </row>
    <row r="51" spans="1:84" ht="41.25" customHeight="1" x14ac:dyDescent="0.25">
      <c r="A51" s="681"/>
      <c r="B51" s="413"/>
      <c r="C51" s="680"/>
      <c r="D51" s="602" t="s">
        <v>144</v>
      </c>
      <c r="E51" s="412" t="s">
        <v>145</v>
      </c>
      <c r="F51" s="412" t="s">
        <v>445</v>
      </c>
      <c r="G51" s="412" t="s">
        <v>446</v>
      </c>
      <c r="H51" s="451" t="s">
        <v>1017</v>
      </c>
      <c r="I51" s="412">
        <v>1</v>
      </c>
      <c r="J51" s="413" t="s">
        <v>447</v>
      </c>
      <c r="K51" s="412" t="s">
        <v>292</v>
      </c>
      <c r="L51" s="412" t="s">
        <v>386</v>
      </c>
      <c r="M51" s="413" t="s">
        <v>341</v>
      </c>
      <c r="N51" s="413" t="s">
        <v>448</v>
      </c>
      <c r="O51" s="413" t="s">
        <v>342</v>
      </c>
      <c r="P51" s="413" t="s">
        <v>343</v>
      </c>
      <c r="Q51" s="554" t="s">
        <v>447</v>
      </c>
      <c r="R51" s="104" t="s">
        <v>41</v>
      </c>
      <c r="S51" s="527"/>
      <c r="T51" s="527"/>
      <c r="U51" s="527"/>
      <c r="V51" s="527"/>
      <c r="W51" s="412" t="s">
        <v>269</v>
      </c>
      <c r="X51" s="105"/>
      <c r="Y51" s="104" t="s">
        <v>41</v>
      </c>
      <c r="Z51" s="102" t="s">
        <v>37</v>
      </c>
      <c r="AA51" s="425" t="e">
        <f>Z51/Y51</f>
        <v>#VALUE!</v>
      </c>
      <c r="AB51" s="467"/>
      <c r="AC51" s="467"/>
      <c r="AD51" s="412" t="s">
        <v>269</v>
      </c>
      <c r="AE51" s="266" t="s">
        <v>686</v>
      </c>
      <c r="AF51" s="537"/>
      <c r="AG51" s="518"/>
      <c r="AH51" s="425" t="e">
        <f>AG51/AF51</f>
        <v>#DIV/0!</v>
      </c>
      <c r="AI51" s="474"/>
      <c r="AJ51" s="474"/>
      <c r="AK51" s="412" t="s">
        <v>269</v>
      </c>
      <c r="AL51" s="472"/>
      <c r="AM51" s="590"/>
      <c r="AN51" s="476"/>
      <c r="AO51" s="425" t="e">
        <f>AN51/AM51</f>
        <v>#DIV/0!</v>
      </c>
      <c r="AP51" s="524"/>
      <c r="AQ51" s="524"/>
      <c r="AR51" s="412" t="s">
        <v>269</v>
      </c>
      <c r="AS51" s="472"/>
      <c r="AT51" s="504"/>
      <c r="AU51" s="492"/>
      <c r="AV51" s="425" t="e">
        <f>AU51/AT51</f>
        <v>#DIV/0!</v>
      </c>
      <c r="AW51" s="493"/>
      <c r="AX51" s="493"/>
      <c r="AY51" s="412" t="s">
        <v>269</v>
      </c>
      <c r="AZ51" s="471"/>
      <c r="BA51" s="480">
        <v>1</v>
      </c>
      <c r="BB51" s="481" t="s">
        <v>916</v>
      </c>
      <c r="BC51" s="425" t="e">
        <f>BB51/BA51</f>
        <v>#VALUE!</v>
      </c>
      <c r="BD51" s="444">
        <v>562895700</v>
      </c>
      <c r="BE51" s="444">
        <v>256575255</v>
      </c>
      <c r="BF51" s="412" t="s">
        <v>269</v>
      </c>
      <c r="BG51" s="446" t="s">
        <v>956</v>
      </c>
      <c r="BH51" s="609">
        <v>0.01</v>
      </c>
      <c r="BI51" s="484">
        <v>0</v>
      </c>
      <c r="BJ51" s="489">
        <f>BI51/BH51</f>
        <v>0</v>
      </c>
      <c r="BK51" s="444">
        <v>3000000</v>
      </c>
      <c r="BL51" s="444">
        <v>3000000</v>
      </c>
      <c r="BM51" s="481" t="s">
        <v>269</v>
      </c>
      <c r="BN51" s="542" t="s">
        <v>1042</v>
      </c>
      <c r="BO51" s="610">
        <v>0.01</v>
      </c>
      <c r="BP51" s="464">
        <v>0.01</v>
      </c>
      <c r="BQ51" s="425">
        <f>BP51/BO51</f>
        <v>1</v>
      </c>
      <c r="BR51" s="467">
        <v>3000000</v>
      </c>
      <c r="BS51" s="467">
        <v>3000000</v>
      </c>
      <c r="BT51" s="412" t="s">
        <v>269</v>
      </c>
      <c r="BU51" s="603" t="s">
        <v>625</v>
      </c>
      <c r="BV51" s="462">
        <v>0.01</v>
      </c>
      <c r="BW51" s="464">
        <v>0.01</v>
      </c>
      <c r="BX51" s="425">
        <f>BW51/BV51</f>
        <v>1</v>
      </c>
      <c r="BY51" s="454">
        <f>3800000+5600000</f>
        <v>9400000</v>
      </c>
      <c r="BZ51" s="454">
        <f>3800000+3000000+5600000</f>
        <v>12400000</v>
      </c>
      <c r="CA51" s="420">
        <v>1</v>
      </c>
      <c r="CB51" s="451" t="s">
        <v>1017</v>
      </c>
      <c r="CC51" s="465" t="s">
        <v>1064</v>
      </c>
      <c r="CD51" s="413" t="s">
        <v>447</v>
      </c>
      <c r="CE51" s="406">
        <v>0.01</v>
      </c>
      <c r="CF51" s="420">
        <v>1</v>
      </c>
    </row>
    <row r="52" spans="1:84" ht="118.5" customHeight="1" x14ac:dyDescent="0.25">
      <c r="A52" s="681"/>
      <c r="B52" s="413"/>
      <c r="C52" s="680"/>
      <c r="D52" s="602"/>
      <c r="E52" s="412"/>
      <c r="F52" s="412"/>
      <c r="G52" s="412"/>
      <c r="H52" s="460"/>
      <c r="I52" s="412"/>
      <c r="J52" s="413"/>
      <c r="K52" s="412"/>
      <c r="L52" s="412"/>
      <c r="M52" s="413"/>
      <c r="N52" s="413"/>
      <c r="O52" s="413"/>
      <c r="P52" s="413"/>
      <c r="Q52" s="554"/>
      <c r="R52" s="104" t="s">
        <v>41</v>
      </c>
      <c r="S52" s="589"/>
      <c r="T52" s="589"/>
      <c r="U52" s="589"/>
      <c r="V52" s="589"/>
      <c r="W52" s="412"/>
      <c r="X52" s="657"/>
      <c r="Y52" s="104" t="s">
        <v>41</v>
      </c>
      <c r="Z52" s="102" t="s">
        <v>37</v>
      </c>
      <c r="AA52" s="425"/>
      <c r="AB52" s="467"/>
      <c r="AC52" s="467"/>
      <c r="AD52" s="412"/>
      <c r="AE52" s="528" t="s">
        <v>687</v>
      </c>
      <c r="AF52" s="530" t="s">
        <v>694</v>
      </c>
      <c r="AG52" s="536" t="s">
        <v>694</v>
      </c>
      <c r="AH52" s="425"/>
      <c r="AI52" s="474" t="s">
        <v>704</v>
      </c>
      <c r="AJ52" s="474" t="s">
        <v>705</v>
      </c>
      <c r="AK52" s="412"/>
      <c r="AL52" s="512" t="s">
        <v>758</v>
      </c>
      <c r="AM52" s="537" t="s">
        <v>694</v>
      </c>
      <c r="AN52" s="488" t="s">
        <v>694</v>
      </c>
      <c r="AO52" s="425"/>
      <c r="AP52" s="474" t="s">
        <v>802</v>
      </c>
      <c r="AQ52" s="523">
        <v>23220000</v>
      </c>
      <c r="AR52" s="412"/>
      <c r="AS52" s="512" t="s">
        <v>837</v>
      </c>
      <c r="AT52" s="504">
        <v>1</v>
      </c>
      <c r="AU52" s="492">
        <v>1</v>
      </c>
      <c r="AV52" s="425"/>
      <c r="AW52" s="493" t="s">
        <v>857</v>
      </c>
      <c r="AX52" s="493" t="s">
        <v>857</v>
      </c>
      <c r="AY52" s="412"/>
      <c r="AZ52" s="501" t="s">
        <v>895</v>
      </c>
      <c r="BA52" s="480"/>
      <c r="BB52" s="481"/>
      <c r="BC52" s="425"/>
      <c r="BD52" s="444"/>
      <c r="BE52" s="444"/>
      <c r="BF52" s="412"/>
      <c r="BG52" s="446"/>
      <c r="BH52" s="480"/>
      <c r="BI52" s="484"/>
      <c r="BJ52" s="489"/>
      <c r="BK52" s="444"/>
      <c r="BL52" s="444"/>
      <c r="BM52" s="481"/>
      <c r="BN52" s="447"/>
      <c r="BO52" s="610"/>
      <c r="BP52" s="464"/>
      <c r="BQ52" s="425"/>
      <c r="BR52" s="467"/>
      <c r="BS52" s="467"/>
      <c r="BT52" s="412"/>
      <c r="BU52" s="486"/>
      <c r="BV52" s="463"/>
      <c r="BW52" s="464"/>
      <c r="BX52" s="425"/>
      <c r="BY52" s="456"/>
      <c r="BZ52" s="456"/>
      <c r="CA52" s="422"/>
      <c r="CB52" s="460"/>
      <c r="CC52" s="457"/>
      <c r="CD52" s="413"/>
      <c r="CE52" s="407"/>
      <c r="CF52" s="422"/>
    </row>
    <row r="53" spans="1:84" ht="60" customHeight="1" x14ac:dyDescent="0.25">
      <c r="A53" s="681"/>
      <c r="B53" s="413"/>
      <c r="C53" s="680"/>
      <c r="D53" s="602" t="s">
        <v>146</v>
      </c>
      <c r="E53" s="413" t="s">
        <v>147</v>
      </c>
      <c r="F53" s="413" t="s">
        <v>148</v>
      </c>
      <c r="G53" s="413" t="s">
        <v>149</v>
      </c>
      <c r="H53" s="451" t="s">
        <v>1018</v>
      </c>
      <c r="I53" s="413" t="s">
        <v>37</v>
      </c>
      <c r="J53" s="411">
        <v>1</v>
      </c>
      <c r="K53" s="412" t="s">
        <v>292</v>
      </c>
      <c r="L53" s="412" t="s">
        <v>329</v>
      </c>
      <c r="M53" s="413">
        <v>1905021</v>
      </c>
      <c r="N53" s="413" t="s">
        <v>344</v>
      </c>
      <c r="O53" s="413">
        <v>190502100</v>
      </c>
      <c r="P53" s="413" t="s">
        <v>345</v>
      </c>
      <c r="Q53" s="656">
        <v>1</v>
      </c>
      <c r="R53" s="104" t="s">
        <v>41</v>
      </c>
      <c r="S53" s="589"/>
      <c r="T53" s="589"/>
      <c r="U53" s="589"/>
      <c r="V53" s="589"/>
      <c r="W53" s="412" t="s">
        <v>261</v>
      </c>
      <c r="X53" s="657"/>
      <c r="Y53" s="104" t="s">
        <v>41</v>
      </c>
      <c r="Z53" s="102" t="s">
        <v>37</v>
      </c>
      <c r="AA53" s="466">
        <v>1</v>
      </c>
      <c r="AB53" s="467"/>
      <c r="AC53" s="467"/>
      <c r="AD53" s="412" t="s">
        <v>261</v>
      </c>
      <c r="AE53" s="528"/>
      <c r="AF53" s="530"/>
      <c r="AG53" s="536"/>
      <c r="AH53" s="466">
        <v>1</v>
      </c>
      <c r="AI53" s="474"/>
      <c r="AJ53" s="474"/>
      <c r="AK53" s="412" t="s">
        <v>261</v>
      </c>
      <c r="AL53" s="512"/>
      <c r="AM53" s="537"/>
      <c r="AN53" s="488"/>
      <c r="AO53" s="466">
        <v>1</v>
      </c>
      <c r="AP53" s="474"/>
      <c r="AQ53" s="488"/>
      <c r="AR53" s="412" t="s">
        <v>261</v>
      </c>
      <c r="AS53" s="512"/>
      <c r="AT53" s="504"/>
      <c r="AU53" s="492"/>
      <c r="AV53" s="466">
        <v>1</v>
      </c>
      <c r="AW53" s="493"/>
      <c r="AX53" s="493"/>
      <c r="AY53" s="412" t="s">
        <v>261</v>
      </c>
      <c r="AZ53" s="501"/>
      <c r="BA53" s="605">
        <v>1</v>
      </c>
      <c r="BB53" s="481">
        <v>1</v>
      </c>
      <c r="BC53" s="466">
        <v>1</v>
      </c>
      <c r="BD53" s="444"/>
      <c r="BE53" s="444"/>
      <c r="BF53" s="412" t="s">
        <v>261</v>
      </c>
      <c r="BG53" s="446" t="s">
        <v>949</v>
      </c>
      <c r="BH53" s="604">
        <v>0.7</v>
      </c>
      <c r="BI53" s="484">
        <v>0</v>
      </c>
      <c r="BJ53" s="606">
        <f>BI53/BH53*1</f>
        <v>0</v>
      </c>
      <c r="BK53" s="444"/>
      <c r="BL53" s="444"/>
      <c r="BM53" s="481" t="s">
        <v>261</v>
      </c>
      <c r="BN53" s="447" t="s">
        <v>549</v>
      </c>
      <c r="BO53" s="607">
        <v>0.8</v>
      </c>
      <c r="BP53" s="464">
        <v>1</v>
      </c>
      <c r="BQ53" s="466">
        <v>1</v>
      </c>
      <c r="BR53" s="467">
        <v>0</v>
      </c>
      <c r="BS53" s="467">
        <v>2285000</v>
      </c>
      <c r="BT53" s="412" t="s">
        <v>261</v>
      </c>
      <c r="BU53" s="486" t="s">
        <v>626</v>
      </c>
      <c r="BV53" s="462">
        <v>0.9</v>
      </c>
      <c r="BW53" s="464">
        <v>1</v>
      </c>
      <c r="BX53" s="466">
        <v>1</v>
      </c>
      <c r="BY53" s="467">
        <v>135994000</v>
      </c>
      <c r="BZ53" s="467">
        <v>117200000</v>
      </c>
      <c r="CA53" s="442">
        <f>BZ53/BY53</f>
        <v>0.86180272659087898</v>
      </c>
      <c r="CB53" s="451" t="s">
        <v>1018</v>
      </c>
      <c r="CC53" s="434" t="s">
        <v>1065</v>
      </c>
      <c r="CD53" s="411">
        <v>1</v>
      </c>
      <c r="CE53" s="406">
        <v>1</v>
      </c>
      <c r="CF53" s="425">
        <v>1</v>
      </c>
    </row>
    <row r="54" spans="1:84" ht="409.5" customHeight="1" x14ac:dyDescent="0.25">
      <c r="A54" s="681"/>
      <c r="B54" s="48" t="s">
        <v>98</v>
      </c>
      <c r="C54" s="123" t="s">
        <v>99</v>
      </c>
      <c r="D54" s="602"/>
      <c r="E54" s="413"/>
      <c r="F54" s="413"/>
      <c r="G54" s="413"/>
      <c r="H54" s="460"/>
      <c r="I54" s="413"/>
      <c r="J54" s="411"/>
      <c r="K54" s="412"/>
      <c r="L54" s="412"/>
      <c r="M54" s="413"/>
      <c r="N54" s="413"/>
      <c r="O54" s="413"/>
      <c r="P54" s="413"/>
      <c r="Q54" s="656"/>
      <c r="R54" s="104" t="s">
        <v>41</v>
      </c>
      <c r="S54" s="589"/>
      <c r="T54" s="589"/>
      <c r="U54" s="589"/>
      <c r="V54" s="589"/>
      <c r="W54" s="412"/>
      <c r="X54" s="657"/>
      <c r="Y54" s="104" t="s">
        <v>41</v>
      </c>
      <c r="Z54" s="102" t="s">
        <v>37</v>
      </c>
      <c r="AA54" s="466"/>
      <c r="AB54" s="467"/>
      <c r="AC54" s="467"/>
      <c r="AD54" s="412"/>
      <c r="AE54" s="528"/>
      <c r="AF54" s="236">
        <v>0.2</v>
      </c>
      <c r="AG54" s="96">
        <v>0</v>
      </c>
      <c r="AH54" s="466"/>
      <c r="AI54" s="474" t="s">
        <v>719</v>
      </c>
      <c r="AJ54" s="474" t="s">
        <v>720</v>
      </c>
      <c r="AK54" s="412"/>
      <c r="AL54" s="472" t="s">
        <v>759</v>
      </c>
      <c r="AM54" s="188">
        <v>0.4</v>
      </c>
      <c r="AN54" s="72" t="s">
        <v>41</v>
      </c>
      <c r="AO54" s="466"/>
      <c r="AP54" s="474" t="s">
        <v>803</v>
      </c>
      <c r="AQ54" s="474" t="s">
        <v>804</v>
      </c>
      <c r="AR54" s="412"/>
      <c r="AS54" s="472" t="s">
        <v>838</v>
      </c>
      <c r="AT54" s="224">
        <v>0.6</v>
      </c>
      <c r="AU54" s="146">
        <v>0.15</v>
      </c>
      <c r="AV54" s="466"/>
      <c r="AW54" s="246" t="s">
        <v>857</v>
      </c>
      <c r="AX54" s="246" t="s">
        <v>857</v>
      </c>
      <c r="AY54" s="412"/>
      <c r="AZ54" s="233" t="s">
        <v>896</v>
      </c>
      <c r="BA54" s="605"/>
      <c r="BB54" s="481"/>
      <c r="BC54" s="466"/>
      <c r="BD54" s="444"/>
      <c r="BE54" s="444"/>
      <c r="BF54" s="412"/>
      <c r="BG54" s="446"/>
      <c r="BH54" s="605"/>
      <c r="BI54" s="484"/>
      <c r="BJ54" s="606"/>
      <c r="BK54" s="444"/>
      <c r="BL54" s="444"/>
      <c r="BM54" s="481"/>
      <c r="BN54" s="447"/>
      <c r="BO54" s="608"/>
      <c r="BP54" s="464"/>
      <c r="BQ54" s="466"/>
      <c r="BR54" s="467"/>
      <c r="BS54" s="467"/>
      <c r="BT54" s="412"/>
      <c r="BU54" s="486"/>
      <c r="BV54" s="463"/>
      <c r="BW54" s="464"/>
      <c r="BX54" s="466"/>
      <c r="BY54" s="467"/>
      <c r="BZ54" s="454"/>
      <c r="CA54" s="443"/>
      <c r="CB54" s="460"/>
      <c r="CC54" s="435"/>
      <c r="CD54" s="411"/>
      <c r="CE54" s="407"/>
      <c r="CF54" s="425"/>
    </row>
    <row r="55" spans="1:84" ht="44.25" customHeight="1" x14ac:dyDescent="0.25">
      <c r="A55" s="681"/>
      <c r="B55" s="413" t="s">
        <v>150</v>
      </c>
      <c r="C55" s="680" t="s">
        <v>99</v>
      </c>
      <c r="D55" s="602" t="s">
        <v>151</v>
      </c>
      <c r="E55" s="413" t="s">
        <v>456</v>
      </c>
      <c r="F55" s="48" t="s">
        <v>152</v>
      </c>
      <c r="G55" s="48" t="s">
        <v>153</v>
      </c>
      <c r="H55" s="96" t="s">
        <v>1019</v>
      </c>
      <c r="I55" s="48" t="s">
        <v>154</v>
      </c>
      <c r="J55" s="48" t="s">
        <v>155</v>
      </c>
      <c r="K55" s="412" t="s">
        <v>292</v>
      </c>
      <c r="L55" s="412" t="s">
        <v>329</v>
      </c>
      <c r="M55" s="413">
        <v>1905020</v>
      </c>
      <c r="N55" s="413" t="s">
        <v>346</v>
      </c>
      <c r="O55" s="413">
        <v>190502000</v>
      </c>
      <c r="P55" s="413" t="s">
        <v>347</v>
      </c>
      <c r="Q55" s="125" t="s">
        <v>155</v>
      </c>
      <c r="R55" s="104">
        <v>100</v>
      </c>
      <c r="S55" s="527"/>
      <c r="T55" s="527"/>
      <c r="U55" s="527"/>
      <c r="V55" s="527"/>
      <c r="W55" s="36" t="s">
        <v>283</v>
      </c>
      <c r="X55" s="105" t="s">
        <v>500</v>
      </c>
      <c r="Y55" s="104">
        <v>100</v>
      </c>
      <c r="Z55" s="103">
        <v>0.1</v>
      </c>
      <c r="AA55" s="41">
        <v>0.52939999999999998</v>
      </c>
      <c r="AB55" s="467"/>
      <c r="AC55" s="467"/>
      <c r="AD55" s="36" t="s">
        <v>283</v>
      </c>
      <c r="AE55" s="266" t="s">
        <v>688</v>
      </c>
      <c r="AF55" s="530">
        <v>0.16</v>
      </c>
      <c r="AG55" s="488">
        <v>0</v>
      </c>
      <c r="AH55" s="41">
        <v>0.52939999999999998</v>
      </c>
      <c r="AI55" s="474"/>
      <c r="AJ55" s="474"/>
      <c r="AK55" s="36" t="s">
        <v>283</v>
      </c>
      <c r="AL55" s="472"/>
      <c r="AM55" s="531">
        <v>0.15</v>
      </c>
      <c r="AN55" s="532" t="s">
        <v>41</v>
      </c>
      <c r="AO55" s="41">
        <v>0.52939999999999998</v>
      </c>
      <c r="AP55" s="524"/>
      <c r="AQ55" s="524"/>
      <c r="AR55" s="36" t="s">
        <v>283</v>
      </c>
      <c r="AS55" s="472"/>
      <c r="AT55" s="505">
        <v>0.15</v>
      </c>
      <c r="AU55" s="506">
        <v>0.15</v>
      </c>
      <c r="AV55" s="41">
        <v>0.52939999999999998</v>
      </c>
      <c r="AW55" s="493">
        <v>38000000</v>
      </c>
      <c r="AX55" s="494">
        <v>35720000</v>
      </c>
      <c r="AY55" s="36" t="s">
        <v>283</v>
      </c>
      <c r="AZ55" s="496" t="s">
        <v>897</v>
      </c>
      <c r="BA55" s="203">
        <v>12</v>
      </c>
      <c r="BB55" s="82">
        <v>7</v>
      </c>
      <c r="BC55" s="41">
        <v>0.52939999999999998</v>
      </c>
      <c r="BD55" s="92"/>
      <c r="BE55" s="92"/>
      <c r="BF55" s="36" t="s">
        <v>283</v>
      </c>
      <c r="BG55" s="193" t="s">
        <v>957</v>
      </c>
      <c r="BH55" s="192" t="s">
        <v>420</v>
      </c>
      <c r="BI55" s="78">
        <v>6.8000000000000005E-2</v>
      </c>
      <c r="BJ55" s="83">
        <v>0</v>
      </c>
      <c r="BK55" s="444"/>
      <c r="BL55" s="444"/>
      <c r="BM55" s="82" t="s">
        <v>283</v>
      </c>
      <c r="BN55" s="447" t="s">
        <v>550</v>
      </c>
      <c r="BO55" s="128" t="s">
        <v>420</v>
      </c>
      <c r="BP55" s="37">
        <v>6.8000000000000005E-2</v>
      </c>
      <c r="BQ55" s="41">
        <v>0.52939999999999998</v>
      </c>
      <c r="BR55" s="467">
        <v>13200000</v>
      </c>
      <c r="BS55" s="467">
        <v>3300000</v>
      </c>
      <c r="BT55" s="36" t="s">
        <v>283</v>
      </c>
      <c r="BU55" s="486" t="s">
        <v>627</v>
      </c>
      <c r="BV55" s="96" t="s">
        <v>985</v>
      </c>
      <c r="BW55" s="37">
        <v>6.8000000000000005E-2</v>
      </c>
      <c r="BX55" s="41">
        <v>0.52939999999999998</v>
      </c>
      <c r="BY55" s="454">
        <v>2885000</v>
      </c>
      <c r="BZ55" s="454">
        <v>2885000</v>
      </c>
      <c r="CA55" s="439">
        <f>BZ55/BY55</f>
        <v>1</v>
      </c>
      <c r="CB55" s="96" t="s">
        <v>1019</v>
      </c>
      <c r="CC55" s="434" t="s">
        <v>1066</v>
      </c>
      <c r="CD55" s="48" t="s">
        <v>155</v>
      </c>
      <c r="CE55" s="37">
        <v>6.8000000000000005E-2</v>
      </c>
      <c r="CF55" s="63">
        <v>0</v>
      </c>
    </row>
    <row r="56" spans="1:84" ht="47.25" customHeight="1" x14ac:dyDescent="0.25">
      <c r="A56" s="681"/>
      <c r="B56" s="413"/>
      <c r="C56" s="680"/>
      <c r="D56" s="602"/>
      <c r="E56" s="413"/>
      <c r="F56" s="413" t="s">
        <v>156</v>
      </c>
      <c r="G56" s="413" t="s">
        <v>153</v>
      </c>
      <c r="H56" s="451" t="s">
        <v>1013</v>
      </c>
      <c r="I56" s="413" t="s">
        <v>157</v>
      </c>
      <c r="J56" s="413" t="s">
        <v>155</v>
      </c>
      <c r="K56" s="412"/>
      <c r="L56" s="412"/>
      <c r="M56" s="413"/>
      <c r="N56" s="413"/>
      <c r="O56" s="413"/>
      <c r="P56" s="413"/>
      <c r="Q56" s="554" t="s">
        <v>155</v>
      </c>
      <c r="R56" s="104" t="s">
        <v>41</v>
      </c>
      <c r="S56" s="589"/>
      <c r="T56" s="589"/>
      <c r="U56" s="589"/>
      <c r="V56" s="589"/>
      <c r="W56" s="412"/>
      <c r="X56" s="657"/>
      <c r="Y56" s="104" t="s">
        <v>41</v>
      </c>
      <c r="Z56" s="102">
        <v>1</v>
      </c>
      <c r="AA56" s="459">
        <v>0.52939999999999998</v>
      </c>
      <c r="AB56" s="467"/>
      <c r="AC56" s="467"/>
      <c r="AD56" s="412"/>
      <c r="AE56" s="528" t="s">
        <v>689</v>
      </c>
      <c r="AF56" s="530"/>
      <c r="AG56" s="488"/>
      <c r="AH56" s="459">
        <v>0.52939999999999998</v>
      </c>
      <c r="AI56" s="474"/>
      <c r="AJ56" s="474"/>
      <c r="AK56" s="412"/>
      <c r="AL56" s="472"/>
      <c r="AM56" s="531"/>
      <c r="AN56" s="532"/>
      <c r="AO56" s="459">
        <v>0.52939999999999998</v>
      </c>
      <c r="AP56" s="524"/>
      <c r="AQ56" s="524"/>
      <c r="AR56" s="412"/>
      <c r="AS56" s="472"/>
      <c r="AT56" s="505"/>
      <c r="AU56" s="506"/>
      <c r="AV56" s="459">
        <v>0.52939999999999998</v>
      </c>
      <c r="AW56" s="493"/>
      <c r="AX56" s="494"/>
      <c r="AY56" s="412"/>
      <c r="AZ56" s="496"/>
      <c r="BA56" s="480"/>
      <c r="BB56" s="481"/>
      <c r="BC56" s="459">
        <v>0.52939999999999998</v>
      </c>
      <c r="BD56" s="444"/>
      <c r="BE56" s="444"/>
      <c r="BF56" s="412"/>
      <c r="BG56" s="446" t="s">
        <v>958</v>
      </c>
      <c r="BH56" s="480" t="s">
        <v>420</v>
      </c>
      <c r="BI56" s="601">
        <v>6.8000000000000005E-2</v>
      </c>
      <c r="BJ56" s="596">
        <v>0</v>
      </c>
      <c r="BK56" s="444"/>
      <c r="BL56" s="444"/>
      <c r="BM56" s="481"/>
      <c r="BN56" s="447"/>
      <c r="BO56" s="602" t="s">
        <v>420</v>
      </c>
      <c r="BP56" s="458">
        <v>6.8000000000000005E-2</v>
      </c>
      <c r="BQ56" s="459">
        <v>0.52939999999999998</v>
      </c>
      <c r="BR56" s="467"/>
      <c r="BS56" s="467"/>
      <c r="BT56" s="412"/>
      <c r="BU56" s="486"/>
      <c r="BV56" s="451" t="s">
        <v>985</v>
      </c>
      <c r="BW56" s="458">
        <v>6.8000000000000005E-2</v>
      </c>
      <c r="BX56" s="459">
        <v>0.52939999999999998</v>
      </c>
      <c r="BY56" s="455"/>
      <c r="BZ56" s="455"/>
      <c r="CA56" s="440"/>
      <c r="CB56" s="451" t="s">
        <v>1013</v>
      </c>
      <c r="CC56" s="435"/>
      <c r="CD56" s="413" t="s">
        <v>155</v>
      </c>
      <c r="CE56" s="408">
        <v>6.8000000000000005E-2</v>
      </c>
      <c r="CF56" s="414">
        <v>0</v>
      </c>
    </row>
    <row r="57" spans="1:84" ht="93" customHeight="1" x14ac:dyDescent="0.25">
      <c r="A57" s="681"/>
      <c r="B57" s="413"/>
      <c r="C57" s="680"/>
      <c r="D57" s="602"/>
      <c r="E57" s="413"/>
      <c r="F57" s="413"/>
      <c r="G57" s="413"/>
      <c r="H57" s="460"/>
      <c r="I57" s="413"/>
      <c r="J57" s="413"/>
      <c r="K57" s="412"/>
      <c r="L57" s="412"/>
      <c r="M57" s="413"/>
      <c r="N57" s="413"/>
      <c r="O57" s="413"/>
      <c r="P57" s="413"/>
      <c r="Q57" s="554"/>
      <c r="R57" s="104" t="s">
        <v>41</v>
      </c>
      <c r="S57" s="589"/>
      <c r="T57" s="589"/>
      <c r="U57" s="589"/>
      <c r="V57" s="589"/>
      <c r="W57" s="412"/>
      <c r="X57" s="657"/>
      <c r="Y57" s="104" t="s">
        <v>41</v>
      </c>
      <c r="Z57" s="527">
        <v>1</v>
      </c>
      <c r="AA57" s="459"/>
      <c r="AB57" s="467"/>
      <c r="AC57" s="467"/>
      <c r="AD57" s="412"/>
      <c r="AE57" s="528"/>
      <c r="AF57" s="236" t="s">
        <v>694</v>
      </c>
      <c r="AG57" s="96" t="s">
        <v>694</v>
      </c>
      <c r="AH57" s="459"/>
      <c r="AI57" s="74" t="s">
        <v>704</v>
      </c>
      <c r="AJ57" s="74" t="s">
        <v>705</v>
      </c>
      <c r="AK57" s="412"/>
      <c r="AL57" s="214" t="s">
        <v>760</v>
      </c>
      <c r="AM57" s="205" t="s">
        <v>694</v>
      </c>
      <c r="AN57" s="95" t="s">
        <v>694</v>
      </c>
      <c r="AO57" s="459"/>
      <c r="AP57" s="74" t="s">
        <v>802</v>
      </c>
      <c r="AQ57" s="74">
        <v>22400000</v>
      </c>
      <c r="AR57" s="412"/>
      <c r="AS57" s="242" t="s">
        <v>839</v>
      </c>
      <c r="AT57" s="224">
        <v>1</v>
      </c>
      <c r="AU57" s="146">
        <v>1</v>
      </c>
      <c r="AV57" s="459"/>
      <c r="AW57" s="246" t="s">
        <v>857</v>
      </c>
      <c r="AX57" s="246" t="s">
        <v>857</v>
      </c>
      <c r="AY57" s="412"/>
      <c r="AZ57" s="283" t="s">
        <v>898</v>
      </c>
      <c r="BA57" s="480"/>
      <c r="BB57" s="481"/>
      <c r="BC57" s="459"/>
      <c r="BD57" s="444"/>
      <c r="BE57" s="444"/>
      <c r="BF57" s="412"/>
      <c r="BG57" s="446"/>
      <c r="BH57" s="480"/>
      <c r="BI57" s="481"/>
      <c r="BJ57" s="596"/>
      <c r="BK57" s="444"/>
      <c r="BL57" s="444"/>
      <c r="BM57" s="481"/>
      <c r="BN57" s="447"/>
      <c r="BO57" s="602"/>
      <c r="BP57" s="413"/>
      <c r="BQ57" s="459"/>
      <c r="BR57" s="467"/>
      <c r="BS57" s="467"/>
      <c r="BT57" s="412"/>
      <c r="BU57" s="486"/>
      <c r="BV57" s="460"/>
      <c r="BW57" s="413"/>
      <c r="BX57" s="459"/>
      <c r="BY57" s="456"/>
      <c r="BZ57" s="456"/>
      <c r="CA57" s="441"/>
      <c r="CB57" s="460"/>
      <c r="CC57" s="457"/>
      <c r="CD57" s="413"/>
      <c r="CE57" s="383"/>
      <c r="CF57" s="428"/>
    </row>
    <row r="58" spans="1:84" ht="301.5" customHeight="1" x14ac:dyDescent="0.25">
      <c r="A58" s="681"/>
      <c r="B58" s="413"/>
      <c r="C58" s="680"/>
      <c r="D58" s="128" t="s">
        <v>158</v>
      </c>
      <c r="E58" s="48" t="s">
        <v>159</v>
      </c>
      <c r="F58" s="48" t="s">
        <v>160</v>
      </c>
      <c r="G58" s="48" t="s">
        <v>161</v>
      </c>
      <c r="H58" s="96" t="s">
        <v>1020</v>
      </c>
      <c r="I58" s="48" t="s">
        <v>162</v>
      </c>
      <c r="J58" s="48" t="s">
        <v>163</v>
      </c>
      <c r="K58" s="60" t="s">
        <v>292</v>
      </c>
      <c r="L58" s="60" t="s">
        <v>348</v>
      </c>
      <c r="M58" s="48" t="s">
        <v>327</v>
      </c>
      <c r="N58" s="48" t="s">
        <v>389</v>
      </c>
      <c r="O58" s="48" t="s">
        <v>328</v>
      </c>
      <c r="P58" s="48" t="s">
        <v>392</v>
      </c>
      <c r="Q58" s="125" t="s">
        <v>163</v>
      </c>
      <c r="R58" s="104" t="s">
        <v>41</v>
      </c>
      <c r="S58" s="589"/>
      <c r="T58" s="589"/>
      <c r="U58" s="589"/>
      <c r="V58" s="589"/>
      <c r="W58" s="60" t="s">
        <v>276</v>
      </c>
      <c r="X58" s="657"/>
      <c r="Y58" s="104" t="s">
        <v>41</v>
      </c>
      <c r="Z58" s="527"/>
      <c r="AA58" s="43">
        <v>1</v>
      </c>
      <c r="AB58" s="58"/>
      <c r="AC58" s="58"/>
      <c r="AD58" s="60" t="s">
        <v>276</v>
      </c>
      <c r="AE58" s="528"/>
      <c r="AF58" s="239">
        <v>0.9</v>
      </c>
      <c r="AG58" s="134">
        <v>1</v>
      </c>
      <c r="AH58" s="43">
        <v>1</v>
      </c>
      <c r="AI58" s="74" t="s">
        <v>706</v>
      </c>
      <c r="AJ58" s="74" t="s">
        <v>707</v>
      </c>
      <c r="AK58" s="60" t="s">
        <v>276</v>
      </c>
      <c r="AL58" s="269" t="s">
        <v>761</v>
      </c>
      <c r="AM58" s="215">
        <v>0.95</v>
      </c>
      <c r="AN58" s="138">
        <v>0.95</v>
      </c>
      <c r="AO58" s="43">
        <v>1</v>
      </c>
      <c r="AP58" s="145" t="s">
        <v>805</v>
      </c>
      <c r="AQ58" s="145" t="s">
        <v>806</v>
      </c>
      <c r="AR58" s="60" t="s">
        <v>276</v>
      </c>
      <c r="AS58" s="225" t="s">
        <v>840</v>
      </c>
      <c r="AT58" s="284">
        <v>1</v>
      </c>
      <c r="AU58" s="260">
        <v>1</v>
      </c>
      <c r="AV58" s="43">
        <v>1</v>
      </c>
      <c r="AW58" s="246" t="s">
        <v>857</v>
      </c>
      <c r="AX58" s="246" t="s">
        <v>857</v>
      </c>
      <c r="AY58" s="60" t="s">
        <v>276</v>
      </c>
      <c r="AZ58" s="285" t="s">
        <v>1035</v>
      </c>
      <c r="BA58" s="192">
        <v>390</v>
      </c>
      <c r="BB58" s="80">
        <v>556</v>
      </c>
      <c r="BC58" s="43">
        <v>1</v>
      </c>
      <c r="BD58" s="79">
        <v>0</v>
      </c>
      <c r="BE58" s="79">
        <v>0</v>
      </c>
      <c r="BF58" s="60" t="s">
        <v>276</v>
      </c>
      <c r="BG58" s="216" t="s">
        <v>959</v>
      </c>
      <c r="BH58" s="192" t="s">
        <v>421</v>
      </c>
      <c r="BI58" s="261">
        <v>4358</v>
      </c>
      <c r="BJ58" s="91">
        <v>1</v>
      </c>
      <c r="BK58" s="79"/>
      <c r="BL58" s="79"/>
      <c r="BM58" s="80" t="s">
        <v>276</v>
      </c>
      <c r="BN58" s="289" t="s">
        <v>551</v>
      </c>
      <c r="BO58" s="130" t="s">
        <v>421</v>
      </c>
      <c r="BP58" s="262">
        <v>4358</v>
      </c>
      <c r="BQ58" s="43">
        <v>1</v>
      </c>
      <c r="BR58" s="58"/>
      <c r="BS58" s="58"/>
      <c r="BT58" s="60" t="s">
        <v>276</v>
      </c>
      <c r="BU58" s="290" t="s">
        <v>628</v>
      </c>
      <c r="BV58" s="332">
        <v>1150</v>
      </c>
      <c r="BW58" s="262">
        <v>4358</v>
      </c>
      <c r="BX58" s="43">
        <v>0</v>
      </c>
      <c r="BY58" s="339">
        <f>10000000+624000+
11170350+
135994000+
624000</f>
        <v>158412350</v>
      </c>
      <c r="BZ58" s="339">
        <f>10000000+624000+
22340700+
546239083+
624000</f>
        <v>579827783</v>
      </c>
      <c r="CA58" s="327">
        <v>1</v>
      </c>
      <c r="CB58" s="96" t="s">
        <v>1020</v>
      </c>
      <c r="CC58" s="357" t="s">
        <v>1086</v>
      </c>
      <c r="CD58" s="48" t="s">
        <v>163</v>
      </c>
      <c r="CE58" s="312">
        <v>4358</v>
      </c>
      <c r="CF58" s="327">
        <v>0</v>
      </c>
    </row>
    <row r="59" spans="1:84" ht="205.5" customHeight="1" x14ac:dyDescent="0.25">
      <c r="A59" s="681"/>
      <c r="B59" s="413" t="s">
        <v>164</v>
      </c>
      <c r="C59" s="680" t="s">
        <v>165</v>
      </c>
      <c r="D59" s="128" t="s">
        <v>166</v>
      </c>
      <c r="E59" s="48" t="s">
        <v>167</v>
      </c>
      <c r="F59" s="48" t="s">
        <v>168</v>
      </c>
      <c r="G59" s="48" t="s">
        <v>169</v>
      </c>
      <c r="H59" s="96" t="s">
        <v>1021</v>
      </c>
      <c r="I59" s="48" t="s">
        <v>170</v>
      </c>
      <c r="J59" s="48" t="s">
        <v>171</v>
      </c>
      <c r="K59" s="60" t="s">
        <v>292</v>
      </c>
      <c r="L59" s="60" t="s">
        <v>324</v>
      </c>
      <c r="M59" s="60">
        <v>4301037</v>
      </c>
      <c r="N59" s="60" t="s">
        <v>325</v>
      </c>
      <c r="O59" s="60">
        <v>430103704</v>
      </c>
      <c r="P59" s="60" t="s">
        <v>326</v>
      </c>
      <c r="Q59" s="125" t="s">
        <v>171</v>
      </c>
      <c r="R59" s="104" t="s">
        <v>41</v>
      </c>
      <c r="S59" s="527"/>
      <c r="T59" s="527"/>
      <c r="U59" s="527"/>
      <c r="V59" s="527"/>
      <c r="W59" s="62" t="s">
        <v>263</v>
      </c>
      <c r="X59" s="657"/>
      <c r="Y59" s="104" t="s">
        <v>41</v>
      </c>
      <c r="Z59" s="102">
        <v>0</v>
      </c>
      <c r="AA59" s="57">
        <v>1</v>
      </c>
      <c r="AB59" s="58"/>
      <c r="AC59" s="58"/>
      <c r="AD59" s="62" t="s">
        <v>263</v>
      </c>
      <c r="AE59" s="528" t="s">
        <v>690</v>
      </c>
      <c r="AF59" s="236">
        <v>1</v>
      </c>
      <c r="AG59" s="96">
        <v>1</v>
      </c>
      <c r="AH59" s="57">
        <v>1</v>
      </c>
      <c r="AI59" s="474" t="s">
        <v>721</v>
      </c>
      <c r="AJ59" s="474" t="s">
        <v>722</v>
      </c>
      <c r="AK59" s="62" t="s">
        <v>263</v>
      </c>
      <c r="AL59" s="269" t="s">
        <v>762</v>
      </c>
      <c r="AM59" s="188">
        <v>1</v>
      </c>
      <c r="AN59" s="72">
        <v>1</v>
      </c>
      <c r="AO59" s="57">
        <v>1</v>
      </c>
      <c r="AP59" s="523" t="s">
        <v>807</v>
      </c>
      <c r="AQ59" s="488" t="s">
        <v>808</v>
      </c>
      <c r="AR59" s="62" t="s">
        <v>263</v>
      </c>
      <c r="AS59" s="472" t="s">
        <v>841</v>
      </c>
      <c r="AT59" s="504">
        <v>1</v>
      </c>
      <c r="AU59" s="492">
        <v>1</v>
      </c>
      <c r="AV59" s="57">
        <v>1</v>
      </c>
      <c r="AW59" s="502" t="s">
        <v>857</v>
      </c>
      <c r="AX59" s="491" t="s">
        <v>857</v>
      </c>
      <c r="AY59" s="62" t="s">
        <v>263</v>
      </c>
      <c r="AZ59" s="471" t="s">
        <v>899</v>
      </c>
      <c r="BA59" s="192">
        <v>1</v>
      </c>
      <c r="BB59" s="80">
        <v>1</v>
      </c>
      <c r="BC59" s="57">
        <v>1</v>
      </c>
      <c r="BD59" s="79" t="s">
        <v>929</v>
      </c>
      <c r="BE59" s="79">
        <v>31112000</v>
      </c>
      <c r="BF59" s="62" t="s">
        <v>263</v>
      </c>
      <c r="BG59" s="183" t="s">
        <v>960</v>
      </c>
      <c r="BH59" s="203"/>
      <c r="BI59" s="80">
        <v>1</v>
      </c>
      <c r="BJ59" s="81">
        <v>0</v>
      </c>
      <c r="BK59" s="79" t="s">
        <v>552</v>
      </c>
      <c r="BL59" s="79" t="s">
        <v>553</v>
      </c>
      <c r="BM59" s="84" t="s">
        <v>263</v>
      </c>
      <c r="BN59" s="183" t="s">
        <v>554</v>
      </c>
      <c r="BO59" s="176"/>
      <c r="BP59" s="48">
        <v>666</v>
      </c>
      <c r="BQ59" s="57">
        <v>1</v>
      </c>
      <c r="BR59" s="58">
        <v>42833333</v>
      </c>
      <c r="BS59" s="58" t="s">
        <v>629</v>
      </c>
      <c r="BT59" s="62" t="s">
        <v>263</v>
      </c>
      <c r="BU59" s="168" t="s">
        <v>630</v>
      </c>
      <c r="BV59" s="379">
        <v>90</v>
      </c>
      <c r="BW59" s="48">
        <v>692</v>
      </c>
      <c r="BX59" s="57">
        <v>1</v>
      </c>
      <c r="BY59" s="325">
        <f>20878000000+495000000+177000000</f>
        <v>21550000000</v>
      </c>
      <c r="BZ59" s="325">
        <f>8878000000+177000000+495000000</f>
        <v>9550000000</v>
      </c>
      <c r="CA59" s="302">
        <f>BZ59/BY59</f>
        <v>0.44315545243619492</v>
      </c>
      <c r="CB59" s="96" t="s">
        <v>1021</v>
      </c>
      <c r="CC59" s="358" t="s">
        <v>1067</v>
      </c>
      <c r="CD59" s="48">
        <v>90</v>
      </c>
      <c r="CE59" s="310">
        <v>692</v>
      </c>
      <c r="CF59" s="302">
        <v>1</v>
      </c>
    </row>
    <row r="60" spans="1:84" ht="199.5" customHeight="1" x14ac:dyDescent="0.25">
      <c r="A60" s="681"/>
      <c r="B60" s="413"/>
      <c r="C60" s="680"/>
      <c r="D60" s="602" t="s">
        <v>172</v>
      </c>
      <c r="E60" s="413" t="s">
        <v>173</v>
      </c>
      <c r="F60" s="48" t="s">
        <v>174</v>
      </c>
      <c r="G60" s="48" t="s">
        <v>169</v>
      </c>
      <c r="H60" s="96" t="s">
        <v>1021</v>
      </c>
      <c r="I60" s="32" t="s">
        <v>170</v>
      </c>
      <c r="J60" s="48" t="s">
        <v>171</v>
      </c>
      <c r="K60" s="412" t="s">
        <v>292</v>
      </c>
      <c r="L60" s="412" t="s">
        <v>349</v>
      </c>
      <c r="M60" s="413">
        <v>4302075</v>
      </c>
      <c r="N60" s="413" t="s">
        <v>350</v>
      </c>
      <c r="O60" s="413">
        <v>430207500</v>
      </c>
      <c r="P60" s="413" t="s">
        <v>351</v>
      </c>
      <c r="Q60" s="125" t="s">
        <v>171</v>
      </c>
      <c r="R60" s="104">
        <v>0</v>
      </c>
      <c r="S60" s="589"/>
      <c r="T60" s="589"/>
      <c r="U60" s="589"/>
      <c r="V60" s="589"/>
      <c r="W60" s="412" t="s">
        <v>270</v>
      </c>
      <c r="X60" s="657"/>
      <c r="Y60" s="104" t="s">
        <v>41</v>
      </c>
      <c r="Z60" s="103">
        <v>0.1</v>
      </c>
      <c r="AA60" s="43" t="e">
        <f>Z60/Y60</f>
        <v>#VALUE!</v>
      </c>
      <c r="AB60" s="467"/>
      <c r="AC60" s="467"/>
      <c r="AD60" s="412" t="s">
        <v>270</v>
      </c>
      <c r="AE60" s="528"/>
      <c r="AF60" s="236">
        <v>1</v>
      </c>
      <c r="AG60" s="96">
        <v>1</v>
      </c>
      <c r="AH60" s="43">
        <f>AG60/AF60</f>
        <v>1</v>
      </c>
      <c r="AI60" s="474"/>
      <c r="AJ60" s="474"/>
      <c r="AK60" s="412" t="s">
        <v>270</v>
      </c>
      <c r="AL60" s="269" t="s">
        <v>762</v>
      </c>
      <c r="AM60" s="188">
        <v>1</v>
      </c>
      <c r="AN60" s="72">
        <v>1</v>
      </c>
      <c r="AO60" s="43">
        <f>AN60/AM60</f>
        <v>1</v>
      </c>
      <c r="AP60" s="476"/>
      <c r="AQ60" s="476"/>
      <c r="AR60" s="412" t="s">
        <v>270</v>
      </c>
      <c r="AS60" s="472"/>
      <c r="AT60" s="504"/>
      <c r="AU60" s="492"/>
      <c r="AV60" s="43" t="e">
        <f>AU60/AT60</f>
        <v>#DIV/0!</v>
      </c>
      <c r="AW60" s="493"/>
      <c r="AX60" s="495"/>
      <c r="AY60" s="412" t="s">
        <v>270</v>
      </c>
      <c r="AZ60" s="471"/>
      <c r="BA60" s="192">
        <v>20</v>
      </c>
      <c r="BB60" s="80">
        <v>923</v>
      </c>
      <c r="BC60" s="43">
        <f>BB60/BA60</f>
        <v>46.15</v>
      </c>
      <c r="BD60" s="444" t="s">
        <v>929</v>
      </c>
      <c r="BE60" s="92">
        <v>623661206</v>
      </c>
      <c r="BF60" s="412" t="s">
        <v>270</v>
      </c>
      <c r="BG60" s="183" t="s">
        <v>961</v>
      </c>
      <c r="BH60" s="194">
        <v>0.7</v>
      </c>
      <c r="BI60" s="89">
        <f>6/12</f>
        <v>0.5</v>
      </c>
      <c r="BJ60" s="91">
        <f>BI60/BH60</f>
        <v>0.7142857142857143</v>
      </c>
      <c r="BK60" s="444" t="s">
        <v>555</v>
      </c>
      <c r="BL60" s="444" t="s">
        <v>556</v>
      </c>
      <c r="BM60" s="481" t="s">
        <v>270</v>
      </c>
      <c r="BN60" s="183" t="s">
        <v>557</v>
      </c>
      <c r="BO60" s="177">
        <v>80</v>
      </c>
      <c r="BP60" s="42">
        <v>69</v>
      </c>
      <c r="BQ60" s="43">
        <f>BP60/BO60</f>
        <v>0.86250000000000004</v>
      </c>
      <c r="BR60" s="467">
        <v>132200000</v>
      </c>
      <c r="BS60" s="467" t="s">
        <v>631</v>
      </c>
      <c r="BT60" s="412" t="s">
        <v>270</v>
      </c>
      <c r="BU60" s="168" t="s">
        <v>632</v>
      </c>
      <c r="BV60" s="138">
        <v>0.8</v>
      </c>
      <c r="BW60" s="59">
        <v>0.69</v>
      </c>
      <c r="BX60" s="43">
        <f>BW60/BV60</f>
        <v>0.86249999999999993</v>
      </c>
      <c r="BY60" s="454">
        <f>44580000+233685000+
12834828+177000000</f>
        <v>468099828</v>
      </c>
      <c r="BZ60" s="454">
        <f>44580000+233685000+
12834828+
177000000</f>
        <v>468099828</v>
      </c>
      <c r="CA60" s="442">
        <f>BZ60/BY60</f>
        <v>1</v>
      </c>
      <c r="CB60" s="96" t="s">
        <v>1021</v>
      </c>
      <c r="CC60" s="358" t="s">
        <v>1099</v>
      </c>
      <c r="CD60" s="48" t="s">
        <v>171</v>
      </c>
      <c r="CE60" s="42">
        <v>69</v>
      </c>
      <c r="CF60" s="43">
        <v>0.69</v>
      </c>
    </row>
    <row r="61" spans="1:84" ht="48" customHeight="1" x14ac:dyDescent="0.25">
      <c r="A61" s="681"/>
      <c r="B61" s="413"/>
      <c r="C61" s="680"/>
      <c r="D61" s="602"/>
      <c r="E61" s="413"/>
      <c r="F61" s="48" t="s">
        <v>175</v>
      </c>
      <c r="G61" s="48" t="s">
        <v>169</v>
      </c>
      <c r="H61" s="96" t="s">
        <v>1021</v>
      </c>
      <c r="I61" s="32" t="s">
        <v>170</v>
      </c>
      <c r="J61" s="48" t="s">
        <v>171</v>
      </c>
      <c r="K61" s="412"/>
      <c r="L61" s="412"/>
      <c r="M61" s="413"/>
      <c r="N61" s="413"/>
      <c r="O61" s="413"/>
      <c r="P61" s="413"/>
      <c r="Q61" s="125" t="s">
        <v>171</v>
      </c>
      <c r="R61" s="104">
        <v>0</v>
      </c>
      <c r="S61" s="589"/>
      <c r="T61" s="589"/>
      <c r="U61" s="589"/>
      <c r="V61" s="589"/>
      <c r="W61" s="412"/>
      <c r="X61" s="657"/>
      <c r="Y61" s="104" t="s">
        <v>41</v>
      </c>
      <c r="Z61" s="102">
        <v>1</v>
      </c>
      <c r="AA61" s="43" t="e">
        <f>Z61/Y61</f>
        <v>#VALUE!</v>
      </c>
      <c r="AB61" s="467"/>
      <c r="AC61" s="478"/>
      <c r="AD61" s="412"/>
      <c r="AE61" s="528"/>
      <c r="AF61" s="236" t="s">
        <v>694</v>
      </c>
      <c r="AG61" s="96" t="s">
        <v>694</v>
      </c>
      <c r="AH61" s="43" t="e">
        <f>AG61/AF61</f>
        <v>#VALUE!</v>
      </c>
      <c r="AI61" s="474">
        <v>16300000</v>
      </c>
      <c r="AJ61" s="474">
        <v>14433333</v>
      </c>
      <c r="AK61" s="412"/>
      <c r="AL61" s="269" t="s">
        <v>763</v>
      </c>
      <c r="AM61" s="236" t="s">
        <v>694</v>
      </c>
      <c r="AN61" s="96" t="s">
        <v>694</v>
      </c>
      <c r="AO61" s="43" t="e">
        <f>AN61/AM61</f>
        <v>#VALUE!</v>
      </c>
      <c r="AP61" s="523">
        <v>363307447</v>
      </c>
      <c r="AQ61" s="523">
        <v>73250000</v>
      </c>
      <c r="AR61" s="412"/>
      <c r="AS61" s="472" t="s">
        <v>842</v>
      </c>
      <c r="AT61" s="224">
        <v>1</v>
      </c>
      <c r="AU61" s="146">
        <v>1</v>
      </c>
      <c r="AV61" s="43">
        <f>AU61/AT61</f>
        <v>1</v>
      </c>
      <c r="AW61" s="246" t="s">
        <v>857</v>
      </c>
      <c r="AX61" s="246" t="s">
        <v>857</v>
      </c>
      <c r="AY61" s="412"/>
      <c r="AZ61" s="235" t="s">
        <v>900</v>
      </c>
      <c r="BA61" s="192">
        <v>20</v>
      </c>
      <c r="BB61" s="80">
        <f>20+1755</f>
        <v>1775</v>
      </c>
      <c r="BC61" s="43">
        <f>BB61/BA61</f>
        <v>88.75</v>
      </c>
      <c r="BD61" s="444"/>
      <c r="BE61" s="92">
        <v>75485000</v>
      </c>
      <c r="BF61" s="412"/>
      <c r="BG61" s="183" t="s">
        <v>962</v>
      </c>
      <c r="BH61" s="194">
        <v>0.7</v>
      </c>
      <c r="BI61" s="80">
        <v>0</v>
      </c>
      <c r="BJ61" s="91">
        <v>0</v>
      </c>
      <c r="BK61" s="444"/>
      <c r="BL61" s="600"/>
      <c r="BM61" s="481"/>
      <c r="BN61" s="183" t="s">
        <v>558</v>
      </c>
      <c r="BO61" s="177">
        <v>80</v>
      </c>
      <c r="BP61" s="42">
        <v>69</v>
      </c>
      <c r="BQ61" s="43">
        <f>BP61/BO61</f>
        <v>0.86250000000000004</v>
      </c>
      <c r="BR61" s="467"/>
      <c r="BS61" s="478"/>
      <c r="BT61" s="412"/>
      <c r="BU61" s="168" t="s">
        <v>633</v>
      </c>
      <c r="BV61" s="138">
        <v>0.9</v>
      </c>
      <c r="BW61" s="59">
        <v>0.69</v>
      </c>
      <c r="BX61" s="43">
        <f>BW61/BV61</f>
        <v>0.76666666666666661</v>
      </c>
      <c r="BY61" s="456"/>
      <c r="BZ61" s="461"/>
      <c r="CA61" s="443"/>
      <c r="CB61" s="96" t="s">
        <v>1021</v>
      </c>
      <c r="CC61" s="350" t="s">
        <v>1068</v>
      </c>
      <c r="CD61" s="48" t="s">
        <v>171</v>
      </c>
      <c r="CE61" s="42">
        <v>69</v>
      </c>
      <c r="CF61" s="41">
        <v>0.69</v>
      </c>
    </row>
    <row r="62" spans="1:84" ht="327.75" customHeight="1" x14ac:dyDescent="0.25">
      <c r="A62" s="681"/>
      <c r="B62" s="413"/>
      <c r="C62" s="680"/>
      <c r="D62" s="602" t="s">
        <v>176</v>
      </c>
      <c r="E62" s="413" t="s">
        <v>177</v>
      </c>
      <c r="F62" s="48" t="s">
        <v>178</v>
      </c>
      <c r="G62" s="48" t="s">
        <v>179</v>
      </c>
      <c r="H62" s="96" t="s">
        <v>1022</v>
      </c>
      <c r="I62" s="48" t="s">
        <v>180</v>
      </c>
      <c r="J62" s="48" t="s">
        <v>181</v>
      </c>
      <c r="K62" s="412" t="s">
        <v>292</v>
      </c>
      <c r="L62" s="412" t="s">
        <v>324</v>
      </c>
      <c r="M62" s="412">
        <v>4301037</v>
      </c>
      <c r="N62" s="412" t="s">
        <v>325</v>
      </c>
      <c r="O62" s="412">
        <v>430103704</v>
      </c>
      <c r="P62" s="412" t="s">
        <v>326</v>
      </c>
      <c r="Q62" s="125" t="s">
        <v>181</v>
      </c>
      <c r="R62" s="104"/>
      <c r="S62" s="659"/>
      <c r="T62" s="659">
        <v>0</v>
      </c>
      <c r="U62" s="659"/>
      <c r="V62" s="659" t="s">
        <v>501</v>
      </c>
      <c r="W62" s="412" t="s">
        <v>271</v>
      </c>
      <c r="X62" s="657" t="s">
        <v>502</v>
      </c>
      <c r="Y62" s="104"/>
      <c r="Z62" s="102">
        <v>5</v>
      </c>
      <c r="AA62" s="41">
        <v>1</v>
      </c>
      <c r="AB62" s="467"/>
      <c r="AC62" s="551"/>
      <c r="AD62" s="412" t="s">
        <v>271</v>
      </c>
      <c r="AE62" s="528" t="s">
        <v>691</v>
      </c>
      <c r="AF62" s="236" t="s">
        <v>694</v>
      </c>
      <c r="AG62" s="96" t="s">
        <v>694</v>
      </c>
      <c r="AH62" s="41">
        <v>1</v>
      </c>
      <c r="AI62" s="474"/>
      <c r="AJ62" s="474"/>
      <c r="AK62" s="412" t="s">
        <v>271</v>
      </c>
      <c r="AL62" s="269" t="s">
        <v>763</v>
      </c>
      <c r="AM62" s="236" t="s">
        <v>694</v>
      </c>
      <c r="AN62" s="96" t="s">
        <v>694</v>
      </c>
      <c r="AO62" s="41">
        <v>1</v>
      </c>
      <c r="AP62" s="488"/>
      <c r="AQ62" s="488"/>
      <c r="AR62" s="412" t="s">
        <v>271</v>
      </c>
      <c r="AS62" s="472"/>
      <c r="AT62" s="224">
        <v>1</v>
      </c>
      <c r="AU62" s="146">
        <v>1</v>
      </c>
      <c r="AV62" s="41">
        <v>1</v>
      </c>
      <c r="AW62" s="246" t="s">
        <v>857</v>
      </c>
      <c r="AX62" s="246" t="s">
        <v>857</v>
      </c>
      <c r="AY62" s="412" t="s">
        <v>271</v>
      </c>
      <c r="AZ62" s="233" t="s">
        <v>901</v>
      </c>
      <c r="BA62" s="192">
        <v>13</v>
      </c>
      <c r="BB62" s="80">
        <v>13</v>
      </c>
      <c r="BC62" s="41">
        <v>1</v>
      </c>
      <c r="BD62" s="444"/>
      <c r="BE62" s="444">
        <v>181115580</v>
      </c>
      <c r="BF62" s="412" t="s">
        <v>271</v>
      </c>
      <c r="BG62" s="183" t="s">
        <v>963</v>
      </c>
      <c r="BH62" s="194">
        <v>0.14000000000000001</v>
      </c>
      <c r="BI62" s="80">
        <v>0</v>
      </c>
      <c r="BJ62" s="83">
        <v>0</v>
      </c>
      <c r="BK62" s="92"/>
      <c r="BL62" s="484"/>
      <c r="BM62" s="481" t="s">
        <v>271</v>
      </c>
      <c r="BN62" s="183" t="s">
        <v>559</v>
      </c>
      <c r="BO62" s="164">
        <v>0.16</v>
      </c>
      <c r="BP62" s="62">
        <v>0.2</v>
      </c>
      <c r="BQ62" s="41">
        <v>1</v>
      </c>
      <c r="BR62" s="467" t="s">
        <v>460</v>
      </c>
      <c r="BS62" s="551" t="s">
        <v>634</v>
      </c>
      <c r="BT62" s="412" t="s">
        <v>271</v>
      </c>
      <c r="BU62" s="183" t="s">
        <v>635</v>
      </c>
      <c r="BV62" s="138">
        <v>0.18</v>
      </c>
      <c r="BW62" s="62" t="s">
        <v>1090</v>
      </c>
      <c r="BX62" s="41">
        <v>1</v>
      </c>
      <c r="BY62" s="454">
        <f>1468000000+5250000+
9500000+260366700+90000000</f>
        <v>1833116700</v>
      </c>
      <c r="BZ62" s="551">
        <f>546239083+5250000+9500000+169238355+90000000</f>
        <v>820227438</v>
      </c>
      <c r="CA62" s="438">
        <f>BZ62/BY62</f>
        <v>0.44744965664215486</v>
      </c>
      <c r="CB62" s="96" t="s">
        <v>1022</v>
      </c>
      <c r="CC62" s="358" t="s">
        <v>1091</v>
      </c>
      <c r="CD62" s="367" t="s">
        <v>181</v>
      </c>
      <c r="CE62" s="62" t="s">
        <v>1090</v>
      </c>
      <c r="CF62" s="311">
        <v>1</v>
      </c>
    </row>
    <row r="63" spans="1:84" ht="297.75" customHeight="1" x14ac:dyDescent="0.25">
      <c r="A63" s="681"/>
      <c r="B63" s="413"/>
      <c r="C63" s="680"/>
      <c r="D63" s="602"/>
      <c r="E63" s="413"/>
      <c r="F63" s="48" t="s">
        <v>182</v>
      </c>
      <c r="G63" s="48" t="s">
        <v>179</v>
      </c>
      <c r="H63" s="96" t="s">
        <v>1022</v>
      </c>
      <c r="I63" s="48" t="s">
        <v>183</v>
      </c>
      <c r="J63" s="48" t="s">
        <v>181</v>
      </c>
      <c r="K63" s="412"/>
      <c r="L63" s="412"/>
      <c r="M63" s="412"/>
      <c r="N63" s="412"/>
      <c r="O63" s="412"/>
      <c r="P63" s="412"/>
      <c r="Q63" s="125" t="s">
        <v>181</v>
      </c>
      <c r="R63" s="104"/>
      <c r="S63" s="660"/>
      <c r="T63" s="660"/>
      <c r="U63" s="660"/>
      <c r="V63" s="660"/>
      <c r="W63" s="412"/>
      <c r="X63" s="657"/>
      <c r="Y63" s="104"/>
      <c r="Z63" s="102">
        <v>0</v>
      </c>
      <c r="AA63" s="63">
        <v>0</v>
      </c>
      <c r="AB63" s="467"/>
      <c r="AC63" s="477"/>
      <c r="AD63" s="412"/>
      <c r="AE63" s="528"/>
      <c r="AF63" s="236">
        <v>1</v>
      </c>
      <c r="AG63" s="96">
        <v>1</v>
      </c>
      <c r="AH63" s="63">
        <v>0</v>
      </c>
      <c r="AI63" s="74" t="s">
        <v>723</v>
      </c>
      <c r="AJ63" s="74" t="s">
        <v>723</v>
      </c>
      <c r="AK63" s="412"/>
      <c r="AL63" s="269" t="s">
        <v>764</v>
      </c>
      <c r="AM63" s="188">
        <v>1</v>
      </c>
      <c r="AN63" s="72">
        <v>1</v>
      </c>
      <c r="AO63" s="63">
        <v>0</v>
      </c>
      <c r="AP63" s="74" t="s">
        <v>809</v>
      </c>
      <c r="AQ63" s="74" t="s">
        <v>809</v>
      </c>
      <c r="AR63" s="412"/>
      <c r="AS63" s="214" t="s">
        <v>843</v>
      </c>
      <c r="AT63" s="224">
        <v>1</v>
      </c>
      <c r="AU63" s="146">
        <v>1</v>
      </c>
      <c r="AV63" s="63">
        <v>0</v>
      </c>
      <c r="AW63" s="246" t="s">
        <v>857</v>
      </c>
      <c r="AX63" s="246" t="s">
        <v>857</v>
      </c>
      <c r="AY63" s="412"/>
      <c r="AZ63" s="232" t="s">
        <v>902</v>
      </c>
      <c r="BA63" s="192">
        <v>1</v>
      </c>
      <c r="BB63" s="80">
        <v>1</v>
      </c>
      <c r="BC63" s="63">
        <v>0</v>
      </c>
      <c r="BD63" s="444"/>
      <c r="BE63" s="444"/>
      <c r="BF63" s="412"/>
      <c r="BG63" s="183" t="s">
        <v>964</v>
      </c>
      <c r="BH63" s="194">
        <v>0.14000000000000001</v>
      </c>
      <c r="BI63" s="80">
        <v>0</v>
      </c>
      <c r="BJ63" s="83">
        <v>0</v>
      </c>
      <c r="BK63" s="89"/>
      <c r="BL63" s="484"/>
      <c r="BM63" s="481"/>
      <c r="BN63" s="183" t="s">
        <v>1036</v>
      </c>
      <c r="BO63" s="164">
        <v>0.16</v>
      </c>
      <c r="BP63" s="60">
        <v>0</v>
      </c>
      <c r="BQ63" s="63">
        <v>0</v>
      </c>
      <c r="BR63" s="467"/>
      <c r="BS63" s="477"/>
      <c r="BT63" s="412"/>
      <c r="BU63" s="183" t="s">
        <v>1037</v>
      </c>
      <c r="BV63" s="138">
        <v>0.18</v>
      </c>
      <c r="BW63" s="62">
        <v>0.79</v>
      </c>
      <c r="BX63" s="63">
        <v>1</v>
      </c>
      <c r="BY63" s="456"/>
      <c r="BZ63" s="477"/>
      <c r="CA63" s="433"/>
      <c r="CB63" s="96" t="s">
        <v>1022</v>
      </c>
      <c r="CC63" s="358" t="s">
        <v>1089</v>
      </c>
      <c r="CD63" s="373" t="s">
        <v>181</v>
      </c>
      <c r="CE63" s="374">
        <v>0.3</v>
      </c>
      <c r="CF63" s="369">
        <v>1</v>
      </c>
    </row>
    <row r="64" spans="1:84" ht="254.25" customHeight="1" x14ac:dyDescent="0.25">
      <c r="A64" s="681"/>
      <c r="B64" s="413"/>
      <c r="C64" s="680"/>
      <c r="D64" s="128" t="s">
        <v>184</v>
      </c>
      <c r="E64" s="48" t="s">
        <v>185</v>
      </c>
      <c r="F64" s="32" t="s">
        <v>186</v>
      </c>
      <c r="G64" s="48" t="s">
        <v>187</v>
      </c>
      <c r="H64" s="96" t="s">
        <v>1023</v>
      </c>
      <c r="I64" s="32">
        <v>0</v>
      </c>
      <c r="J64" s="48">
        <v>8</v>
      </c>
      <c r="K64" s="60" t="s">
        <v>292</v>
      </c>
      <c r="L64" s="60" t="s">
        <v>324</v>
      </c>
      <c r="M64" s="60">
        <v>4301037</v>
      </c>
      <c r="N64" s="60" t="s">
        <v>325</v>
      </c>
      <c r="O64" s="60">
        <v>430103704</v>
      </c>
      <c r="P64" s="60" t="s">
        <v>326</v>
      </c>
      <c r="Q64" s="125">
        <v>8</v>
      </c>
      <c r="R64" s="104"/>
      <c r="S64" s="660"/>
      <c r="T64" s="660"/>
      <c r="U64" s="660"/>
      <c r="V64" s="660"/>
      <c r="W64" s="60" t="s">
        <v>272</v>
      </c>
      <c r="X64" s="657"/>
      <c r="Y64" s="104"/>
      <c r="Z64" s="102">
        <v>10</v>
      </c>
      <c r="AA64" s="63">
        <v>1</v>
      </c>
      <c r="AB64" s="51"/>
      <c r="AC64" s="69"/>
      <c r="AD64" s="60" t="s">
        <v>272</v>
      </c>
      <c r="AE64" s="528"/>
      <c r="AF64" s="272">
        <v>3</v>
      </c>
      <c r="AG64" s="135">
        <v>0</v>
      </c>
      <c r="AH64" s="63">
        <v>1</v>
      </c>
      <c r="AI64" s="74" t="s">
        <v>724</v>
      </c>
      <c r="AJ64" s="74" t="s">
        <v>725</v>
      </c>
      <c r="AK64" s="60" t="s">
        <v>272</v>
      </c>
      <c r="AL64" s="273" t="s">
        <v>765</v>
      </c>
      <c r="AM64" s="188">
        <v>3</v>
      </c>
      <c r="AN64" s="72">
        <v>3</v>
      </c>
      <c r="AO64" s="63">
        <v>1</v>
      </c>
      <c r="AP64" s="74">
        <v>15000000</v>
      </c>
      <c r="AQ64" s="74">
        <v>10800000</v>
      </c>
      <c r="AR64" s="60" t="s">
        <v>272</v>
      </c>
      <c r="AS64" s="214" t="s">
        <v>844</v>
      </c>
      <c r="AT64" s="224">
        <v>3</v>
      </c>
      <c r="AU64" s="146">
        <v>3</v>
      </c>
      <c r="AV64" s="63">
        <v>1</v>
      </c>
      <c r="AW64" s="246" t="s">
        <v>857</v>
      </c>
      <c r="AX64" s="246" t="s">
        <v>857</v>
      </c>
      <c r="AY64" s="60" t="s">
        <v>272</v>
      </c>
      <c r="AZ64" s="232" t="s">
        <v>903</v>
      </c>
      <c r="BA64" s="192">
        <v>1</v>
      </c>
      <c r="BB64" s="80">
        <v>3</v>
      </c>
      <c r="BC64" s="63">
        <v>1</v>
      </c>
      <c r="BD64" s="79">
        <v>573181075</v>
      </c>
      <c r="BE64" s="79">
        <v>209343900</v>
      </c>
      <c r="BF64" s="60" t="s">
        <v>272</v>
      </c>
      <c r="BG64" s="218" t="s">
        <v>965</v>
      </c>
      <c r="BH64" s="195">
        <v>6</v>
      </c>
      <c r="BI64" s="80">
        <v>3</v>
      </c>
      <c r="BJ64" s="83">
        <v>0.5</v>
      </c>
      <c r="BK64" s="93">
        <v>490000000</v>
      </c>
      <c r="BL64" s="93">
        <v>490000000</v>
      </c>
      <c r="BM64" s="80" t="s">
        <v>272</v>
      </c>
      <c r="BN64" s="183" t="s">
        <v>560</v>
      </c>
      <c r="BO64" s="167">
        <v>6</v>
      </c>
      <c r="BP64" s="60">
        <v>10</v>
      </c>
      <c r="BQ64" s="63">
        <v>1</v>
      </c>
      <c r="BR64" s="51">
        <v>130000000</v>
      </c>
      <c r="BS64" s="44" t="s">
        <v>636</v>
      </c>
      <c r="BT64" s="60" t="s">
        <v>272</v>
      </c>
      <c r="BU64" s="183" t="s">
        <v>637</v>
      </c>
      <c r="BV64" s="331">
        <v>7</v>
      </c>
      <c r="BW64" s="60">
        <v>7</v>
      </c>
      <c r="BX64" s="63">
        <v>1</v>
      </c>
      <c r="BY64" s="51">
        <f>9000000+43275000+
83000</f>
        <v>52358000</v>
      </c>
      <c r="BZ64" s="51">
        <f>9000000+43275000+
83000</f>
        <v>52358000</v>
      </c>
      <c r="CA64" s="63">
        <f>BZ64/BY64</f>
        <v>1</v>
      </c>
      <c r="CB64" s="96" t="s">
        <v>1023</v>
      </c>
      <c r="CC64" s="359" t="s">
        <v>1069</v>
      </c>
      <c r="CD64" s="48">
        <v>8</v>
      </c>
      <c r="CE64" s="60">
        <v>10</v>
      </c>
      <c r="CF64" s="63">
        <v>1</v>
      </c>
    </row>
    <row r="65" spans="1:84" ht="209.25" customHeight="1" x14ac:dyDescent="0.25">
      <c r="A65" s="681"/>
      <c r="B65" s="413"/>
      <c r="C65" s="680"/>
      <c r="D65" s="128" t="s">
        <v>188</v>
      </c>
      <c r="E65" s="48" t="s">
        <v>189</v>
      </c>
      <c r="F65" s="32" t="s">
        <v>449</v>
      </c>
      <c r="G65" s="32" t="s">
        <v>190</v>
      </c>
      <c r="H65" s="72" t="s">
        <v>1024</v>
      </c>
      <c r="I65" s="32" t="s">
        <v>170</v>
      </c>
      <c r="J65" s="48">
        <v>30</v>
      </c>
      <c r="K65" s="60" t="s">
        <v>296</v>
      </c>
      <c r="L65" s="60" t="s">
        <v>352</v>
      </c>
      <c r="M65" s="48">
        <v>3502046</v>
      </c>
      <c r="N65" s="48" t="s">
        <v>353</v>
      </c>
      <c r="O65" s="48">
        <v>350204600</v>
      </c>
      <c r="P65" s="48" t="s">
        <v>354</v>
      </c>
      <c r="Q65" s="125">
        <v>30</v>
      </c>
      <c r="R65" s="104"/>
      <c r="S65" s="660"/>
      <c r="T65" s="660"/>
      <c r="U65" s="660"/>
      <c r="V65" s="660"/>
      <c r="W65" s="60" t="s">
        <v>284</v>
      </c>
      <c r="X65" s="657"/>
      <c r="Y65" s="104">
        <v>1</v>
      </c>
      <c r="Z65" s="102">
        <v>1</v>
      </c>
      <c r="AA65" s="41">
        <f>Z65/Y65</f>
        <v>1</v>
      </c>
      <c r="AB65" s="58"/>
      <c r="AC65" s="58"/>
      <c r="AD65" s="60" t="s">
        <v>284</v>
      </c>
      <c r="AE65" s="528"/>
      <c r="AF65" s="293">
        <v>1</v>
      </c>
      <c r="AG65" s="294">
        <v>1</v>
      </c>
      <c r="AH65" s="41">
        <f>AG65/AF65</f>
        <v>1</v>
      </c>
      <c r="AI65" s="474" t="s">
        <v>726</v>
      </c>
      <c r="AJ65" s="474" t="s">
        <v>727</v>
      </c>
      <c r="AK65" s="60" t="s">
        <v>284</v>
      </c>
      <c r="AL65" s="472" t="s">
        <v>766</v>
      </c>
      <c r="AM65" s="293">
        <v>1</v>
      </c>
      <c r="AN65" s="294">
        <v>1</v>
      </c>
      <c r="AO65" s="41">
        <f>AN65/AM65</f>
        <v>1</v>
      </c>
      <c r="AP65" s="474" t="s">
        <v>810</v>
      </c>
      <c r="AQ65" s="474">
        <v>185210909</v>
      </c>
      <c r="AR65" s="60" t="s">
        <v>284</v>
      </c>
      <c r="AS65" s="472" t="s">
        <v>845</v>
      </c>
      <c r="AT65" s="295">
        <v>1</v>
      </c>
      <c r="AU65" s="296">
        <v>1</v>
      </c>
      <c r="AV65" s="41">
        <f>AU65/AT65</f>
        <v>1</v>
      </c>
      <c r="AW65" s="493" t="s">
        <v>857</v>
      </c>
      <c r="AX65" s="507" t="s">
        <v>857</v>
      </c>
      <c r="AY65" s="60" t="s">
        <v>284</v>
      </c>
      <c r="AZ65" s="496" t="s">
        <v>904</v>
      </c>
      <c r="BA65" s="219">
        <v>3</v>
      </c>
      <c r="BB65" s="152">
        <v>3</v>
      </c>
      <c r="BC65" s="41">
        <f>BB65/BA65</f>
        <v>1</v>
      </c>
      <c r="BD65" s="79">
        <v>119240000</v>
      </c>
      <c r="BE65" s="79">
        <v>95010000</v>
      </c>
      <c r="BF65" s="60" t="s">
        <v>284</v>
      </c>
      <c r="BG65" s="220" t="s">
        <v>966</v>
      </c>
      <c r="BH65" s="195">
        <v>2</v>
      </c>
      <c r="BI65" s="80">
        <v>0</v>
      </c>
      <c r="BJ65" s="94">
        <v>0</v>
      </c>
      <c r="BK65" s="142"/>
      <c r="BL65" s="79"/>
      <c r="BM65" s="80" t="s">
        <v>284</v>
      </c>
      <c r="BN65" s="196" t="s">
        <v>561</v>
      </c>
      <c r="BO65" s="111">
        <v>4</v>
      </c>
      <c r="BP65" s="48">
        <v>1</v>
      </c>
      <c r="BQ65" s="41">
        <f>BP65/BO65</f>
        <v>0.25</v>
      </c>
      <c r="BR65" s="58">
        <v>3000000</v>
      </c>
      <c r="BS65" s="58">
        <v>1000000</v>
      </c>
      <c r="BT65" s="60" t="s">
        <v>284</v>
      </c>
      <c r="BU65" s="181" t="s">
        <v>638</v>
      </c>
      <c r="BV65" s="297">
        <v>4</v>
      </c>
      <c r="BW65" s="48">
        <v>1</v>
      </c>
      <c r="BX65" s="41">
        <f>BW65/BV65</f>
        <v>0.25</v>
      </c>
      <c r="BY65" s="339">
        <v>3000000</v>
      </c>
      <c r="BZ65" s="339">
        <v>3000000</v>
      </c>
      <c r="CA65" s="41">
        <f>BZ65/BY65</f>
        <v>1</v>
      </c>
      <c r="CB65" s="72" t="s">
        <v>1024</v>
      </c>
      <c r="CC65" s="359" t="s">
        <v>1070</v>
      </c>
      <c r="CD65" s="48">
        <v>30</v>
      </c>
      <c r="CE65" s="48">
        <v>9</v>
      </c>
      <c r="CF65" s="41">
        <v>0.3</v>
      </c>
    </row>
    <row r="66" spans="1:84" ht="77.25" customHeight="1" x14ac:dyDescent="0.25">
      <c r="A66" s="681"/>
      <c r="B66" s="413" t="s">
        <v>191</v>
      </c>
      <c r="C66" s="680" t="s">
        <v>192</v>
      </c>
      <c r="D66" s="602" t="s">
        <v>193</v>
      </c>
      <c r="E66" s="413" t="s">
        <v>194</v>
      </c>
      <c r="F66" s="413" t="s">
        <v>195</v>
      </c>
      <c r="G66" s="413" t="s">
        <v>196</v>
      </c>
      <c r="H66" s="451" t="s">
        <v>1025</v>
      </c>
      <c r="I66" s="666" t="s">
        <v>170</v>
      </c>
      <c r="J66" s="413" t="s">
        <v>197</v>
      </c>
      <c r="K66" s="412" t="s">
        <v>292</v>
      </c>
      <c r="L66" s="412" t="s">
        <v>355</v>
      </c>
      <c r="M66" s="413">
        <v>3301073</v>
      </c>
      <c r="N66" s="413" t="s">
        <v>356</v>
      </c>
      <c r="O66" s="413">
        <v>330107301</v>
      </c>
      <c r="P66" s="413" t="s">
        <v>357</v>
      </c>
      <c r="Q66" s="554" t="s">
        <v>197</v>
      </c>
      <c r="R66" s="597">
        <v>160</v>
      </c>
      <c r="S66" s="413">
        <v>118</v>
      </c>
      <c r="T66" s="459">
        <f>S66/R66</f>
        <v>0.73750000000000004</v>
      </c>
      <c r="U66" s="467" t="s">
        <v>472</v>
      </c>
      <c r="V66" s="467" t="s">
        <v>473</v>
      </c>
      <c r="W66" s="412" t="s">
        <v>273</v>
      </c>
      <c r="X66" s="486" t="s">
        <v>474</v>
      </c>
      <c r="Y66" s="597">
        <v>160</v>
      </c>
      <c r="Z66" s="413">
        <v>118</v>
      </c>
      <c r="AA66" s="459">
        <f>Z66/Y66</f>
        <v>0.73750000000000004</v>
      </c>
      <c r="AB66" s="467"/>
      <c r="AC66" s="467"/>
      <c r="AD66" s="412" t="s">
        <v>273</v>
      </c>
      <c r="AE66" s="486"/>
      <c r="AF66" s="648">
        <v>1</v>
      </c>
      <c r="AG66" s="451">
        <v>1</v>
      </c>
      <c r="AH66" s="459">
        <f>AF66/AG66</f>
        <v>1</v>
      </c>
      <c r="AI66" s="474"/>
      <c r="AJ66" s="474"/>
      <c r="AK66" s="412" t="s">
        <v>273</v>
      </c>
      <c r="AL66" s="472"/>
      <c r="AM66" s="648">
        <v>1</v>
      </c>
      <c r="AN66" s="451">
        <v>1</v>
      </c>
      <c r="AO66" s="459">
        <f>AM66/AN66</f>
        <v>1</v>
      </c>
      <c r="AP66" s="474"/>
      <c r="AQ66" s="474"/>
      <c r="AR66" s="412" t="s">
        <v>273</v>
      </c>
      <c r="AS66" s="472"/>
      <c r="AT66" s="508">
        <v>1</v>
      </c>
      <c r="AU66" s="510">
        <v>1</v>
      </c>
      <c r="AV66" s="459" t="e">
        <f>#REF!/#REF!</f>
        <v>#REF!</v>
      </c>
      <c r="AW66" s="493"/>
      <c r="AX66" s="507"/>
      <c r="AY66" s="412" t="s">
        <v>273</v>
      </c>
      <c r="AZ66" s="496"/>
      <c r="BA66" s="480">
        <v>21</v>
      </c>
      <c r="BB66" s="481">
        <v>21</v>
      </c>
      <c r="BC66" s="459">
        <f>BB66/BA66</f>
        <v>1</v>
      </c>
      <c r="BD66" s="444">
        <v>1502044165</v>
      </c>
      <c r="BE66" s="444">
        <v>1449671166</v>
      </c>
      <c r="BF66" s="412" t="s">
        <v>273</v>
      </c>
      <c r="BG66" s="447" t="s">
        <v>967</v>
      </c>
      <c r="BH66" s="595">
        <v>140</v>
      </c>
      <c r="BI66" s="481">
        <v>2</v>
      </c>
      <c r="BJ66" s="596">
        <f>(BI66/BH66)*1</f>
        <v>1.4285714285714285E-2</v>
      </c>
      <c r="BK66" s="444">
        <v>14044000</v>
      </c>
      <c r="BL66" s="444">
        <v>14044000</v>
      </c>
      <c r="BM66" s="481" t="s">
        <v>273</v>
      </c>
      <c r="BN66" s="542" t="s">
        <v>562</v>
      </c>
      <c r="BO66" s="597">
        <v>160</v>
      </c>
      <c r="BP66" s="413">
        <v>118</v>
      </c>
      <c r="BQ66" s="459">
        <f>BP66/BO66</f>
        <v>0.73750000000000004</v>
      </c>
      <c r="BR66" s="467" t="s">
        <v>639</v>
      </c>
      <c r="BS66" s="467" t="s">
        <v>473</v>
      </c>
      <c r="BT66" s="412" t="s">
        <v>273</v>
      </c>
      <c r="BU66" s="542" t="s">
        <v>640</v>
      </c>
      <c r="BV66" s="552">
        <v>160</v>
      </c>
      <c r="BW66" s="413">
        <v>118</v>
      </c>
      <c r="BX66" s="459">
        <f>BW66/BV66</f>
        <v>0.73750000000000004</v>
      </c>
      <c r="BY66" s="467">
        <v>40000000</v>
      </c>
      <c r="BZ66" s="467">
        <f>34620000+8655000+8655000</f>
        <v>51930000</v>
      </c>
      <c r="CA66" s="438">
        <v>1</v>
      </c>
      <c r="CB66" s="451" t="s">
        <v>1025</v>
      </c>
      <c r="CC66" s="434" t="s">
        <v>1100</v>
      </c>
      <c r="CD66" s="413">
        <v>200</v>
      </c>
      <c r="CE66" s="382">
        <v>118</v>
      </c>
      <c r="CF66" s="426">
        <f>CE66/CD66</f>
        <v>0.59</v>
      </c>
    </row>
    <row r="67" spans="1:84" ht="106.5" customHeight="1" x14ac:dyDescent="0.25">
      <c r="A67" s="681"/>
      <c r="B67" s="413"/>
      <c r="C67" s="680"/>
      <c r="D67" s="602"/>
      <c r="E67" s="413"/>
      <c r="F67" s="413"/>
      <c r="G67" s="413"/>
      <c r="H67" s="460"/>
      <c r="I67" s="666"/>
      <c r="J67" s="413"/>
      <c r="K67" s="412"/>
      <c r="L67" s="412"/>
      <c r="M67" s="413"/>
      <c r="N67" s="413"/>
      <c r="O67" s="413"/>
      <c r="P67" s="413"/>
      <c r="Q67" s="554"/>
      <c r="R67" s="598"/>
      <c r="S67" s="413"/>
      <c r="T67" s="459"/>
      <c r="U67" s="467"/>
      <c r="V67" s="467"/>
      <c r="W67" s="412"/>
      <c r="X67" s="655"/>
      <c r="Y67" s="598"/>
      <c r="Z67" s="413"/>
      <c r="AA67" s="459"/>
      <c r="AB67" s="467"/>
      <c r="AC67" s="467"/>
      <c r="AD67" s="412"/>
      <c r="AE67" s="655"/>
      <c r="AF67" s="649"/>
      <c r="AG67" s="460"/>
      <c r="AH67" s="459"/>
      <c r="AI67" s="474"/>
      <c r="AJ67" s="474"/>
      <c r="AK67" s="412"/>
      <c r="AL67" s="472"/>
      <c r="AM67" s="649"/>
      <c r="AN67" s="460"/>
      <c r="AO67" s="459"/>
      <c r="AP67" s="474"/>
      <c r="AQ67" s="474"/>
      <c r="AR67" s="412"/>
      <c r="AS67" s="472"/>
      <c r="AT67" s="509"/>
      <c r="AU67" s="511"/>
      <c r="AV67" s="459"/>
      <c r="AW67" s="502" t="s">
        <v>857</v>
      </c>
      <c r="AX67" s="502" t="s">
        <v>857</v>
      </c>
      <c r="AY67" s="412"/>
      <c r="AZ67" s="471" t="s">
        <v>905</v>
      </c>
      <c r="BA67" s="480"/>
      <c r="BB67" s="481"/>
      <c r="BC67" s="459"/>
      <c r="BD67" s="444"/>
      <c r="BE67" s="444"/>
      <c r="BF67" s="412"/>
      <c r="BG67" s="447"/>
      <c r="BH67" s="595"/>
      <c r="BI67" s="481"/>
      <c r="BJ67" s="596"/>
      <c r="BK67" s="444"/>
      <c r="BL67" s="444"/>
      <c r="BM67" s="481"/>
      <c r="BN67" s="542"/>
      <c r="BO67" s="598"/>
      <c r="BP67" s="413"/>
      <c r="BQ67" s="459"/>
      <c r="BR67" s="467"/>
      <c r="BS67" s="467"/>
      <c r="BT67" s="412"/>
      <c r="BU67" s="543"/>
      <c r="BV67" s="553"/>
      <c r="BW67" s="413"/>
      <c r="BX67" s="459"/>
      <c r="BY67" s="467"/>
      <c r="BZ67" s="467"/>
      <c r="CA67" s="433"/>
      <c r="CB67" s="460"/>
      <c r="CC67" s="435"/>
      <c r="CD67" s="413"/>
      <c r="CE67" s="383"/>
      <c r="CF67" s="427"/>
    </row>
    <row r="68" spans="1:84" ht="112.5" customHeight="1" x14ac:dyDescent="0.25">
      <c r="A68" s="681"/>
      <c r="B68" s="413"/>
      <c r="C68" s="680"/>
      <c r="D68" s="602" t="s">
        <v>198</v>
      </c>
      <c r="E68" s="413" t="s">
        <v>199</v>
      </c>
      <c r="F68" s="48" t="s">
        <v>200</v>
      </c>
      <c r="G68" s="48" t="s">
        <v>196</v>
      </c>
      <c r="H68" s="96" t="s">
        <v>1025</v>
      </c>
      <c r="I68" s="32" t="s">
        <v>170</v>
      </c>
      <c r="J68" s="48" t="s">
        <v>197</v>
      </c>
      <c r="K68" s="412" t="s">
        <v>292</v>
      </c>
      <c r="L68" s="412" t="s">
        <v>355</v>
      </c>
      <c r="M68" s="413">
        <v>3301052</v>
      </c>
      <c r="N68" s="413" t="s">
        <v>358</v>
      </c>
      <c r="O68" s="413">
        <v>330105203</v>
      </c>
      <c r="P68" s="413" t="s">
        <v>359</v>
      </c>
      <c r="Q68" s="125" t="s">
        <v>197</v>
      </c>
      <c r="R68" s="109">
        <v>160</v>
      </c>
      <c r="S68" s="48">
        <v>92</v>
      </c>
      <c r="T68" s="41">
        <f>S68/R68</f>
        <v>0.57499999999999996</v>
      </c>
      <c r="U68" s="58" t="s">
        <v>475</v>
      </c>
      <c r="V68" s="58" t="s">
        <v>476</v>
      </c>
      <c r="W68" s="412"/>
      <c r="X68" s="486" t="s">
        <v>477</v>
      </c>
      <c r="Y68" s="109">
        <v>160</v>
      </c>
      <c r="Z68" s="48">
        <v>92</v>
      </c>
      <c r="AA68" s="41">
        <f>Z68/Y68</f>
        <v>0.57499999999999996</v>
      </c>
      <c r="AB68" s="58"/>
      <c r="AC68" s="58"/>
      <c r="AD68" s="412"/>
      <c r="AE68" s="655"/>
      <c r="AF68" s="236">
        <v>1</v>
      </c>
      <c r="AG68" s="96">
        <v>1</v>
      </c>
      <c r="AH68" s="41">
        <f>AG68/AF68</f>
        <v>1</v>
      </c>
      <c r="AI68" s="474"/>
      <c r="AJ68" s="474"/>
      <c r="AK68" s="412"/>
      <c r="AL68" s="472"/>
      <c r="AM68" s="236">
        <v>1</v>
      </c>
      <c r="AN68" s="96">
        <v>1</v>
      </c>
      <c r="AO68" s="41">
        <f>AN68/AM68</f>
        <v>1</v>
      </c>
      <c r="AP68" s="474"/>
      <c r="AQ68" s="474"/>
      <c r="AR68" s="412"/>
      <c r="AS68" s="472"/>
      <c r="AT68" s="224">
        <v>1</v>
      </c>
      <c r="AU68" s="146">
        <v>1</v>
      </c>
      <c r="AV68" s="41">
        <f>AU68/AT68</f>
        <v>1</v>
      </c>
      <c r="AW68" s="502"/>
      <c r="AX68" s="502"/>
      <c r="AY68" s="412"/>
      <c r="AZ68" s="471"/>
      <c r="BA68" s="192">
        <v>34</v>
      </c>
      <c r="BB68" s="80">
        <v>55</v>
      </c>
      <c r="BC68" s="41">
        <f>BB68/(2*BA68)</f>
        <v>0.80882352941176472</v>
      </c>
      <c r="BD68" s="444"/>
      <c r="BE68" s="444"/>
      <c r="BF68" s="412"/>
      <c r="BG68" s="447"/>
      <c r="BH68" s="204">
        <v>140</v>
      </c>
      <c r="BI68" s="80">
        <v>54</v>
      </c>
      <c r="BJ68" s="83">
        <f>(BI68/BH68)*1</f>
        <v>0.38571428571428573</v>
      </c>
      <c r="BK68" s="79">
        <v>139800000</v>
      </c>
      <c r="BL68" s="79">
        <v>139700000</v>
      </c>
      <c r="BM68" s="481"/>
      <c r="BN68" s="184" t="s">
        <v>563</v>
      </c>
      <c r="BO68" s="109">
        <v>160</v>
      </c>
      <c r="BP68" s="48">
        <v>92</v>
      </c>
      <c r="BQ68" s="41">
        <f>BP68/BO68</f>
        <v>0.57499999999999996</v>
      </c>
      <c r="BR68" s="58" t="s">
        <v>641</v>
      </c>
      <c r="BS68" s="58" t="s">
        <v>476</v>
      </c>
      <c r="BT68" s="412"/>
      <c r="BU68" s="184" t="s">
        <v>642</v>
      </c>
      <c r="BV68" s="72">
        <v>180</v>
      </c>
      <c r="BW68" s="48">
        <v>92</v>
      </c>
      <c r="BX68" s="41">
        <f>BW68/BV68</f>
        <v>0.51111111111111107</v>
      </c>
      <c r="BY68" s="340">
        <v>918000000</v>
      </c>
      <c r="BZ68" s="58">
        <f>23000000+148497504</f>
        <v>171497504</v>
      </c>
      <c r="CA68" s="311">
        <f>BZ68/BY68</f>
        <v>0.18681645315904138</v>
      </c>
      <c r="CB68" s="96" t="s">
        <v>1025</v>
      </c>
      <c r="CC68" s="351" t="s">
        <v>1101</v>
      </c>
      <c r="CD68" s="48">
        <v>200</v>
      </c>
      <c r="CE68" s="310">
        <v>92</v>
      </c>
      <c r="CF68" s="311">
        <f>CE68/CD68</f>
        <v>0.46</v>
      </c>
    </row>
    <row r="69" spans="1:84" ht="65.25" customHeight="1" x14ac:dyDescent="0.25">
      <c r="A69" s="681"/>
      <c r="B69" s="413"/>
      <c r="C69" s="680"/>
      <c r="D69" s="602"/>
      <c r="E69" s="413"/>
      <c r="F69" s="48" t="s">
        <v>201</v>
      </c>
      <c r="G69" s="48" t="s">
        <v>196</v>
      </c>
      <c r="H69" s="96" t="s">
        <v>1025</v>
      </c>
      <c r="I69" s="32" t="s">
        <v>170</v>
      </c>
      <c r="J69" s="48" t="s">
        <v>197</v>
      </c>
      <c r="K69" s="412"/>
      <c r="L69" s="412"/>
      <c r="M69" s="413"/>
      <c r="N69" s="413"/>
      <c r="O69" s="413"/>
      <c r="P69" s="413"/>
      <c r="Q69" s="125" t="s">
        <v>197</v>
      </c>
      <c r="R69" s="110">
        <v>160</v>
      </c>
      <c r="S69" s="56">
        <v>93</v>
      </c>
      <c r="T69" s="41">
        <f>S69/R69</f>
        <v>0.58125000000000004</v>
      </c>
      <c r="U69" s="54"/>
      <c r="V69" s="54"/>
      <c r="W69" s="412"/>
      <c r="X69" s="655"/>
      <c r="Y69" s="110">
        <v>160</v>
      </c>
      <c r="Z69" s="56">
        <v>93</v>
      </c>
      <c r="AA69" s="41">
        <f>Z69/Y69</f>
        <v>0.58125000000000004</v>
      </c>
      <c r="AB69" s="54"/>
      <c r="AC69" s="54"/>
      <c r="AD69" s="412"/>
      <c r="AE69" s="655"/>
      <c r="AF69" s="236">
        <v>3</v>
      </c>
      <c r="AG69" s="96">
        <v>3</v>
      </c>
      <c r="AH69" s="41">
        <f>AG69/AF69</f>
        <v>1</v>
      </c>
      <c r="AI69" s="474"/>
      <c r="AJ69" s="474"/>
      <c r="AK69" s="412"/>
      <c r="AL69" s="269" t="s">
        <v>767</v>
      </c>
      <c r="AM69" s="188">
        <v>3</v>
      </c>
      <c r="AN69" s="72">
        <v>3</v>
      </c>
      <c r="AO69" s="41">
        <f>AN69/AM69</f>
        <v>1</v>
      </c>
      <c r="AP69" s="474"/>
      <c r="AQ69" s="474"/>
      <c r="AR69" s="412"/>
      <c r="AS69" s="472"/>
      <c r="AT69" s="224">
        <v>3</v>
      </c>
      <c r="AU69" s="146">
        <v>3</v>
      </c>
      <c r="AV69" s="41">
        <f>AU69/AT69</f>
        <v>1</v>
      </c>
      <c r="AW69" s="246" t="s">
        <v>857</v>
      </c>
      <c r="AX69" s="246" t="s">
        <v>857</v>
      </c>
      <c r="AY69" s="412"/>
      <c r="AZ69" s="232" t="s">
        <v>906</v>
      </c>
      <c r="BA69" s="192">
        <v>34</v>
      </c>
      <c r="BB69" s="80">
        <v>55</v>
      </c>
      <c r="BC69" s="41">
        <f>BB69/(2*BA69)</f>
        <v>0.80882352941176472</v>
      </c>
      <c r="BD69" s="444"/>
      <c r="BE69" s="444"/>
      <c r="BF69" s="412"/>
      <c r="BG69" s="447"/>
      <c r="BH69" s="194">
        <v>1.4</v>
      </c>
      <c r="BI69" s="85">
        <v>0</v>
      </c>
      <c r="BJ69" s="83">
        <f>(BI69/BH69)*1</f>
        <v>0</v>
      </c>
      <c r="BK69" s="92"/>
      <c r="BL69" s="92"/>
      <c r="BM69" s="481"/>
      <c r="BN69" s="184" t="s">
        <v>564</v>
      </c>
      <c r="BO69" s="110">
        <v>160</v>
      </c>
      <c r="BP69" s="56">
        <v>93</v>
      </c>
      <c r="BQ69" s="41">
        <f>BP69/BO69</f>
        <v>0.58125000000000004</v>
      </c>
      <c r="BR69" s="54"/>
      <c r="BS69" s="54"/>
      <c r="BT69" s="412"/>
      <c r="BU69" s="185" t="s">
        <v>643</v>
      </c>
      <c r="BV69" s="72">
        <v>160</v>
      </c>
      <c r="BW69" s="56">
        <v>93</v>
      </c>
      <c r="BX69" s="41">
        <f>BW69/BV69</f>
        <v>0.58125000000000004</v>
      </c>
      <c r="BY69" s="58">
        <v>918000000</v>
      </c>
      <c r="BZ69" s="58">
        <f>23000000+148497504</f>
        <v>171497504</v>
      </c>
      <c r="CA69" s="311">
        <f>BZ69/BY69</f>
        <v>0.18681645315904138</v>
      </c>
      <c r="CB69" s="96" t="s">
        <v>1025</v>
      </c>
      <c r="CC69" s="82" t="s">
        <v>1071</v>
      </c>
      <c r="CD69" s="48">
        <v>200</v>
      </c>
      <c r="CE69" s="56">
        <v>93</v>
      </c>
      <c r="CF69" s="311">
        <f t="shared" ref="CF69" si="8">CE69/CD69</f>
        <v>0.46500000000000002</v>
      </c>
    </row>
    <row r="70" spans="1:84" ht="54" customHeight="1" thickBot="1" x14ac:dyDescent="0.3">
      <c r="A70" s="681"/>
      <c r="B70" s="413"/>
      <c r="C70" s="680"/>
      <c r="D70" s="128" t="s">
        <v>202</v>
      </c>
      <c r="E70" s="48" t="s">
        <v>203</v>
      </c>
      <c r="F70" s="48" t="s">
        <v>450</v>
      </c>
      <c r="G70" s="48" t="s">
        <v>196</v>
      </c>
      <c r="H70" s="322" t="s">
        <v>1025</v>
      </c>
      <c r="I70" s="32">
        <v>6</v>
      </c>
      <c r="J70" s="48">
        <v>60</v>
      </c>
      <c r="K70" s="412"/>
      <c r="L70" s="412"/>
      <c r="M70" s="413"/>
      <c r="N70" s="413"/>
      <c r="O70" s="413"/>
      <c r="P70" s="413"/>
      <c r="Q70" s="125">
        <v>60</v>
      </c>
      <c r="R70" s="111">
        <v>48</v>
      </c>
      <c r="S70" s="48">
        <v>1</v>
      </c>
      <c r="T70" s="41">
        <v>0.5</v>
      </c>
      <c r="U70" s="58" t="s">
        <v>478</v>
      </c>
      <c r="V70" s="58" t="s">
        <v>479</v>
      </c>
      <c r="W70" s="412"/>
      <c r="X70" s="264" t="s">
        <v>489</v>
      </c>
      <c r="Y70" s="111">
        <v>48</v>
      </c>
      <c r="Z70" s="48">
        <v>1</v>
      </c>
      <c r="AA70" s="41">
        <v>0.5</v>
      </c>
      <c r="AB70" s="58"/>
      <c r="AC70" s="58"/>
      <c r="AD70" s="412"/>
      <c r="AE70" s="163"/>
      <c r="AF70" s="530">
        <v>0.8</v>
      </c>
      <c r="AG70" s="536">
        <v>0.8</v>
      </c>
      <c r="AH70" s="41">
        <v>0.5</v>
      </c>
      <c r="AI70" s="474" t="s">
        <v>695</v>
      </c>
      <c r="AJ70" s="474" t="s">
        <v>696</v>
      </c>
      <c r="AK70" s="412"/>
      <c r="AL70" s="472" t="s">
        <v>768</v>
      </c>
      <c r="AM70" s="650">
        <v>0.9</v>
      </c>
      <c r="AN70" s="475">
        <v>1</v>
      </c>
      <c r="AO70" s="41">
        <v>0.5</v>
      </c>
      <c r="AP70" s="524" t="s">
        <v>781</v>
      </c>
      <c r="AQ70" s="524" t="s">
        <v>782</v>
      </c>
      <c r="AR70" s="412"/>
      <c r="AS70" s="512" t="s">
        <v>846</v>
      </c>
      <c r="AT70" s="505">
        <v>1</v>
      </c>
      <c r="AU70" s="506">
        <v>1</v>
      </c>
      <c r="AV70" s="41">
        <v>0.5</v>
      </c>
      <c r="AW70" s="495">
        <v>25000000</v>
      </c>
      <c r="AX70" s="495">
        <v>23933333</v>
      </c>
      <c r="AY70" s="412"/>
      <c r="AZ70" s="501" t="s">
        <v>907</v>
      </c>
      <c r="BA70" s="192">
        <v>30</v>
      </c>
      <c r="BB70" s="80">
        <v>29</v>
      </c>
      <c r="BC70" s="41">
        <v>0.5</v>
      </c>
      <c r="BD70" s="444"/>
      <c r="BE70" s="444"/>
      <c r="BF70" s="412"/>
      <c r="BG70" s="447"/>
      <c r="BH70" s="195">
        <v>42</v>
      </c>
      <c r="BI70" s="80">
        <v>1</v>
      </c>
      <c r="BJ70" s="83">
        <f>(BI70/BH70)*1</f>
        <v>2.3809523809523808E-2</v>
      </c>
      <c r="BK70" s="79">
        <v>12000000</v>
      </c>
      <c r="BL70" s="79">
        <v>12000000</v>
      </c>
      <c r="BM70" s="481"/>
      <c r="BN70" s="184" t="s">
        <v>565</v>
      </c>
      <c r="BO70" s="111">
        <v>48</v>
      </c>
      <c r="BP70" s="48">
        <v>1</v>
      </c>
      <c r="BQ70" s="41">
        <v>0.5</v>
      </c>
      <c r="BR70" s="58" t="s">
        <v>644</v>
      </c>
      <c r="BS70" s="58" t="s">
        <v>479</v>
      </c>
      <c r="BT70" s="412"/>
      <c r="BU70" s="186" t="s">
        <v>645</v>
      </c>
      <c r="BV70" s="72">
        <v>54</v>
      </c>
      <c r="BW70" s="48">
        <v>1</v>
      </c>
      <c r="BX70" s="41">
        <v>1.7999999999999999E-2</v>
      </c>
      <c r="BY70" s="58">
        <f>17100000+11400000+5700000</f>
        <v>34200000</v>
      </c>
      <c r="BZ70" s="58">
        <f>17100000+11400000+5700000</f>
        <v>34200000</v>
      </c>
      <c r="CA70" s="41">
        <f>BZ70/BY70</f>
        <v>1</v>
      </c>
      <c r="CB70" s="322" t="s">
        <v>1025</v>
      </c>
      <c r="CC70" s="352" t="s">
        <v>1072</v>
      </c>
      <c r="CD70" s="367">
        <v>60</v>
      </c>
      <c r="CE70" s="367">
        <v>34</v>
      </c>
      <c r="CF70" s="311">
        <f>CE70/CD70</f>
        <v>0.56666666666666665</v>
      </c>
    </row>
    <row r="71" spans="1:84" ht="18.75" customHeight="1" x14ac:dyDescent="0.25">
      <c r="A71" s="674" t="s">
        <v>204</v>
      </c>
      <c r="B71" s="387" t="s">
        <v>205</v>
      </c>
      <c r="C71" s="672" t="s">
        <v>206</v>
      </c>
      <c r="D71" s="602" t="s">
        <v>207</v>
      </c>
      <c r="E71" s="413" t="s">
        <v>208</v>
      </c>
      <c r="F71" s="413" t="s">
        <v>209</v>
      </c>
      <c r="G71" s="413" t="s">
        <v>210</v>
      </c>
      <c r="H71" s="550" t="s">
        <v>1026</v>
      </c>
      <c r="I71" s="666">
        <v>0</v>
      </c>
      <c r="J71" s="413">
        <v>100</v>
      </c>
      <c r="K71" s="412" t="s">
        <v>292</v>
      </c>
      <c r="L71" s="412" t="s">
        <v>293</v>
      </c>
      <c r="M71" s="412" t="s">
        <v>294</v>
      </c>
      <c r="N71" s="412" t="s">
        <v>424</v>
      </c>
      <c r="O71" s="412" t="s">
        <v>294</v>
      </c>
      <c r="P71" s="412" t="s">
        <v>401</v>
      </c>
      <c r="Q71" s="656">
        <v>1</v>
      </c>
      <c r="R71" s="593">
        <v>0.5</v>
      </c>
      <c r="S71" s="411">
        <v>0.5</v>
      </c>
      <c r="T71" s="459">
        <v>1</v>
      </c>
      <c r="U71" s="467">
        <v>11540000</v>
      </c>
      <c r="V71" s="467">
        <v>0</v>
      </c>
      <c r="W71" s="413" t="s">
        <v>256</v>
      </c>
      <c r="X71" s="594" t="s">
        <v>480</v>
      </c>
      <c r="Y71" s="593">
        <v>0.5</v>
      </c>
      <c r="Z71" s="411">
        <v>0.5</v>
      </c>
      <c r="AA71" s="459">
        <v>1</v>
      </c>
      <c r="AB71" s="467"/>
      <c r="AC71" s="467"/>
      <c r="AD71" s="413" t="s">
        <v>256</v>
      </c>
      <c r="AE71" s="594"/>
      <c r="AF71" s="530"/>
      <c r="AG71" s="536"/>
      <c r="AH71" s="459">
        <v>1</v>
      </c>
      <c r="AI71" s="474"/>
      <c r="AJ71" s="474"/>
      <c r="AK71" s="413" t="s">
        <v>256</v>
      </c>
      <c r="AL71" s="472"/>
      <c r="AM71" s="650"/>
      <c r="AN71" s="475"/>
      <c r="AO71" s="459">
        <v>1</v>
      </c>
      <c r="AP71" s="524"/>
      <c r="AQ71" s="524"/>
      <c r="AR71" s="413" t="s">
        <v>256</v>
      </c>
      <c r="AS71" s="512"/>
      <c r="AT71" s="504"/>
      <c r="AU71" s="492"/>
      <c r="AV71" s="459">
        <v>1</v>
      </c>
      <c r="AW71" s="492"/>
      <c r="AX71" s="492"/>
      <c r="AY71" s="413" t="s">
        <v>256</v>
      </c>
      <c r="AZ71" s="501"/>
      <c r="BA71" s="609">
        <v>1</v>
      </c>
      <c r="BB71" s="619">
        <v>0.9</v>
      </c>
      <c r="BC71" s="459">
        <v>1</v>
      </c>
      <c r="BD71" s="444">
        <v>32000000</v>
      </c>
      <c r="BE71" s="444">
        <v>31440300</v>
      </c>
      <c r="BF71" s="413" t="s">
        <v>256</v>
      </c>
      <c r="BG71" s="446" t="s">
        <v>968</v>
      </c>
      <c r="BH71" s="530">
        <v>0.5</v>
      </c>
      <c r="BI71" s="536">
        <v>0</v>
      </c>
      <c r="BJ71" s="483">
        <v>0</v>
      </c>
      <c r="BK71" s="474"/>
      <c r="BL71" s="474"/>
      <c r="BM71" s="488" t="s">
        <v>256</v>
      </c>
      <c r="BN71" s="592" t="s">
        <v>566</v>
      </c>
      <c r="BO71" s="593">
        <v>0.5</v>
      </c>
      <c r="BP71" s="411">
        <v>0.5</v>
      </c>
      <c r="BQ71" s="459">
        <v>1</v>
      </c>
      <c r="BR71" s="467">
        <v>11540000</v>
      </c>
      <c r="BS71" s="467">
        <v>0</v>
      </c>
      <c r="BT71" s="413" t="s">
        <v>256</v>
      </c>
      <c r="BU71" s="594" t="s">
        <v>646</v>
      </c>
      <c r="BV71" s="462">
        <v>0.5</v>
      </c>
      <c r="BW71" s="411">
        <v>0.5</v>
      </c>
      <c r="BX71" s="459">
        <v>1</v>
      </c>
      <c r="BY71" s="467">
        <v>271452800</v>
      </c>
      <c r="BZ71" s="467">
        <v>223685832</v>
      </c>
      <c r="CA71" s="438">
        <f>BZ71/BY71</f>
        <v>0.82403214113098111</v>
      </c>
      <c r="CB71" s="550" t="s">
        <v>1026</v>
      </c>
      <c r="CC71" s="435" t="s">
        <v>1073</v>
      </c>
      <c r="CD71" s="411">
        <v>1</v>
      </c>
      <c r="CE71" s="384">
        <v>0.5</v>
      </c>
      <c r="CF71" s="415">
        <f>CE71/CD71</f>
        <v>0.5</v>
      </c>
    </row>
    <row r="72" spans="1:84" ht="57.75" customHeight="1" x14ac:dyDescent="0.25">
      <c r="A72" s="668"/>
      <c r="B72" s="387"/>
      <c r="C72" s="672"/>
      <c r="D72" s="602"/>
      <c r="E72" s="413"/>
      <c r="F72" s="413"/>
      <c r="G72" s="413"/>
      <c r="H72" s="452"/>
      <c r="I72" s="666"/>
      <c r="J72" s="413"/>
      <c r="K72" s="412"/>
      <c r="L72" s="412"/>
      <c r="M72" s="412"/>
      <c r="N72" s="412"/>
      <c r="O72" s="412"/>
      <c r="P72" s="412"/>
      <c r="Q72" s="554"/>
      <c r="R72" s="593"/>
      <c r="S72" s="411"/>
      <c r="T72" s="459"/>
      <c r="U72" s="467"/>
      <c r="V72" s="467"/>
      <c r="W72" s="413"/>
      <c r="X72" s="594"/>
      <c r="Y72" s="593"/>
      <c r="Z72" s="411"/>
      <c r="AA72" s="459"/>
      <c r="AB72" s="467"/>
      <c r="AC72" s="467"/>
      <c r="AD72" s="413"/>
      <c r="AE72" s="594"/>
      <c r="AF72" s="530"/>
      <c r="AG72" s="536"/>
      <c r="AH72" s="459"/>
      <c r="AI72" s="474"/>
      <c r="AJ72" s="474"/>
      <c r="AK72" s="413"/>
      <c r="AL72" s="472"/>
      <c r="AM72" s="650"/>
      <c r="AN72" s="475"/>
      <c r="AO72" s="459"/>
      <c r="AP72" s="524"/>
      <c r="AQ72" s="524"/>
      <c r="AR72" s="413"/>
      <c r="AS72" s="512"/>
      <c r="AT72" s="504"/>
      <c r="AU72" s="492"/>
      <c r="AV72" s="459"/>
      <c r="AW72" s="492"/>
      <c r="AX72" s="492"/>
      <c r="AY72" s="413"/>
      <c r="AZ72" s="501"/>
      <c r="BA72" s="609"/>
      <c r="BB72" s="481"/>
      <c r="BC72" s="459"/>
      <c r="BD72" s="444"/>
      <c r="BE72" s="444"/>
      <c r="BF72" s="413"/>
      <c r="BG72" s="446"/>
      <c r="BH72" s="530"/>
      <c r="BI72" s="536"/>
      <c r="BJ72" s="483"/>
      <c r="BK72" s="474"/>
      <c r="BL72" s="474"/>
      <c r="BM72" s="488"/>
      <c r="BN72" s="592"/>
      <c r="BO72" s="593"/>
      <c r="BP72" s="411"/>
      <c r="BQ72" s="459"/>
      <c r="BR72" s="467"/>
      <c r="BS72" s="467"/>
      <c r="BT72" s="413"/>
      <c r="BU72" s="594"/>
      <c r="BV72" s="549"/>
      <c r="BW72" s="411"/>
      <c r="BX72" s="459"/>
      <c r="BY72" s="467"/>
      <c r="BZ72" s="467"/>
      <c r="CA72" s="432"/>
      <c r="CB72" s="452"/>
      <c r="CC72" s="435"/>
      <c r="CD72" s="413"/>
      <c r="CE72" s="385"/>
      <c r="CF72" s="415"/>
    </row>
    <row r="73" spans="1:84" ht="348" customHeight="1" x14ac:dyDescent="0.25">
      <c r="A73" s="668"/>
      <c r="B73" s="387"/>
      <c r="C73" s="679"/>
      <c r="D73" s="602"/>
      <c r="E73" s="413"/>
      <c r="F73" s="413"/>
      <c r="G73" s="413"/>
      <c r="H73" s="460"/>
      <c r="I73" s="666"/>
      <c r="J73" s="413"/>
      <c r="K73" s="412"/>
      <c r="L73" s="412"/>
      <c r="M73" s="412"/>
      <c r="N73" s="412"/>
      <c r="O73" s="412"/>
      <c r="P73" s="412"/>
      <c r="Q73" s="554"/>
      <c r="R73" s="593"/>
      <c r="S73" s="411"/>
      <c r="T73" s="459"/>
      <c r="U73" s="467"/>
      <c r="V73" s="467"/>
      <c r="W73" s="413"/>
      <c r="X73" s="594"/>
      <c r="Y73" s="593"/>
      <c r="Z73" s="411"/>
      <c r="AA73" s="459"/>
      <c r="AB73" s="467"/>
      <c r="AC73" s="467"/>
      <c r="AD73" s="413"/>
      <c r="AE73" s="594"/>
      <c r="AF73" s="236">
        <v>1</v>
      </c>
      <c r="AG73" s="96">
        <v>1</v>
      </c>
      <c r="AH73" s="459"/>
      <c r="AI73" s="74" t="s">
        <v>37</v>
      </c>
      <c r="AJ73" s="74" t="s">
        <v>37</v>
      </c>
      <c r="AK73" s="413"/>
      <c r="AL73" s="269" t="s">
        <v>769</v>
      </c>
      <c r="AM73" s="188">
        <v>1</v>
      </c>
      <c r="AN73" s="72">
        <v>1</v>
      </c>
      <c r="AO73" s="459"/>
      <c r="AP73" s="141" t="s">
        <v>701</v>
      </c>
      <c r="AQ73" s="141" t="s">
        <v>701</v>
      </c>
      <c r="AR73" s="413"/>
      <c r="AS73" s="214" t="s">
        <v>847</v>
      </c>
      <c r="AT73" s="504">
        <v>1</v>
      </c>
      <c r="AU73" s="492">
        <v>5</v>
      </c>
      <c r="AV73" s="459"/>
      <c r="AW73" s="491">
        <v>25000000</v>
      </c>
      <c r="AX73" s="491">
        <v>23933333</v>
      </c>
      <c r="AY73" s="413"/>
      <c r="AZ73" s="470" t="s">
        <v>908</v>
      </c>
      <c r="BA73" s="609"/>
      <c r="BB73" s="481"/>
      <c r="BC73" s="459"/>
      <c r="BD73" s="444"/>
      <c r="BE73" s="444"/>
      <c r="BF73" s="413"/>
      <c r="BG73" s="446"/>
      <c r="BH73" s="530"/>
      <c r="BI73" s="536"/>
      <c r="BJ73" s="483"/>
      <c r="BK73" s="474"/>
      <c r="BL73" s="474"/>
      <c r="BM73" s="488"/>
      <c r="BN73" s="592"/>
      <c r="BO73" s="593"/>
      <c r="BP73" s="411"/>
      <c r="BQ73" s="459"/>
      <c r="BR73" s="467"/>
      <c r="BS73" s="467"/>
      <c r="BT73" s="413"/>
      <c r="BU73" s="594"/>
      <c r="BV73" s="545"/>
      <c r="BW73" s="411"/>
      <c r="BX73" s="459"/>
      <c r="BY73" s="467"/>
      <c r="BZ73" s="467"/>
      <c r="CA73" s="433"/>
      <c r="CB73" s="460"/>
      <c r="CC73" s="457"/>
      <c r="CD73" s="413"/>
      <c r="CE73" s="386"/>
      <c r="CF73" s="428"/>
    </row>
    <row r="74" spans="1:84" ht="389.25" customHeight="1" x14ac:dyDescent="0.25">
      <c r="A74" s="668"/>
      <c r="B74" s="387"/>
      <c r="C74" s="124" t="s">
        <v>211</v>
      </c>
      <c r="D74" s="128" t="s">
        <v>212</v>
      </c>
      <c r="E74" s="48" t="s">
        <v>213</v>
      </c>
      <c r="F74" s="48" t="s">
        <v>214</v>
      </c>
      <c r="G74" s="48" t="s">
        <v>210</v>
      </c>
      <c r="H74" s="96" t="s">
        <v>1027</v>
      </c>
      <c r="I74" s="32">
        <v>0</v>
      </c>
      <c r="J74" s="48">
        <v>10</v>
      </c>
      <c r="K74" s="60" t="s">
        <v>296</v>
      </c>
      <c r="L74" s="60" t="s">
        <v>360</v>
      </c>
      <c r="M74" s="48">
        <v>3902017</v>
      </c>
      <c r="N74" s="48" t="s">
        <v>361</v>
      </c>
      <c r="O74" s="48">
        <v>390201700</v>
      </c>
      <c r="P74" s="48" t="s">
        <v>361</v>
      </c>
      <c r="Q74" s="125">
        <v>10</v>
      </c>
      <c r="R74" s="111">
        <v>8</v>
      </c>
      <c r="S74" s="48">
        <v>20</v>
      </c>
      <c r="T74" s="57">
        <v>1</v>
      </c>
      <c r="U74" s="58"/>
      <c r="V74" s="58"/>
      <c r="W74" s="48" t="s">
        <v>274</v>
      </c>
      <c r="X74" s="265" t="s">
        <v>481</v>
      </c>
      <c r="Y74" s="111">
        <v>8</v>
      </c>
      <c r="Z74" s="48">
        <v>20</v>
      </c>
      <c r="AA74" s="57">
        <v>1</v>
      </c>
      <c r="AB74" s="58"/>
      <c r="AC74" s="62"/>
      <c r="AD74" s="48" t="s">
        <v>274</v>
      </c>
      <c r="AE74" s="265"/>
      <c r="AF74" s="537">
        <v>1</v>
      </c>
      <c r="AG74" s="488">
        <v>1</v>
      </c>
      <c r="AH74" s="57">
        <v>1</v>
      </c>
      <c r="AI74" s="474" t="s">
        <v>695</v>
      </c>
      <c r="AJ74" s="474" t="s">
        <v>696</v>
      </c>
      <c r="AK74" s="48" t="s">
        <v>274</v>
      </c>
      <c r="AL74" s="472" t="s">
        <v>770</v>
      </c>
      <c r="AM74" s="590">
        <v>1</v>
      </c>
      <c r="AN74" s="476">
        <v>1</v>
      </c>
      <c r="AO74" s="57">
        <v>1</v>
      </c>
      <c r="AP74" s="534">
        <v>205750000</v>
      </c>
      <c r="AQ74" s="534">
        <v>102060000</v>
      </c>
      <c r="AR74" s="48" t="s">
        <v>274</v>
      </c>
      <c r="AS74" s="472" t="s">
        <v>848</v>
      </c>
      <c r="AT74" s="504"/>
      <c r="AU74" s="492"/>
      <c r="AV74" s="57">
        <v>1</v>
      </c>
      <c r="AW74" s="491"/>
      <c r="AX74" s="491"/>
      <c r="AY74" s="48" t="s">
        <v>274</v>
      </c>
      <c r="AZ74" s="470"/>
      <c r="BA74" s="192">
        <v>10</v>
      </c>
      <c r="BB74" s="80">
        <v>20</v>
      </c>
      <c r="BC74" s="57">
        <v>1</v>
      </c>
      <c r="BD74" s="79">
        <v>519754832</v>
      </c>
      <c r="BE74" s="79">
        <v>74220990</v>
      </c>
      <c r="BF74" s="48" t="s">
        <v>274</v>
      </c>
      <c r="BG74" s="183" t="s">
        <v>969</v>
      </c>
      <c r="BH74" s="205">
        <v>7</v>
      </c>
      <c r="BI74" s="96">
        <v>0</v>
      </c>
      <c r="BJ74" s="81">
        <v>0</v>
      </c>
      <c r="BK74" s="74"/>
      <c r="BL74" s="74"/>
      <c r="BM74" s="96" t="s">
        <v>274</v>
      </c>
      <c r="BN74" s="269" t="s">
        <v>567</v>
      </c>
      <c r="BO74" s="111">
        <v>8</v>
      </c>
      <c r="BP74" s="48">
        <v>20</v>
      </c>
      <c r="BQ74" s="57">
        <v>1</v>
      </c>
      <c r="BR74" s="58"/>
      <c r="BS74" s="58"/>
      <c r="BT74" s="48" t="s">
        <v>274</v>
      </c>
      <c r="BU74" s="265" t="s">
        <v>647</v>
      </c>
      <c r="BV74" s="341">
        <v>9</v>
      </c>
      <c r="BW74" s="48">
        <v>9</v>
      </c>
      <c r="BX74" s="57">
        <v>1</v>
      </c>
      <c r="BY74" s="326">
        <v>451220071</v>
      </c>
      <c r="BZ74" s="326">
        <f>BY74/2</f>
        <v>225610035.5</v>
      </c>
      <c r="CA74" s="302">
        <f>BZ74/BY74</f>
        <v>0.5</v>
      </c>
      <c r="CB74" s="96" t="s">
        <v>1027</v>
      </c>
      <c r="CC74" s="358" t="s">
        <v>1074</v>
      </c>
      <c r="CD74" s="48">
        <v>10</v>
      </c>
      <c r="CE74" s="310">
        <v>20</v>
      </c>
      <c r="CF74" s="302">
        <v>1</v>
      </c>
    </row>
    <row r="75" spans="1:84" ht="27" customHeight="1" x14ac:dyDescent="0.25">
      <c r="A75" s="668"/>
      <c r="B75" s="387"/>
      <c r="C75" s="676" t="s">
        <v>215</v>
      </c>
      <c r="D75" s="602" t="s">
        <v>216</v>
      </c>
      <c r="E75" s="413" t="s">
        <v>217</v>
      </c>
      <c r="F75" s="413" t="s">
        <v>218</v>
      </c>
      <c r="G75" s="413" t="s">
        <v>210</v>
      </c>
      <c r="H75" s="451" t="s">
        <v>1027</v>
      </c>
      <c r="I75" s="666">
        <v>0</v>
      </c>
      <c r="J75" s="413">
        <v>10</v>
      </c>
      <c r="K75" s="412" t="s">
        <v>292</v>
      </c>
      <c r="L75" s="412" t="s">
        <v>313</v>
      </c>
      <c r="M75" s="412" t="s">
        <v>294</v>
      </c>
      <c r="N75" s="412" t="s">
        <v>314</v>
      </c>
      <c r="O75" s="412" t="s">
        <v>294</v>
      </c>
      <c r="P75" s="412" t="s">
        <v>315</v>
      </c>
      <c r="Q75" s="554">
        <v>10</v>
      </c>
      <c r="R75" s="485">
        <v>8</v>
      </c>
      <c r="S75" s="413">
        <v>11</v>
      </c>
      <c r="T75" s="425">
        <f>S75/S75</f>
        <v>1</v>
      </c>
      <c r="U75" s="467">
        <v>60844000</v>
      </c>
      <c r="V75" s="467">
        <v>9900000</v>
      </c>
      <c r="W75" s="413" t="s">
        <v>275</v>
      </c>
      <c r="X75" s="594" t="s">
        <v>482</v>
      </c>
      <c r="Y75" s="485">
        <v>8</v>
      </c>
      <c r="Z75" s="413">
        <v>11</v>
      </c>
      <c r="AA75" s="425">
        <f>Z75/Z75</f>
        <v>1</v>
      </c>
      <c r="AB75" s="467"/>
      <c r="AC75" s="467"/>
      <c r="AD75" s="413" t="s">
        <v>275</v>
      </c>
      <c r="AE75" s="594"/>
      <c r="AF75" s="537"/>
      <c r="AG75" s="488"/>
      <c r="AH75" s="425" t="e">
        <f>AG75/AG75</f>
        <v>#DIV/0!</v>
      </c>
      <c r="AI75" s="474"/>
      <c r="AJ75" s="474"/>
      <c r="AK75" s="413" t="s">
        <v>275</v>
      </c>
      <c r="AL75" s="472"/>
      <c r="AM75" s="590"/>
      <c r="AN75" s="476"/>
      <c r="AO75" s="425" t="e">
        <f>AN75/AN75</f>
        <v>#DIV/0!</v>
      </c>
      <c r="AP75" s="535"/>
      <c r="AQ75" s="535"/>
      <c r="AR75" s="413" t="s">
        <v>275</v>
      </c>
      <c r="AS75" s="472"/>
      <c r="AT75" s="504">
        <v>3</v>
      </c>
      <c r="AU75" s="492">
        <v>1</v>
      </c>
      <c r="AV75" s="425">
        <f>AU75/AU75</f>
        <v>1</v>
      </c>
      <c r="AW75" s="491" t="s">
        <v>857</v>
      </c>
      <c r="AX75" s="493" t="s">
        <v>857</v>
      </c>
      <c r="AY75" s="413" t="s">
        <v>275</v>
      </c>
      <c r="AZ75" s="471" t="s">
        <v>1038</v>
      </c>
      <c r="BA75" s="480">
        <v>6</v>
      </c>
      <c r="BB75" s="481" t="s">
        <v>921</v>
      </c>
      <c r="BC75" s="425" t="e">
        <f>BB75/BB75</f>
        <v>#VALUE!</v>
      </c>
      <c r="BD75" s="444">
        <v>1563620850</v>
      </c>
      <c r="BE75" s="444">
        <v>1172715638</v>
      </c>
      <c r="BF75" s="413" t="s">
        <v>275</v>
      </c>
      <c r="BG75" s="446" t="s">
        <v>970</v>
      </c>
      <c r="BH75" s="487">
        <v>7</v>
      </c>
      <c r="BI75" s="488">
        <v>2</v>
      </c>
      <c r="BJ75" s="489">
        <f>(BI75/BH75)*1</f>
        <v>0.2857142857142857</v>
      </c>
      <c r="BK75" s="474"/>
      <c r="BL75" s="474"/>
      <c r="BM75" s="488" t="s">
        <v>275</v>
      </c>
      <c r="BN75" s="591" t="s">
        <v>568</v>
      </c>
      <c r="BO75" s="485">
        <v>8</v>
      </c>
      <c r="BP75" s="413">
        <v>5</v>
      </c>
      <c r="BQ75" s="425">
        <f>BP75/BP75</f>
        <v>1</v>
      </c>
      <c r="BR75" s="467">
        <v>60844000</v>
      </c>
      <c r="BS75" s="467">
        <v>9900000</v>
      </c>
      <c r="BT75" s="413" t="s">
        <v>275</v>
      </c>
      <c r="BU75" s="599" t="s">
        <v>648</v>
      </c>
      <c r="BV75" s="538">
        <v>9</v>
      </c>
      <c r="BW75" s="413">
        <v>11</v>
      </c>
      <c r="BX75" s="425">
        <f>BW75/BW75</f>
        <v>1</v>
      </c>
      <c r="BY75" s="448">
        <v>2673832466</v>
      </c>
      <c r="BZ75" s="448">
        <f>BY75*6</f>
        <v>16042994796</v>
      </c>
      <c r="CA75" s="420">
        <v>1</v>
      </c>
      <c r="CB75" s="451" t="s">
        <v>1027</v>
      </c>
      <c r="CC75" s="434" t="s">
        <v>1075</v>
      </c>
      <c r="CD75" s="413">
        <v>10</v>
      </c>
      <c r="CE75" s="382">
        <v>11</v>
      </c>
      <c r="CF75" s="425">
        <v>1</v>
      </c>
    </row>
    <row r="76" spans="1:84" ht="107.25" customHeight="1" x14ac:dyDescent="0.25">
      <c r="A76" s="668"/>
      <c r="B76" s="387"/>
      <c r="C76" s="677"/>
      <c r="D76" s="602"/>
      <c r="E76" s="413"/>
      <c r="F76" s="413"/>
      <c r="G76" s="413"/>
      <c r="H76" s="452"/>
      <c r="I76" s="666"/>
      <c r="J76" s="413"/>
      <c r="K76" s="412"/>
      <c r="L76" s="412"/>
      <c r="M76" s="412"/>
      <c r="N76" s="412"/>
      <c r="O76" s="412"/>
      <c r="P76" s="412"/>
      <c r="Q76" s="554"/>
      <c r="R76" s="485"/>
      <c r="S76" s="413"/>
      <c r="T76" s="425"/>
      <c r="U76" s="467"/>
      <c r="V76" s="467"/>
      <c r="W76" s="413"/>
      <c r="X76" s="594"/>
      <c r="Y76" s="485"/>
      <c r="Z76" s="413"/>
      <c r="AA76" s="425"/>
      <c r="AB76" s="467"/>
      <c r="AC76" s="467"/>
      <c r="AD76" s="413"/>
      <c r="AE76" s="594"/>
      <c r="AF76" s="537"/>
      <c r="AG76" s="488"/>
      <c r="AH76" s="425"/>
      <c r="AI76" s="474"/>
      <c r="AJ76" s="474"/>
      <c r="AK76" s="413"/>
      <c r="AL76" s="472"/>
      <c r="AM76" s="590"/>
      <c r="AN76" s="476"/>
      <c r="AO76" s="425"/>
      <c r="AP76" s="535"/>
      <c r="AQ76" s="535"/>
      <c r="AR76" s="413"/>
      <c r="AS76" s="472"/>
      <c r="AT76" s="504"/>
      <c r="AU76" s="492"/>
      <c r="AV76" s="425"/>
      <c r="AW76" s="492"/>
      <c r="AX76" s="493"/>
      <c r="AY76" s="413"/>
      <c r="AZ76" s="471"/>
      <c r="BA76" s="480"/>
      <c r="BB76" s="481"/>
      <c r="BC76" s="425"/>
      <c r="BD76" s="444"/>
      <c r="BE76" s="444"/>
      <c r="BF76" s="413"/>
      <c r="BG76" s="446"/>
      <c r="BH76" s="487"/>
      <c r="BI76" s="488"/>
      <c r="BJ76" s="489"/>
      <c r="BK76" s="474"/>
      <c r="BL76" s="474"/>
      <c r="BM76" s="488"/>
      <c r="BN76" s="591"/>
      <c r="BO76" s="485"/>
      <c r="BP76" s="413"/>
      <c r="BQ76" s="425"/>
      <c r="BR76" s="467"/>
      <c r="BS76" s="467"/>
      <c r="BT76" s="413"/>
      <c r="BU76" s="599"/>
      <c r="BV76" s="539"/>
      <c r="BW76" s="413"/>
      <c r="BX76" s="425"/>
      <c r="BY76" s="449"/>
      <c r="BZ76" s="449"/>
      <c r="CA76" s="421"/>
      <c r="CB76" s="452"/>
      <c r="CC76" s="435"/>
      <c r="CD76" s="413"/>
      <c r="CE76" s="387"/>
      <c r="CF76" s="425"/>
    </row>
    <row r="77" spans="1:84" ht="218.25" customHeight="1" thickBot="1" x14ac:dyDescent="0.3">
      <c r="A77" s="669"/>
      <c r="B77" s="388"/>
      <c r="C77" s="678"/>
      <c r="D77" s="128" t="s">
        <v>219</v>
      </c>
      <c r="E77" s="48" t="s">
        <v>220</v>
      </c>
      <c r="F77" s="413"/>
      <c r="G77" s="413"/>
      <c r="H77" s="453"/>
      <c r="I77" s="666"/>
      <c r="J77" s="413"/>
      <c r="K77" s="412"/>
      <c r="L77" s="412"/>
      <c r="M77" s="412"/>
      <c r="N77" s="412"/>
      <c r="O77" s="412"/>
      <c r="P77" s="412"/>
      <c r="Q77" s="554"/>
      <c r="R77" s="485"/>
      <c r="S77" s="413"/>
      <c r="T77" s="425"/>
      <c r="U77" s="467"/>
      <c r="V77" s="467"/>
      <c r="W77" s="413"/>
      <c r="X77" s="594"/>
      <c r="Y77" s="485"/>
      <c r="Z77" s="413"/>
      <c r="AA77" s="425"/>
      <c r="AB77" s="467"/>
      <c r="AC77" s="467"/>
      <c r="AD77" s="413"/>
      <c r="AE77" s="594"/>
      <c r="AF77" s="274">
        <v>1</v>
      </c>
      <c r="AG77" s="137">
        <v>1</v>
      </c>
      <c r="AH77" s="425"/>
      <c r="AI77" s="474" t="s">
        <v>695</v>
      </c>
      <c r="AJ77" s="474" t="s">
        <v>696</v>
      </c>
      <c r="AK77" s="413"/>
      <c r="AL77" s="269" t="s">
        <v>771</v>
      </c>
      <c r="AM77" s="188" t="s">
        <v>780</v>
      </c>
      <c r="AN77" s="72" t="s">
        <v>780</v>
      </c>
      <c r="AO77" s="425"/>
      <c r="AP77" s="142">
        <v>24350000</v>
      </c>
      <c r="AQ77" s="142">
        <v>12000000</v>
      </c>
      <c r="AR77" s="413"/>
      <c r="AS77" s="214" t="s">
        <v>849</v>
      </c>
      <c r="AT77" s="236">
        <v>12</v>
      </c>
      <c r="AU77" s="96">
        <v>12</v>
      </c>
      <c r="AV77" s="425"/>
      <c r="AW77" s="150">
        <v>25000000</v>
      </c>
      <c r="AX77" s="151">
        <v>23933333</v>
      </c>
      <c r="AY77" s="413"/>
      <c r="AZ77" s="214" t="s">
        <v>909</v>
      </c>
      <c r="BA77" s="480"/>
      <c r="BB77" s="481"/>
      <c r="BC77" s="425"/>
      <c r="BD77" s="444"/>
      <c r="BE77" s="444"/>
      <c r="BF77" s="413"/>
      <c r="BG77" s="446"/>
      <c r="BH77" s="487"/>
      <c r="BI77" s="488"/>
      <c r="BJ77" s="489"/>
      <c r="BK77" s="474"/>
      <c r="BL77" s="474"/>
      <c r="BM77" s="488"/>
      <c r="BN77" s="591"/>
      <c r="BO77" s="485"/>
      <c r="BP77" s="413"/>
      <c r="BQ77" s="425"/>
      <c r="BR77" s="467"/>
      <c r="BS77" s="467"/>
      <c r="BT77" s="413"/>
      <c r="BU77" s="599"/>
      <c r="BV77" s="540"/>
      <c r="BW77" s="413"/>
      <c r="BX77" s="425"/>
      <c r="BY77" s="450"/>
      <c r="BZ77" s="450"/>
      <c r="CA77" s="422"/>
      <c r="CB77" s="453"/>
      <c r="CC77" s="435"/>
      <c r="CD77" s="413"/>
      <c r="CE77" s="383"/>
      <c r="CF77" s="425"/>
    </row>
    <row r="78" spans="1:84" ht="98.25" customHeight="1" x14ac:dyDescent="0.25">
      <c r="A78" s="667" t="s">
        <v>221</v>
      </c>
      <c r="B78" s="670" t="s">
        <v>222</v>
      </c>
      <c r="C78" s="671" t="s">
        <v>223</v>
      </c>
      <c r="D78" s="128" t="s">
        <v>224</v>
      </c>
      <c r="E78" s="48" t="s">
        <v>225</v>
      </c>
      <c r="F78" s="48" t="s">
        <v>226</v>
      </c>
      <c r="G78" s="48" t="s">
        <v>227</v>
      </c>
      <c r="H78" s="321" t="s">
        <v>228</v>
      </c>
      <c r="I78" s="32">
        <v>0</v>
      </c>
      <c r="J78" s="48">
        <v>1</v>
      </c>
      <c r="K78" s="60" t="s">
        <v>362</v>
      </c>
      <c r="L78" s="60" t="s">
        <v>363</v>
      </c>
      <c r="M78" s="48" t="s">
        <v>37</v>
      </c>
      <c r="N78" s="48" t="s">
        <v>364</v>
      </c>
      <c r="O78" s="48" t="s">
        <v>37</v>
      </c>
      <c r="P78" s="48" t="s">
        <v>365</v>
      </c>
      <c r="Q78" s="125">
        <v>1</v>
      </c>
      <c r="R78" s="112" t="s">
        <v>403</v>
      </c>
      <c r="S78" s="45" t="s">
        <v>423</v>
      </c>
      <c r="T78" s="57">
        <v>1</v>
      </c>
      <c r="U78" s="58"/>
      <c r="V78" s="58">
        <v>8655000</v>
      </c>
      <c r="W78" s="412" t="s">
        <v>256</v>
      </c>
      <c r="X78" s="113" t="s">
        <v>483</v>
      </c>
      <c r="Y78" s="112" t="s">
        <v>403</v>
      </c>
      <c r="Z78" s="45" t="s">
        <v>423</v>
      </c>
      <c r="AA78" s="57">
        <v>1</v>
      </c>
      <c r="AB78" s="58"/>
      <c r="AC78" s="58"/>
      <c r="AD78" s="412" t="s">
        <v>256</v>
      </c>
      <c r="AE78" s="113"/>
      <c r="AF78" s="274">
        <v>1</v>
      </c>
      <c r="AG78" s="137">
        <v>1</v>
      </c>
      <c r="AH78" s="57">
        <v>1</v>
      </c>
      <c r="AI78" s="474"/>
      <c r="AJ78" s="474"/>
      <c r="AK78" s="412" t="s">
        <v>256</v>
      </c>
      <c r="AL78" s="269" t="s">
        <v>772</v>
      </c>
      <c r="AM78" s="215">
        <v>1</v>
      </c>
      <c r="AN78" s="138">
        <v>0</v>
      </c>
      <c r="AO78" s="57">
        <v>1</v>
      </c>
      <c r="AP78" s="142">
        <v>25000000</v>
      </c>
      <c r="AQ78" s="72">
        <v>0</v>
      </c>
      <c r="AR78" s="412" t="s">
        <v>256</v>
      </c>
      <c r="AS78" s="225" t="s">
        <v>850</v>
      </c>
      <c r="AT78" s="237">
        <v>1</v>
      </c>
      <c r="AU78" s="149">
        <v>1</v>
      </c>
      <c r="AV78" s="57">
        <v>1</v>
      </c>
      <c r="AW78" s="246" t="s">
        <v>857</v>
      </c>
      <c r="AX78" s="246" t="s">
        <v>857</v>
      </c>
      <c r="AY78" s="412" t="s">
        <v>256</v>
      </c>
      <c r="AZ78" s="225" t="s">
        <v>910</v>
      </c>
      <c r="BA78" s="288">
        <v>12</v>
      </c>
      <c r="BB78" s="263">
        <v>12</v>
      </c>
      <c r="BC78" s="57">
        <v>1</v>
      </c>
      <c r="BD78" s="92">
        <v>32000000</v>
      </c>
      <c r="BE78" s="92">
        <v>31440300</v>
      </c>
      <c r="BF78" s="412" t="s">
        <v>256</v>
      </c>
      <c r="BG78" s="187" t="s">
        <v>971</v>
      </c>
      <c r="BH78" s="206" t="s">
        <v>403</v>
      </c>
      <c r="BI78" s="97" t="s">
        <v>569</v>
      </c>
      <c r="BJ78" s="81">
        <v>0</v>
      </c>
      <c r="BK78" s="79"/>
      <c r="BL78" s="79"/>
      <c r="BM78" s="481" t="s">
        <v>256</v>
      </c>
      <c r="BN78" s="187" t="s">
        <v>570</v>
      </c>
      <c r="BO78" s="112" t="s">
        <v>403</v>
      </c>
      <c r="BP78" s="45" t="s">
        <v>423</v>
      </c>
      <c r="BQ78" s="57">
        <v>1</v>
      </c>
      <c r="BR78" s="58"/>
      <c r="BS78" s="58">
        <v>8655000</v>
      </c>
      <c r="BT78" s="412" t="s">
        <v>256</v>
      </c>
      <c r="BU78" s="113" t="s">
        <v>649</v>
      </c>
      <c r="BV78" s="72">
        <v>1</v>
      </c>
      <c r="BW78" s="45" t="s">
        <v>423</v>
      </c>
      <c r="BX78" s="57">
        <v>1</v>
      </c>
      <c r="BY78" s="58">
        <v>0</v>
      </c>
      <c r="BZ78" s="58">
        <v>0</v>
      </c>
      <c r="CA78" s="303">
        <v>0</v>
      </c>
      <c r="CB78" s="321" t="s">
        <v>228</v>
      </c>
      <c r="CC78" s="355" t="s">
        <v>1076</v>
      </c>
      <c r="CD78" s="48">
        <v>1</v>
      </c>
      <c r="CE78" s="313" t="s">
        <v>423</v>
      </c>
      <c r="CF78" s="323">
        <v>1</v>
      </c>
    </row>
    <row r="79" spans="1:84" ht="65.25" customHeight="1" x14ac:dyDescent="0.25">
      <c r="A79" s="674"/>
      <c r="B79" s="387"/>
      <c r="C79" s="672"/>
      <c r="D79" s="128" t="s">
        <v>229</v>
      </c>
      <c r="E79" s="48" t="s">
        <v>230</v>
      </c>
      <c r="F79" s="48" t="s">
        <v>231</v>
      </c>
      <c r="G79" s="48" t="s">
        <v>227</v>
      </c>
      <c r="H79" s="96" t="s">
        <v>1028</v>
      </c>
      <c r="I79" s="32">
        <v>0</v>
      </c>
      <c r="J79" s="64">
        <v>1</v>
      </c>
      <c r="K79" s="412" t="s">
        <v>292</v>
      </c>
      <c r="L79" s="412" t="s">
        <v>293</v>
      </c>
      <c r="M79" s="412" t="s">
        <v>294</v>
      </c>
      <c r="N79" s="412" t="s">
        <v>424</v>
      </c>
      <c r="O79" s="412" t="s">
        <v>294</v>
      </c>
      <c r="P79" s="412" t="s">
        <v>393</v>
      </c>
      <c r="Q79" s="126">
        <v>1</v>
      </c>
      <c r="R79" s="114">
        <v>0.5</v>
      </c>
      <c r="S79" s="46">
        <v>0.5</v>
      </c>
      <c r="T79" s="34">
        <f>(S79/R79)*1</f>
        <v>1</v>
      </c>
      <c r="U79" s="58">
        <v>0</v>
      </c>
      <c r="V79" s="58">
        <v>8655000</v>
      </c>
      <c r="W79" s="412"/>
      <c r="X79" s="115" t="s">
        <v>484</v>
      </c>
      <c r="Y79" s="114">
        <v>0.5</v>
      </c>
      <c r="Z79" s="46">
        <v>0.5</v>
      </c>
      <c r="AA79" s="34">
        <f>(Z79/Y79)*1</f>
        <v>1</v>
      </c>
      <c r="AB79" s="58"/>
      <c r="AC79" s="58"/>
      <c r="AD79" s="412"/>
      <c r="AE79" s="115"/>
      <c r="AF79" s="537">
        <v>4</v>
      </c>
      <c r="AG79" s="488">
        <v>2</v>
      </c>
      <c r="AH79" s="34">
        <f>(AG79/AF79)*1</f>
        <v>0.5</v>
      </c>
      <c r="AI79" s="474"/>
      <c r="AJ79" s="474"/>
      <c r="AK79" s="412"/>
      <c r="AL79" s="472" t="s">
        <v>773</v>
      </c>
      <c r="AM79" s="590">
        <v>4</v>
      </c>
      <c r="AN79" s="476">
        <v>2</v>
      </c>
      <c r="AO79" s="34">
        <f>(AN79/AM79)*1</f>
        <v>0.5</v>
      </c>
      <c r="AP79" s="519">
        <v>24350000</v>
      </c>
      <c r="AQ79" s="519">
        <v>12000000</v>
      </c>
      <c r="AR79" s="412"/>
      <c r="AS79" s="472" t="s">
        <v>851</v>
      </c>
      <c r="AT79" s="504">
        <v>4</v>
      </c>
      <c r="AU79" s="492">
        <v>11</v>
      </c>
      <c r="AV79" s="34">
        <f>(AU79/AT79)*1</f>
        <v>2.75</v>
      </c>
      <c r="AW79" s="494">
        <v>25000000</v>
      </c>
      <c r="AX79" s="495">
        <v>23933333</v>
      </c>
      <c r="AY79" s="412"/>
      <c r="AZ79" s="472" t="s">
        <v>911</v>
      </c>
      <c r="BA79" s="207">
        <v>1</v>
      </c>
      <c r="BB79" s="153">
        <v>0.9</v>
      </c>
      <c r="BC79" s="34">
        <f>(BB79/BA79)*1</f>
        <v>0.9</v>
      </c>
      <c r="BD79" s="92"/>
      <c r="BE79" s="92"/>
      <c r="BF79" s="412"/>
      <c r="BG79" s="165" t="s">
        <v>972</v>
      </c>
      <c r="BH79" s="207">
        <v>0.9</v>
      </c>
      <c r="BI79" s="98">
        <v>0.9</v>
      </c>
      <c r="BJ79" s="75">
        <f>(BI79/BH79)*1</f>
        <v>1</v>
      </c>
      <c r="BK79" s="79"/>
      <c r="BL79" s="79"/>
      <c r="BM79" s="481"/>
      <c r="BN79" s="165" t="s">
        <v>571</v>
      </c>
      <c r="BO79" s="114">
        <v>0.5</v>
      </c>
      <c r="BP79" s="46">
        <v>0.5</v>
      </c>
      <c r="BQ79" s="34">
        <f>(BP79/BO79)*1</f>
        <v>1</v>
      </c>
      <c r="BR79" s="58">
        <v>0</v>
      </c>
      <c r="BS79" s="58">
        <v>8655000</v>
      </c>
      <c r="BT79" s="412"/>
      <c r="BU79" s="115" t="s">
        <v>650</v>
      </c>
      <c r="BV79" s="138">
        <v>0.5</v>
      </c>
      <c r="BW79" s="46">
        <v>0.5</v>
      </c>
      <c r="BX79" s="34">
        <f>(BW79/BV79)*1</f>
        <v>1</v>
      </c>
      <c r="BY79" s="58">
        <v>0</v>
      </c>
      <c r="BZ79" s="58">
        <v>0</v>
      </c>
      <c r="CA79" s="34">
        <v>0</v>
      </c>
      <c r="CB79" s="96" t="s">
        <v>1028</v>
      </c>
      <c r="CC79" s="346" t="s">
        <v>1087</v>
      </c>
      <c r="CD79" s="64">
        <v>1</v>
      </c>
      <c r="CE79" s="46">
        <v>0.5</v>
      </c>
      <c r="CF79" s="47">
        <f>CE79/CD79</f>
        <v>0.5</v>
      </c>
    </row>
    <row r="80" spans="1:84" ht="33.75" customHeight="1" x14ac:dyDescent="0.25">
      <c r="A80" s="674"/>
      <c r="B80" s="387"/>
      <c r="C80" s="672"/>
      <c r="D80" s="602" t="s">
        <v>232</v>
      </c>
      <c r="E80" s="413" t="s">
        <v>233</v>
      </c>
      <c r="F80" s="413" t="s">
        <v>234</v>
      </c>
      <c r="G80" s="413" t="s">
        <v>21</v>
      </c>
      <c r="H80" s="451" t="s">
        <v>1029</v>
      </c>
      <c r="I80" s="666">
        <v>3</v>
      </c>
      <c r="J80" s="413">
        <v>10</v>
      </c>
      <c r="K80" s="412"/>
      <c r="L80" s="412"/>
      <c r="M80" s="412"/>
      <c r="N80" s="412"/>
      <c r="O80" s="412"/>
      <c r="P80" s="412"/>
      <c r="Q80" s="554">
        <v>10</v>
      </c>
      <c r="R80" s="485">
        <v>8</v>
      </c>
      <c r="S80" s="413">
        <v>7</v>
      </c>
      <c r="T80" s="459">
        <f>(S80/R80)*1</f>
        <v>0.875</v>
      </c>
      <c r="U80" s="533">
        <v>8655000</v>
      </c>
      <c r="V80" s="467">
        <v>8655000</v>
      </c>
      <c r="W80" s="412"/>
      <c r="X80" s="486" t="s">
        <v>485</v>
      </c>
      <c r="Y80" s="485">
        <v>8</v>
      </c>
      <c r="Z80" s="413">
        <v>7</v>
      </c>
      <c r="AA80" s="459">
        <f>(Z80/Y80)*1</f>
        <v>0.875</v>
      </c>
      <c r="AB80" s="533"/>
      <c r="AC80" s="467"/>
      <c r="AD80" s="412"/>
      <c r="AE80" s="486"/>
      <c r="AF80" s="537"/>
      <c r="AG80" s="488"/>
      <c r="AH80" s="459" t="e">
        <f>(AG80/AF80)*1</f>
        <v>#DIV/0!</v>
      </c>
      <c r="AI80" s="474"/>
      <c r="AJ80" s="474"/>
      <c r="AK80" s="412"/>
      <c r="AL80" s="472"/>
      <c r="AM80" s="590"/>
      <c r="AN80" s="476"/>
      <c r="AO80" s="459" t="e">
        <f>(AN80/AM80)*1</f>
        <v>#DIV/0!</v>
      </c>
      <c r="AP80" s="519"/>
      <c r="AQ80" s="519"/>
      <c r="AR80" s="412"/>
      <c r="AS80" s="472"/>
      <c r="AT80" s="504"/>
      <c r="AU80" s="492"/>
      <c r="AV80" s="459" t="e">
        <f>(AU80/AT80)*1</f>
        <v>#DIV/0!</v>
      </c>
      <c r="AW80" s="494"/>
      <c r="AX80" s="495"/>
      <c r="AY80" s="412"/>
      <c r="AZ80" s="472"/>
      <c r="BA80" s="480">
        <v>4</v>
      </c>
      <c r="BB80" s="481">
        <v>3</v>
      </c>
      <c r="BC80" s="459">
        <f>(BB80/BA80)*1</f>
        <v>0.75</v>
      </c>
      <c r="BD80" s="444">
        <v>32000000</v>
      </c>
      <c r="BE80" s="444">
        <v>31440300</v>
      </c>
      <c r="BF80" s="412"/>
      <c r="BG80" s="446" t="s">
        <v>973</v>
      </c>
      <c r="BH80" s="482">
        <v>7</v>
      </c>
      <c r="BI80" s="481">
        <v>0</v>
      </c>
      <c r="BJ80" s="483">
        <f>(BI80/BH80)*1</f>
        <v>0</v>
      </c>
      <c r="BK80" s="484"/>
      <c r="BL80" s="444"/>
      <c r="BM80" s="481"/>
      <c r="BN80" s="447" t="s">
        <v>572</v>
      </c>
      <c r="BO80" s="485">
        <v>8</v>
      </c>
      <c r="BP80" s="413">
        <v>7</v>
      </c>
      <c r="BQ80" s="459">
        <f>(BP80/BO80)*1</f>
        <v>0.875</v>
      </c>
      <c r="BR80" s="533">
        <v>8655000</v>
      </c>
      <c r="BS80" s="467">
        <v>8655000</v>
      </c>
      <c r="BT80" s="412"/>
      <c r="BU80" s="447" t="s">
        <v>651</v>
      </c>
      <c r="BV80" s="544">
        <v>1</v>
      </c>
      <c r="BW80" s="413">
        <v>1</v>
      </c>
      <c r="BX80" s="459">
        <f>(BW80/BV80)*1</f>
        <v>1</v>
      </c>
      <c r="BY80" s="546">
        <v>28313000</v>
      </c>
      <c r="BZ80" s="454">
        <v>35000000</v>
      </c>
      <c r="CA80" s="438">
        <f>BY80/BZ80</f>
        <v>0.80894285714285719</v>
      </c>
      <c r="CB80" s="451" t="s">
        <v>1029</v>
      </c>
      <c r="CC80" s="548" t="s">
        <v>1077</v>
      </c>
      <c r="CD80" s="413">
        <v>10</v>
      </c>
      <c r="CE80" s="382">
        <v>7</v>
      </c>
      <c r="CF80" s="414">
        <f>CE80/CD80</f>
        <v>0.7</v>
      </c>
    </row>
    <row r="81" spans="1:84" ht="259.5" customHeight="1" thickBot="1" x14ac:dyDescent="0.3">
      <c r="A81" s="675"/>
      <c r="B81" s="388"/>
      <c r="C81" s="673"/>
      <c r="D81" s="602"/>
      <c r="E81" s="413"/>
      <c r="F81" s="413"/>
      <c r="G81" s="413"/>
      <c r="H81" s="453"/>
      <c r="I81" s="666"/>
      <c r="J81" s="413"/>
      <c r="K81" s="412"/>
      <c r="L81" s="412"/>
      <c r="M81" s="60"/>
      <c r="N81" s="412"/>
      <c r="O81" s="412"/>
      <c r="P81" s="412"/>
      <c r="Q81" s="554"/>
      <c r="R81" s="485"/>
      <c r="S81" s="413"/>
      <c r="T81" s="459"/>
      <c r="U81" s="533"/>
      <c r="V81" s="467"/>
      <c r="W81" s="412"/>
      <c r="X81" s="486"/>
      <c r="Y81" s="485"/>
      <c r="Z81" s="413"/>
      <c r="AA81" s="459"/>
      <c r="AB81" s="533"/>
      <c r="AC81" s="467"/>
      <c r="AD81" s="412"/>
      <c r="AE81" s="486"/>
      <c r="AF81" s="275">
        <v>7</v>
      </c>
      <c r="AG81" s="136">
        <v>7</v>
      </c>
      <c r="AH81" s="459"/>
      <c r="AI81" s="474"/>
      <c r="AJ81" s="474"/>
      <c r="AK81" s="412"/>
      <c r="AL81" s="269" t="s">
        <v>774</v>
      </c>
      <c r="AM81" s="188">
        <v>12</v>
      </c>
      <c r="AN81" s="72">
        <v>12</v>
      </c>
      <c r="AO81" s="459"/>
      <c r="AP81" s="519">
        <v>24350000</v>
      </c>
      <c r="AQ81" s="519">
        <v>12000000</v>
      </c>
      <c r="AR81" s="412"/>
      <c r="AS81" s="214" t="s">
        <v>852</v>
      </c>
      <c r="AT81" s="224">
        <v>12</v>
      </c>
      <c r="AU81" s="146">
        <v>12</v>
      </c>
      <c r="AV81" s="459"/>
      <c r="AW81" s="494">
        <v>25000000</v>
      </c>
      <c r="AX81" s="493">
        <v>23933333</v>
      </c>
      <c r="AY81" s="412"/>
      <c r="AZ81" s="232" t="s">
        <v>912</v>
      </c>
      <c r="BA81" s="480"/>
      <c r="BB81" s="481"/>
      <c r="BC81" s="459"/>
      <c r="BD81" s="444"/>
      <c r="BE81" s="444"/>
      <c r="BF81" s="412"/>
      <c r="BG81" s="446"/>
      <c r="BH81" s="482"/>
      <c r="BI81" s="481"/>
      <c r="BJ81" s="483"/>
      <c r="BK81" s="484"/>
      <c r="BL81" s="444"/>
      <c r="BM81" s="481"/>
      <c r="BN81" s="447"/>
      <c r="BO81" s="485"/>
      <c r="BP81" s="413"/>
      <c r="BQ81" s="459"/>
      <c r="BR81" s="533"/>
      <c r="BS81" s="467"/>
      <c r="BT81" s="412"/>
      <c r="BU81" s="486"/>
      <c r="BV81" s="545"/>
      <c r="BW81" s="413"/>
      <c r="BX81" s="459"/>
      <c r="BY81" s="547"/>
      <c r="BZ81" s="456"/>
      <c r="CA81" s="469"/>
      <c r="CB81" s="453"/>
      <c r="CC81" s="548"/>
      <c r="CD81" s="413"/>
      <c r="CE81" s="388"/>
      <c r="CF81" s="416"/>
    </row>
    <row r="82" spans="1:84" ht="196.5" customHeight="1" x14ac:dyDescent="0.25">
      <c r="A82" s="667" t="s">
        <v>235</v>
      </c>
      <c r="B82" s="670" t="s">
        <v>236</v>
      </c>
      <c r="C82" s="671" t="s">
        <v>237</v>
      </c>
      <c r="D82" s="128" t="s">
        <v>238</v>
      </c>
      <c r="E82" s="48" t="s">
        <v>239</v>
      </c>
      <c r="F82" s="48" t="s">
        <v>240</v>
      </c>
      <c r="G82" s="48" t="s">
        <v>210</v>
      </c>
      <c r="H82" s="321" t="s">
        <v>1030</v>
      </c>
      <c r="I82" s="48">
        <v>5</v>
      </c>
      <c r="J82" s="48">
        <v>12</v>
      </c>
      <c r="K82" s="412" t="s">
        <v>292</v>
      </c>
      <c r="L82" s="412" t="s">
        <v>293</v>
      </c>
      <c r="M82" s="412" t="s">
        <v>294</v>
      </c>
      <c r="N82" s="412" t="s">
        <v>424</v>
      </c>
      <c r="O82" s="412" t="s">
        <v>366</v>
      </c>
      <c r="P82" s="412" t="s">
        <v>393</v>
      </c>
      <c r="Q82" s="125">
        <v>12</v>
      </c>
      <c r="R82" s="116">
        <v>5</v>
      </c>
      <c r="S82" s="66">
        <v>7</v>
      </c>
      <c r="T82" s="47">
        <v>1</v>
      </c>
      <c r="U82" s="58">
        <v>8655000</v>
      </c>
      <c r="V82" s="58">
        <v>8655000</v>
      </c>
      <c r="W82" s="412" t="s">
        <v>256</v>
      </c>
      <c r="X82" s="183" t="s">
        <v>486</v>
      </c>
      <c r="Y82" s="116">
        <v>5</v>
      </c>
      <c r="Z82" s="66">
        <v>7</v>
      </c>
      <c r="AA82" s="47">
        <v>1</v>
      </c>
      <c r="AB82" s="58"/>
      <c r="AC82" s="58"/>
      <c r="AD82" s="412" t="s">
        <v>256</v>
      </c>
      <c r="AE82" s="183"/>
      <c r="AF82" s="275">
        <v>0</v>
      </c>
      <c r="AG82" s="136">
        <v>0</v>
      </c>
      <c r="AH82" s="47">
        <v>1</v>
      </c>
      <c r="AI82" s="474"/>
      <c r="AJ82" s="474"/>
      <c r="AK82" s="412" t="s">
        <v>256</v>
      </c>
      <c r="AL82" s="269" t="s">
        <v>775</v>
      </c>
      <c r="AM82" s="188">
        <v>13</v>
      </c>
      <c r="AN82" s="72">
        <v>13</v>
      </c>
      <c r="AO82" s="47">
        <v>1</v>
      </c>
      <c r="AP82" s="519"/>
      <c r="AQ82" s="519"/>
      <c r="AR82" s="412" t="s">
        <v>256</v>
      </c>
      <c r="AS82" s="214" t="s">
        <v>853</v>
      </c>
      <c r="AT82" s="224">
        <v>13</v>
      </c>
      <c r="AU82" s="146">
        <v>0</v>
      </c>
      <c r="AV82" s="47">
        <v>1</v>
      </c>
      <c r="AW82" s="494"/>
      <c r="AX82" s="493"/>
      <c r="AY82" s="412" t="s">
        <v>256</v>
      </c>
      <c r="AZ82" s="232" t="s">
        <v>913</v>
      </c>
      <c r="BA82" s="208">
        <v>12</v>
      </c>
      <c r="BB82" s="154">
        <v>7</v>
      </c>
      <c r="BC82" s="47">
        <v>1</v>
      </c>
      <c r="BD82" s="444">
        <v>32000000</v>
      </c>
      <c r="BE82" s="444">
        <v>32000000</v>
      </c>
      <c r="BF82" s="412" t="s">
        <v>256</v>
      </c>
      <c r="BG82" s="183" t="s">
        <v>974</v>
      </c>
      <c r="BH82" s="208">
        <v>3</v>
      </c>
      <c r="BI82" s="99">
        <v>4</v>
      </c>
      <c r="BJ82" s="100">
        <v>1</v>
      </c>
      <c r="BK82" s="79"/>
      <c r="BL82" s="79"/>
      <c r="BM82" s="481" t="s">
        <v>256</v>
      </c>
      <c r="BN82" s="183" t="s">
        <v>573</v>
      </c>
      <c r="BO82" s="116">
        <v>5</v>
      </c>
      <c r="BP82" s="66">
        <v>6</v>
      </c>
      <c r="BQ82" s="47">
        <v>1</v>
      </c>
      <c r="BR82" s="58">
        <v>8655000</v>
      </c>
      <c r="BS82" s="58">
        <v>8655000</v>
      </c>
      <c r="BT82" s="412" t="s">
        <v>256</v>
      </c>
      <c r="BU82" s="181" t="s">
        <v>652</v>
      </c>
      <c r="BV82" s="72">
        <v>12</v>
      </c>
      <c r="BW82" s="66">
        <v>5</v>
      </c>
      <c r="BX82" s="47">
        <f>BW82/BV82</f>
        <v>0.41666666666666669</v>
      </c>
      <c r="BY82" s="58">
        <f>34620000+
500000000</f>
        <v>534620000</v>
      </c>
      <c r="BZ82" s="338">
        <f>28800000+
50000000</f>
        <v>78800000</v>
      </c>
      <c r="CA82" s="47">
        <f>BZ82/BY82</f>
        <v>0.14739441098350231</v>
      </c>
      <c r="CB82" s="321" t="s">
        <v>1030</v>
      </c>
      <c r="CC82" s="360" t="s">
        <v>1078</v>
      </c>
      <c r="CD82" s="48">
        <v>12</v>
      </c>
      <c r="CE82" s="314">
        <v>5</v>
      </c>
      <c r="CF82" s="47">
        <f>CE82/CD82</f>
        <v>0.41666666666666669</v>
      </c>
    </row>
    <row r="83" spans="1:84" ht="267" customHeight="1" x14ac:dyDescent="0.25">
      <c r="A83" s="668"/>
      <c r="B83" s="387"/>
      <c r="C83" s="672"/>
      <c r="D83" s="128" t="s">
        <v>241</v>
      </c>
      <c r="E83" s="48" t="s">
        <v>242</v>
      </c>
      <c r="F83" s="48" t="s">
        <v>243</v>
      </c>
      <c r="G83" s="48" t="s">
        <v>244</v>
      </c>
      <c r="H83" s="96" t="s">
        <v>1031</v>
      </c>
      <c r="I83" s="48">
        <v>2</v>
      </c>
      <c r="J83" s="48">
        <v>13</v>
      </c>
      <c r="K83" s="412"/>
      <c r="L83" s="412"/>
      <c r="M83" s="412"/>
      <c r="N83" s="412"/>
      <c r="O83" s="412"/>
      <c r="P83" s="412"/>
      <c r="Q83" s="125">
        <v>13</v>
      </c>
      <c r="R83" s="116">
        <v>0</v>
      </c>
      <c r="S83" s="66">
        <v>12</v>
      </c>
      <c r="T83" s="47">
        <v>1</v>
      </c>
      <c r="U83" s="58">
        <v>8655000</v>
      </c>
      <c r="V83" s="58">
        <v>8655000</v>
      </c>
      <c r="W83" s="412"/>
      <c r="X83" s="113" t="s">
        <v>490</v>
      </c>
      <c r="Y83" s="116">
        <v>0</v>
      </c>
      <c r="Z83" s="66">
        <v>12</v>
      </c>
      <c r="AA83" s="47">
        <v>1</v>
      </c>
      <c r="AB83" s="58"/>
      <c r="AC83" s="58"/>
      <c r="AD83" s="412"/>
      <c r="AE83" s="113"/>
      <c r="AF83" s="275">
        <v>12</v>
      </c>
      <c r="AG83" s="136">
        <v>12</v>
      </c>
      <c r="AH83" s="47">
        <v>1</v>
      </c>
      <c r="AI83" s="474"/>
      <c r="AJ83" s="474"/>
      <c r="AK83" s="412"/>
      <c r="AL83" s="269" t="s">
        <v>776</v>
      </c>
      <c r="AM83" s="188">
        <v>12</v>
      </c>
      <c r="AN83" s="72">
        <v>12</v>
      </c>
      <c r="AO83" s="47">
        <v>1</v>
      </c>
      <c r="AP83" s="519"/>
      <c r="AQ83" s="519"/>
      <c r="AR83" s="412"/>
      <c r="AS83" s="214" t="s">
        <v>854</v>
      </c>
      <c r="AT83" s="224">
        <v>12</v>
      </c>
      <c r="AU83" s="146">
        <v>13</v>
      </c>
      <c r="AV83" s="47">
        <v>1</v>
      </c>
      <c r="AW83" s="494"/>
      <c r="AX83" s="493"/>
      <c r="AY83" s="412"/>
      <c r="AZ83" s="232" t="s">
        <v>914</v>
      </c>
      <c r="BA83" s="208">
        <v>13</v>
      </c>
      <c r="BB83" s="154">
        <v>13</v>
      </c>
      <c r="BC83" s="47">
        <v>1</v>
      </c>
      <c r="BD83" s="444"/>
      <c r="BE83" s="444"/>
      <c r="BF83" s="412"/>
      <c r="BG83" s="221" t="s">
        <v>1039</v>
      </c>
      <c r="BH83" s="208">
        <v>0</v>
      </c>
      <c r="BI83" s="99">
        <v>0</v>
      </c>
      <c r="BJ83" s="100">
        <v>1</v>
      </c>
      <c r="BK83" s="79" t="s">
        <v>574</v>
      </c>
      <c r="BL83" s="79" t="s">
        <v>575</v>
      </c>
      <c r="BM83" s="481"/>
      <c r="BN83" s="187" t="s">
        <v>576</v>
      </c>
      <c r="BO83" s="116">
        <v>0</v>
      </c>
      <c r="BP83" s="66">
        <v>12</v>
      </c>
      <c r="BQ83" s="47">
        <v>1</v>
      </c>
      <c r="BR83" s="58">
        <v>8655000</v>
      </c>
      <c r="BS83" s="58">
        <v>8655000</v>
      </c>
      <c r="BT83" s="412"/>
      <c r="BU83" s="113" t="s">
        <v>653</v>
      </c>
      <c r="BV83" s="72">
        <v>12</v>
      </c>
      <c r="BW83" s="66">
        <v>12</v>
      </c>
      <c r="BX83" s="47">
        <v>1</v>
      </c>
      <c r="BY83" s="58">
        <v>34620000</v>
      </c>
      <c r="BZ83" s="338">
        <v>28800000</v>
      </c>
      <c r="CA83" s="47">
        <f>BZ83/BY83</f>
        <v>0.83188908145580587</v>
      </c>
      <c r="CB83" s="96" t="s">
        <v>1031</v>
      </c>
      <c r="CC83" s="355" t="s">
        <v>1079</v>
      </c>
      <c r="CD83" s="48">
        <v>13</v>
      </c>
      <c r="CE83" s="66">
        <v>13</v>
      </c>
      <c r="CF83" s="47">
        <f>CE83/CD83</f>
        <v>1</v>
      </c>
    </row>
    <row r="84" spans="1:84" ht="236.25" customHeight="1" x14ac:dyDescent="0.25">
      <c r="A84" s="668"/>
      <c r="B84" s="387"/>
      <c r="C84" s="672"/>
      <c r="D84" s="128" t="s">
        <v>245</v>
      </c>
      <c r="E84" s="48" t="s">
        <v>246</v>
      </c>
      <c r="F84" s="48" t="s">
        <v>247</v>
      </c>
      <c r="G84" s="48" t="s">
        <v>248</v>
      </c>
      <c r="H84" s="96" t="s">
        <v>1031</v>
      </c>
      <c r="I84" s="48">
        <v>12</v>
      </c>
      <c r="J84" s="48">
        <v>13</v>
      </c>
      <c r="K84" s="412"/>
      <c r="L84" s="412"/>
      <c r="M84" s="412"/>
      <c r="N84" s="412"/>
      <c r="O84" s="412"/>
      <c r="P84" s="412"/>
      <c r="Q84" s="125">
        <v>13</v>
      </c>
      <c r="R84" s="116">
        <v>12</v>
      </c>
      <c r="S84" s="66">
        <v>12</v>
      </c>
      <c r="T84" s="34">
        <f t="shared" ref="T84" si="9">(S84/R84)*1</f>
        <v>1</v>
      </c>
      <c r="U84" s="58">
        <v>8655000</v>
      </c>
      <c r="V84" s="58">
        <v>8655000</v>
      </c>
      <c r="W84" s="412"/>
      <c r="X84" s="113" t="s">
        <v>487</v>
      </c>
      <c r="Y84" s="116">
        <v>12</v>
      </c>
      <c r="Z84" s="66">
        <v>12</v>
      </c>
      <c r="AA84" s="34">
        <f t="shared" ref="AA84" si="10">(Z84/Y84)*1</f>
        <v>1</v>
      </c>
      <c r="AB84" s="58"/>
      <c r="AC84" s="58"/>
      <c r="AD84" s="412"/>
      <c r="AE84" s="113"/>
      <c r="AF84" s="275">
        <v>13</v>
      </c>
      <c r="AG84" s="136">
        <v>5</v>
      </c>
      <c r="AH84" s="34">
        <f t="shared" ref="AH84" si="11">(AG84/AF84)*1</f>
        <v>0.38461538461538464</v>
      </c>
      <c r="AI84" s="474"/>
      <c r="AJ84" s="474"/>
      <c r="AK84" s="412"/>
      <c r="AL84" s="269" t="s">
        <v>777</v>
      </c>
      <c r="AM84" s="188">
        <v>13</v>
      </c>
      <c r="AN84" s="72">
        <v>10</v>
      </c>
      <c r="AO84" s="34">
        <f t="shared" ref="AO84" si="12">(AN84/AM84)*1</f>
        <v>0.76923076923076927</v>
      </c>
      <c r="AP84" s="519"/>
      <c r="AQ84" s="519"/>
      <c r="AR84" s="412"/>
      <c r="AS84" s="214" t="s">
        <v>855</v>
      </c>
      <c r="AT84" s="224">
        <v>13</v>
      </c>
      <c r="AU84" s="146">
        <v>11</v>
      </c>
      <c r="AV84" s="34">
        <f t="shared" ref="AV84" si="13">(AU84/AT84)*1</f>
        <v>0.84615384615384615</v>
      </c>
      <c r="AW84" s="494"/>
      <c r="AX84" s="493"/>
      <c r="AY84" s="412"/>
      <c r="AZ84" s="232" t="s">
        <v>915</v>
      </c>
      <c r="BA84" s="208">
        <v>12</v>
      </c>
      <c r="BB84" s="154">
        <v>12</v>
      </c>
      <c r="BC84" s="34">
        <f t="shared" ref="BC84" si="14">(BB84/BA84)*1</f>
        <v>1</v>
      </c>
      <c r="BD84" s="444"/>
      <c r="BE84" s="444"/>
      <c r="BF84" s="412"/>
      <c r="BG84" s="221" t="s">
        <v>975</v>
      </c>
      <c r="BH84" s="208">
        <v>11</v>
      </c>
      <c r="BI84" s="99">
        <v>11</v>
      </c>
      <c r="BJ84" s="75">
        <f t="shared" ref="BJ84" si="15">(BI84/BH84)*1</f>
        <v>1</v>
      </c>
      <c r="BK84" s="79" t="s">
        <v>577</v>
      </c>
      <c r="BL84" s="79" t="s">
        <v>578</v>
      </c>
      <c r="BM84" s="481"/>
      <c r="BN84" s="187" t="s">
        <v>579</v>
      </c>
      <c r="BO84" s="116">
        <v>12</v>
      </c>
      <c r="BP84" s="66">
        <v>11</v>
      </c>
      <c r="BQ84" s="34">
        <f t="shared" ref="BQ84" si="16">(BP84/BO84)*1</f>
        <v>0.91666666666666663</v>
      </c>
      <c r="BR84" s="58">
        <v>8655000</v>
      </c>
      <c r="BS84" s="58">
        <v>8655000</v>
      </c>
      <c r="BT84" s="412"/>
      <c r="BU84" s="187" t="s">
        <v>654</v>
      </c>
      <c r="BV84" s="72">
        <v>13</v>
      </c>
      <c r="BW84" s="66">
        <v>13</v>
      </c>
      <c r="BX84" s="34">
        <f t="shared" ref="BX84" si="17">(BW84/BV84)*1</f>
        <v>1</v>
      </c>
      <c r="BY84" s="58">
        <v>34620000</v>
      </c>
      <c r="BZ84" s="338">
        <v>28850000</v>
      </c>
      <c r="CA84" s="34">
        <f>BZ84/BY84</f>
        <v>0.83333333333333337</v>
      </c>
      <c r="CB84" s="96" t="s">
        <v>1031</v>
      </c>
      <c r="CC84" s="355" t="s">
        <v>1080</v>
      </c>
      <c r="CD84" s="48">
        <v>13</v>
      </c>
      <c r="CE84" s="66">
        <v>13</v>
      </c>
      <c r="CF84" s="47">
        <f>CE84/CD84</f>
        <v>1</v>
      </c>
    </row>
    <row r="85" spans="1:84" ht="211.5" customHeight="1" thickBot="1" x14ac:dyDescent="0.3">
      <c r="A85" s="669"/>
      <c r="B85" s="388"/>
      <c r="C85" s="673"/>
      <c r="D85" s="132" t="s">
        <v>249</v>
      </c>
      <c r="E85" s="67" t="s">
        <v>250</v>
      </c>
      <c r="F85" s="67" t="s">
        <v>251</v>
      </c>
      <c r="G85" s="67" t="s">
        <v>248</v>
      </c>
      <c r="H85" s="322" t="s">
        <v>1031</v>
      </c>
      <c r="I85" s="67">
        <v>0</v>
      </c>
      <c r="J85" s="67">
        <v>13</v>
      </c>
      <c r="K85" s="479"/>
      <c r="L85" s="479"/>
      <c r="M85" s="479"/>
      <c r="N85" s="479"/>
      <c r="O85" s="479"/>
      <c r="P85" s="479"/>
      <c r="Q85" s="133">
        <v>13</v>
      </c>
      <c r="R85" s="117">
        <v>13</v>
      </c>
      <c r="S85" s="118">
        <v>4</v>
      </c>
      <c r="T85" s="119">
        <f>S85/R85</f>
        <v>0.30769230769230771</v>
      </c>
      <c r="U85" s="120">
        <v>8655000</v>
      </c>
      <c r="V85" s="121">
        <v>8655000</v>
      </c>
      <c r="W85" s="479"/>
      <c r="X85" s="122" t="s">
        <v>488</v>
      </c>
      <c r="Y85" s="117">
        <v>13</v>
      </c>
      <c r="Z85" s="118">
        <v>10</v>
      </c>
      <c r="AA85" s="119">
        <f>Z85/Y85</f>
        <v>0.76923076923076927</v>
      </c>
      <c r="AB85" s="120"/>
      <c r="AC85" s="120"/>
      <c r="AD85" s="479"/>
      <c r="AE85" s="122"/>
      <c r="AF85" s="117">
        <v>13</v>
      </c>
      <c r="AG85" s="118">
        <v>4</v>
      </c>
      <c r="AH85" s="119">
        <f>AG85/AF85</f>
        <v>0.30769230769230771</v>
      </c>
      <c r="AI85" s="120">
        <v>8655000</v>
      </c>
      <c r="AJ85" s="121">
        <v>8655000</v>
      </c>
      <c r="AK85" s="479"/>
      <c r="AL85" s="122"/>
      <c r="AM85" s="117">
        <v>13</v>
      </c>
      <c r="AN85" s="118">
        <v>10</v>
      </c>
      <c r="AO85" s="119">
        <f>AN85/AM85</f>
        <v>0.76923076923076927</v>
      </c>
      <c r="AP85" s="120" t="s">
        <v>492</v>
      </c>
      <c r="AQ85" s="120" t="s">
        <v>491</v>
      </c>
      <c r="AR85" s="479"/>
      <c r="AS85" s="122" t="s">
        <v>465</v>
      </c>
      <c r="AT85" s="117">
        <v>13</v>
      </c>
      <c r="AU85" s="118">
        <v>4</v>
      </c>
      <c r="AV85" s="119">
        <f>AU85/AT85</f>
        <v>0.30769230769230771</v>
      </c>
      <c r="AW85" s="120">
        <v>8655000</v>
      </c>
      <c r="AX85" s="121">
        <v>8655000</v>
      </c>
      <c r="AY85" s="479"/>
      <c r="AZ85" s="122" t="s">
        <v>488</v>
      </c>
      <c r="BA85" s="209">
        <v>13</v>
      </c>
      <c r="BB85" s="222">
        <v>13</v>
      </c>
      <c r="BC85" s="119">
        <f>BB85/BA85</f>
        <v>1</v>
      </c>
      <c r="BD85" s="445"/>
      <c r="BE85" s="445"/>
      <c r="BF85" s="479"/>
      <c r="BG85" s="223" t="s">
        <v>976</v>
      </c>
      <c r="BH85" s="209">
        <v>13</v>
      </c>
      <c r="BI85" s="155">
        <v>7</v>
      </c>
      <c r="BJ85" s="210">
        <f>(BI85/BH85)*1</f>
        <v>0.53846153846153844</v>
      </c>
      <c r="BK85" s="211" t="s">
        <v>580</v>
      </c>
      <c r="BL85" s="212">
        <v>400</v>
      </c>
      <c r="BM85" s="587"/>
      <c r="BN85" s="213" t="s">
        <v>581</v>
      </c>
      <c r="BO85" s="117">
        <v>13</v>
      </c>
      <c r="BP85" s="118">
        <v>5</v>
      </c>
      <c r="BQ85" s="119">
        <f>BP85/BO85</f>
        <v>0.38461538461538464</v>
      </c>
      <c r="BR85" s="120">
        <v>8655000</v>
      </c>
      <c r="BS85" s="121">
        <v>8655000</v>
      </c>
      <c r="BT85" s="479"/>
      <c r="BU85" s="122" t="s">
        <v>655</v>
      </c>
      <c r="BV85" s="72">
        <v>13</v>
      </c>
      <c r="BW85" s="320">
        <v>13</v>
      </c>
      <c r="BX85" s="119">
        <f>BW85/BV85</f>
        <v>1</v>
      </c>
      <c r="BY85" s="58">
        <f>34620000+
273979122+
950000+1360000</f>
        <v>310909122</v>
      </c>
      <c r="BZ85" s="58">
        <f>28850000+
142116458+
950000+1360000</f>
        <v>173276458</v>
      </c>
      <c r="CA85" s="31">
        <f>BZ85/BY85</f>
        <v>0.55732188520348402</v>
      </c>
      <c r="CB85" s="322" t="s">
        <v>1031</v>
      </c>
      <c r="CC85" s="345" t="s">
        <v>1088</v>
      </c>
      <c r="CD85" s="67">
        <v>13</v>
      </c>
      <c r="CE85" s="66">
        <v>13</v>
      </c>
      <c r="CF85" s="47">
        <f>CE85/CD85</f>
        <v>1</v>
      </c>
    </row>
    <row r="86" spans="1:84" x14ac:dyDescent="0.25">
      <c r="C86" s="49"/>
      <c r="Q86" s="71"/>
      <c r="R86" s="29"/>
      <c r="T86" s="15"/>
      <c r="U86" s="52"/>
      <c r="V86" s="52"/>
      <c r="W86" s="2"/>
      <c r="X86" s="2"/>
      <c r="Y86" s="29"/>
      <c r="AA86" s="15"/>
      <c r="AB86" s="52"/>
      <c r="AC86" s="52"/>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row>
    <row r="87" spans="1:84" ht="15.75" thickBot="1" x14ac:dyDescent="0.3">
      <c r="Q87" s="71"/>
      <c r="R87" s="29"/>
      <c r="S87" s="29"/>
      <c r="T87" s="15"/>
      <c r="U87" s="52"/>
      <c r="V87" s="52"/>
      <c r="W87" s="2"/>
      <c r="X87" s="2"/>
      <c r="Y87" s="29"/>
      <c r="Z87" s="29"/>
      <c r="AA87" s="15"/>
      <c r="AB87" s="52"/>
      <c r="AC87" s="52"/>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336">
        <f>AVERAGE(BX4:BX85)</f>
        <v>0.72294908925318746</v>
      </c>
      <c r="BZ87" t="s">
        <v>1033</v>
      </c>
      <c r="CA87" s="330">
        <f>AVERAGE(CA4:CA85)</f>
        <v>0.52647452829838126</v>
      </c>
      <c r="CD87" t="s">
        <v>987</v>
      </c>
      <c r="CF87" s="334">
        <f>AVERAGE(CF4:CF85)</f>
        <v>0.63492076502732242</v>
      </c>
    </row>
    <row r="88" spans="1:84" x14ac:dyDescent="0.25">
      <c r="Q88" s="71"/>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381"/>
      <c r="BV88" s="381"/>
      <c r="BW88" s="381"/>
      <c r="BX88" s="317"/>
    </row>
    <row r="89" spans="1:84" x14ac:dyDescent="0.25">
      <c r="Q89" s="71"/>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84" x14ac:dyDescent="0.25">
      <c r="Q90" s="71"/>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84" x14ac:dyDescent="0.25">
      <c r="Q91" s="71"/>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84" x14ac:dyDescent="0.25">
      <c r="Q92" s="71"/>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84" x14ac:dyDescent="0.25">
      <c r="Q93" s="71"/>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84" x14ac:dyDescent="0.25">
      <c r="Q94" s="71"/>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84" x14ac:dyDescent="0.25">
      <c r="Q95" s="71"/>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84" x14ac:dyDescent="0.25">
      <c r="Q96" s="71"/>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71"/>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71"/>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71"/>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71"/>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71"/>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71"/>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71"/>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71"/>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71"/>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71"/>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71"/>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71"/>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71"/>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543">
    <mergeCell ref="A1:Q1"/>
    <mergeCell ref="D42:D43"/>
    <mergeCell ref="E42:E43"/>
    <mergeCell ref="CD19:CD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V1:CC1"/>
    <mergeCell ref="BV2:BV3"/>
    <mergeCell ref="BW2:BW3"/>
    <mergeCell ref="BX2:BX3"/>
    <mergeCell ref="BY2:BY3"/>
    <mergeCell ref="BZ2:BZ3"/>
    <mergeCell ref="CB2:CB3"/>
    <mergeCell ref="CC2:CC3"/>
    <mergeCell ref="BM82:BM85"/>
    <mergeCell ref="BT82:BT85"/>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BM78:BM81"/>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BX37:BX39"/>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CF80:CF81"/>
    <mergeCell ref="CE27:CE28"/>
    <mergeCell ref="CD27:CD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BV53:BV54"/>
    <mergeCell ref="CE53:CE54"/>
    <mergeCell ref="CF2:CF3"/>
    <mergeCell ref="CF9:CF11"/>
    <mergeCell ref="CF14:CF15"/>
    <mergeCell ref="CF21:CF24"/>
    <mergeCell ref="CF37:CF39"/>
    <mergeCell ref="CF44:CF45"/>
    <mergeCell ref="CF46:CF47"/>
    <mergeCell ref="CF51:CF52"/>
    <mergeCell ref="CF53:CF54"/>
    <mergeCell ref="CF66:CF67"/>
    <mergeCell ref="CF71:CF73"/>
    <mergeCell ref="CF75:CF77"/>
    <mergeCell ref="CC46:CC47"/>
    <mergeCell ref="CF19:CF20"/>
    <mergeCell ref="CF56:CF57"/>
    <mergeCell ref="CF28:CF29"/>
    <mergeCell ref="CC75:CC77"/>
    <mergeCell ref="BU88:BW88"/>
    <mergeCell ref="CE66:CE67"/>
    <mergeCell ref="CE71:CE73"/>
    <mergeCell ref="CE75:CE77"/>
    <mergeCell ref="CE80:CE81"/>
    <mergeCell ref="CD1:CF1"/>
    <mergeCell ref="CE2:CE3"/>
    <mergeCell ref="CA2:CA3"/>
    <mergeCell ref="CE9:CE11"/>
    <mergeCell ref="CE14:CE15"/>
    <mergeCell ref="CE19:CE20"/>
    <mergeCell ref="CE21:CE24"/>
    <mergeCell ref="CE37:CE39"/>
    <mergeCell ref="CE44:CE45"/>
    <mergeCell ref="CE51:CE52"/>
    <mergeCell ref="CE56:CE57"/>
    <mergeCell ref="CE46:CE47"/>
    <mergeCell ref="CD2:CD3"/>
    <mergeCell ref="CD9:CD11"/>
    <mergeCell ref="CD14:CD15"/>
    <mergeCell ref="CD21:CD24"/>
    <mergeCell ref="CD37:CD39"/>
    <mergeCell ref="CD44:CD45"/>
    <mergeCell ref="CD46:CD47"/>
    <mergeCell ref="CD51:CD52"/>
    <mergeCell ref="CD53:CD54"/>
    <mergeCell ref="CD56:CD57"/>
    <mergeCell ref="CD66:CD67"/>
    <mergeCell ref="CD71:CD73"/>
    <mergeCell ref="CA9:CA11"/>
    <mergeCell ref="CD75:CD77"/>
    <mergeCell ref="CD80:CD81"/>
  </mergeCells>
  <conditionalFormatting sqref="AA4:AA85">
    <cfRule type="cellIs" dxfId="54" priority="97" stopIfTrue="1" operator="between">
      <formula>0.8</formula>
      <formula>1.01</formula>
    </cfRule>
    <cfRule type="cellIs" dxfId="53" priority="98" stopIfTrue="1" operator="between">
      <formula>0.7</formula>
      <formula>0.79</formula>
    </cfRule>
    <cfRule type="cellIs" dxfId="52" priority="99" stopIfTrue="1" operator="between">
      <formula>0.6</formula>
      <formula>0.69</formula>
    </cfRule>
    <cfRule type="cellIs" dxfId="51" priority="100" stopIfTrue="1" operator="between">
      <formula>0.4</formula>
      <formula>0.59</formula>
    </cfRule>
    <cfRule type="cellIs" dxfId="50" priority="101" stopIfTrue="1" operator="between">
      <formula>0</formula>
      <formula>0.39</formula>
    </cfRule>
  </conditionalFormatting>
  <conditionalFormatting sqref="T4:T85">
    <cfRule type="cellIs" dxfId="49" priority="82" stopIfTrue="1" operator="between">
      <formula>0.8</formula>
      <formula>1.01</formula>
    </cfRule>
    <cfRule type="cellIs" dxfId="48" priority="83" stopIfTrue="1" operator="between">
      <formula>0.7</formula>
      <formula>0.79</formula>
    </cfRule>
    <cfRule type="cellIs" dxfId="47" priority="84" stopIfTrue="1" operator="between">
      <formula>0.6</formula>
      <formula>0.69</formula>
    </cfRule>
    <cfRule type="cellIs" dxfId="46" priority="85" stopIfTrue="1" operator="between">
      <formula>0.4</formula>
      <formula>0.59</formula>
    </cfRule>
    <cfRule type="cellIs" dxfId="45" priority="86" stopIfTrue="1" operator="between">
      <formula>0</formula>
      <formula>0.39</formula>
    </cfRule>
  </conditionalFormatting>
  <conditionalFormatting sqref="AO4:AO85">
    <cfRule type="cellIs" dxfId="44" priority="77" stopIfTrue="1" operator="between">
      <formula>0.8</formula>
      <formula>1.01</formula>
    </cfRule>
    <cfRule type="cellIs" dxfId="43" priority="78" stopIfTrue="1" operator="between">
      <formula>0.7</formula>
      <formula>0.79</formula>
    </cfRule>
    <cfRule type="cellIs" dxfId="42" priority="79" stopIfTrue="1" operator="between">
      <formula>0.6</formula>
      <formula>0.69</formula>
    </cfRule>
    <cfRule type="cellIs" dxfId="41" priority="80" stopIfTrue="1" operator="between">
      <formula>0.4</formula>
      <formula>0.59</formula>
    </cfRule>
    <cfRule type="cellIs" dxfId="40" priority="81" stopIfTrue="1" operator="between">
      <formula>0</formula>
      <formula>0.39</formula>
    </cfRule>
  </conditionalFormatting>
  <conditionalFormatting sqref="AH4:AH85">
    <cfRule type="cellIs" dxfId="39" priority="72" stopIfTrue="1" operator="between">
      <formula>0.8</formula>
      <formula>1.01</formula>
    </cfRule>
    <cfRule type="cellIs" dxfId="38" priority="73" stopIfTrue="1" operator="between">
      <formula>0.7</formula>
      <formula>0.79</formula>
    </cfRule>
    <cfRule type="cellIs" dxfId="37" priority="74" stopIfTrue="1" operator="between">
      <formula>0.6</formula>
      <formula>0.69</formula>
    </cfRule>
    <cfRule type="cellIs" dxfId="36" priority="75" stopIfTrue="1" operator="between">
      <formula>0.4</formula>
      <formula>0.59</formula>
    </cfRule>
    <cfRule type="cellIs" dxfId="35" priority="76" stopIfTrue="1" operator="between">
      <formula>0</formula>
      <formula>0.39</formula>
    </cfRule>
  </conditionalFormatting>
  <conditionalFormatting sqref="BC4:BC85">
    <cfRule type="cellIs" dxfId="34" priority="67" stopIfTrue="1" operator="between">
      <formula>0.8</formula>
      <formula>1.01</formula>
    </cfRule>
    <cfRule type="cellIs" dxfId="33" priority="68" stopIfTrue="1" operator="between">
      <formula>0.7</formula>
      <formula>0.79</formula>
    </cfRule>
    <cfRule type="cellIs" dxfId="32" priority="69" stopIfTrue="1" operator="between">
      <formula>0.6</formula>
      <formula>0.69</formula>
    </cfRule>
    <cfRule type="cellIs" dxfId="31" priority="70" stopIfTrue="1" operator="between">
      <formula>0.4</formula>
      <formula>0.59</formula>
    </cfRule>
    <cfRule type="cellIs" dxfId="30" priority="71" stopIfTrue="1" operator="between">
      <formula>0</formula>
      <formula>0.39</formula>
    </cfRule>
  </conditionalFormatting>
  <conditionalFormatting sqref="AV4:AV85">
    <cfRule type="cellIs" dxfId="29" priority="62" stopIfTrue="1" operator="between">
      <formula>0.8</formula>
      <formula>1.01</formula>
    </cfRule>
    <cfRule type="cellIs" dxfId="28" priority="63" stopIfTrue="1" operator="between">
      <formula>0.7</formula>
      <formula>0.79</formula>
    </cfRule>
    <cfRule type="cellIs" dxfId="27" priority="64" stopIfTrue="1" operator="between">
      <formula>0.6</formula>
      <formula>0.69</formula>
    </cfRule>
    <cfRule type="cellIs" dxfId="26" priority="65" stopIfTrue="1" operator="between">
      <formula>0.4</formula>
      <formula>0.59</formula>
    </cfRule>
    <cfRule type="cellIs" dxfId="25" priority="66" stopIfTrue="1" operator="between">
      <formula>0</formula>
      <formula>0.39</formula>
    </cfRule>
  </conditionalFormatting>
  <conditionalFormatting sqref="BJ2:BJ85">
    <cfRule type="cellIs" dxfId="24" priority="47" operator="between">
      <formula>0.8</formula>
      <formula>1.01</formula>
    </cfRule>
    <cfRule type="cellIs" dxfId="23" priority="48" operator="between">
      <formula>0.7</formula>
      <formula>0.79</formula>
    </cfRule>
    <cfRule type="cellIs" dxfId="22" priority="49" operator="between">
      <formula>0.6</formula>
      <formula>0.69</formula>
    </cfRule>
    <cfRule type="cellIs" dxfId="21" priority="50" operator="between">
      <formula>0.4</formula>
      <formula>0.59</formula>
    </cfRule>
    <cfRule type="cellIs" dxfId="20" priority="51" operator="between">
      <formula>0</formula>
      <formula>0.39</formula>
    </cfRule>
  </conditionalFormatting>
  <conditionalFormatting sqref="BQ4:BQ85">
    <cfRule type="cellIs" dxfId="19" priority="42" stopIfTrue="1" operator="between">
      <formula>0.8</formula>
      <formula>1.01</formula>
    </cfRule>
    <cfRule type="cellIs" dxfId="18" priority="43" stopIfTrue="1" operator="between">
      <formula>0.7</formula>
      <formula>0.79</formula>
    </cfRule>
    <cfRule type="cellIs" dxfId="17" priority="44" stopIfTrue="1" operator="between">
      <formula>0.6</formula>
      <formula>0.69</formula>
    </cfRule>
    <cfRule type="cellIs" dxfId="16" priority="45" stopIfTrue="1" operator="between">
      <formula>0.4</formula>
      <formula>0.59</formula>
    </cfRule>
    <cfRule type="cellIs" dxfId="15" priority="46" stopIfTrue="1" operator="between">
      <formula>0</formula>
      <formula>0.39</formula>
    </cfRule>
  </conditionalFormatting>
  <conditionalFormatting sqref="BX4:BX85">
    <cfRule type="cellIs" dxfId="14" priority="37" stopIfTrue="1" operator="between">
      <formula>0.8</formula>
      <formula>1.01</formula>
    </cfRule>
    <cfRule type="cellIs" dxfId="13" priority="38" stopIfTrue="1" operator="between">
      <formula>0.7</formula>
      <formula>0.79</formula>
    </cfRule>
    <cfRule type="cellIs" dxfId="12" priority="39" stopIfTrue="1" operator="between">
      <formula>0.6</formula>
      <formula>0.69</formula>
    </cfRule>
    <cfRule type="cellIs" dxfId="11" priority="40" stopIfTrue="1" operator="between">
      <formula>0.4</formula>
      <formula>0.59</formula>
    </cfRule>
    <cfRule type="cellIs" dxfId="10" priority="41" stopIfTrue="1" operator="between">
      <formula>0</formula>
      <formula>0.39</formula>
    </cfRule>
  </conditionalFormatting>
  <conditionalFormatting sqref="CF4:CF7 CF9:CF16 CF18 CF21:CF27 CF58:CF60 CF62 CF30:CF49 CF51:CF55 CF64:CF85">
    <cfRule type="cellIs" dxfId="9" priority="17" stopIfTrue="1" operator="between">
      <formula>0.8</formula>
      <formula>1.01</formula>
    </cfRule>
    <cfRule type="cellIs" dxfId="8" priority="18" stopIfTrue="1" operator="between">
      <formula>0.7</formula>
      <formula>0.79</formula>
    </cfRule>
    <cfRule type="cellIs" dxfId="7" priority="19" stopIfTrue="1" operator="between">
      <formula>0.6</formula>
      <formula>0.69</formula>
    </cfRule>
    <cfRule type="cellIs" dxfId="6" priority="20" stopIfTrue="1" operator="between">
      <formula>0.4</formula>
      <formula>0.59</formula>
    </cfRule>
    <cfRule type="cellIs" dxfId="5" priority="21" stopIfTrue="1" operator="between">
      <formula>0</formula>
      <formula>0.39</formula>
    </cfRule>
  </conditionalFormatting>
  <conditionalFormatting sqref="CA1:CA3 CA86:CA1048576">
    <cfRule type="cellIs" priority="6" operator="between">
      <formula>1</formula>
      <formula>100</formula>
    </cfRule>
  </conditionalFormatting>
  <conditionalFormatting sqref="CA4:CA85">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stopIfTrue="1" operator="between">
      <formula>0</formula>
      <formula>0.39</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zoomScale="90" zoomScaleNormal="90" workbookViewId="0">
      <selection activeCell="B8" sqref="B8"/>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285</v>
      </c>
      <c r="B2" s="6" t="s">
        <v>286</v>
      </c>
    </row>
    <row r="3" spans="1:4" ht="15.75" thickBot="1" x14ac:dyDescent="0.3">
      <c r="A3" s="7" t="s">
        <v>412</v>
      </c>
      <c r="B3" s="8">
        <v>15</v>
      </c>
      <c r="D3" s="335"/>
    </row>
    <row r="4" spans="1:4" ht="15.75" thickBot="1" x14ac:dyDescent="0.3">
      <c r="A4" s="9" t="s">
        <v>406</v>
      </c>
      <c r="B4" s="8">
        <v>5</v>
      </c>
      <c r="D4" s="335"/>
    </row>
    <row r="5" spans="1:4" ht="15.75" thickBot="1" x14ac:dyDescent="0.3">
      <c r="A5" s="10" t="s">
        <v>407</v>
      </c>
      <c r="B5" s="8">
        <v>3</v>
      </c>
      <c r="D5" s="335"/>
    </row>
    <row r="6" spans="1:4" ht="15.75" thickBot="1" x14ac:dyDescent="0.3">
      <c r="A6" s="11" t="s">
        <v>408</v>
      </c>
      <c r="B6" s="8">
        <v>4</v>
      </c>
      <c r="D6" s="335"/>
    </row>
    <row r="7" spans="1:4" ht="15.75" thickBot="1" x14ac:dyDescent="0.3">
      <c r="A7" s="12" t="s">
        <v>409</v>
      </c>
      <c r="B7" s="8">
        <v>34</v>
      </c>
      <c r="D7" s="335"/>
    </row>
    <row r="9" spans="1:4" x14ac:dyDescent="0.25">
      <c r="B9" s="4">
        <f>SUM(B3:B7)</f>
        <v>61</v>
      </c>
    </row>
    <row r="27" spans="1:9" ht="15.75" thickBot="1" x14ac:dyDescent="0.3"/>
    <row r="28" spans="1:9" ht="15.75" thickBot="1" x14ac:dyDescent="0.3">
      <c r="A28" s="686" t="s">
        <v>414</v>
      </c>
      <c r="B28" s="688" t="s">
        <v>415</v>
      </c>
      <c r="C28" s="688" t="s">
        <v>4</v>
      </c>
      <c r="D28" s="690" t="s">
        <v>986</v>
      </c>
      <c r="E28" s="691"/>
      <c r="F28" s="691"/>
      <c r="G28" s="691"/>
      <c r="H28" s="691"/>
      <c r="I28" s="692"/>
    </row>
    <row r="29" spans="1:9" ht="31.5" customHeight="1" thickBot="1" x14ac:dyDescent="0.3">
      <c r="A29" s="687"/>
      <c r="B29" s="689"/>
      <c r="C29" s="689"/>
      <c r="D29" s="17" t="s">
        <v>405</v>
      </c>
      <c r="E29" s="17" t="s">
        <v>406</v>
      </c>
      <c r="F29" s="17" t="s">
        <v>407</v>
      </c>
      <c r="G29" s="17" t="s">
        <v>408</v>
      </c>
      <c r="H29" s="17" t="s">
        <v>409</v>
      </c>
      <c r="I29" s="18" t="s">
        <v>410</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12</v>
      </c>
      <c r="E31" s="23">
        <v>3</v>
      </c>
      <c r="F31" s="27">
        <v>3</v>
      </c>
      <c r="G31" s="24">
        <v>2</v>
      </c>
      <c r="H31" s="25">
        <v>24</v>
      </c>
      <c r="I31" s="26">
        <f>SUM(D31:H31)</f>
        <v>44</v>
      </c>
    </row>
    <row r="32" spans="1:9" ht="26.25" thickBot="1" x14ac:dyDescent="0.3">
      <c r="A32" s="19">
        <v>3</v>
      </c>
      <c r="B32" s="20" t="s">
        <v>204</v>
      </c>
      <c r="C32" s="21">
        <v>4</v>
      </c>
      <c r="D32" s="22"/>
      <c r="E32" s="23">
        <v>1</v>
      </c>
      <c r="F32" s="27"/>
      <c r="G32" s="24"/>
      <c r="H32" s="25">
        <v>3</v>
      </c>
      <c r="I32" s="26">
        <f t="shared" ref="I32:I34" si="0">SUM(D32:H32)</f>
        <v>4</v>
      </c>
    </row>
    <row r="33" spans="1:9" ht="26.25" thickBot="1" x14ac:dyDescent="0.3">
      <c r="A33" s="19">
        <v>4</v>
      </c>
      <c r="B33" s="20" t="s">
        <v>221</v>
      </c>
      <c r="C33" s="21">
        <v>3</v>
      </c>
      <c r="D33" s="22"/>
      <c r="E33" s="23">
        <v>1</v>
      </c>
      <c r="F33" s="13"/>
      <c r="G33" s="24">
        <v>1</v>
      </c>
      <c r="H33" s="25">
        <v>1</v>
      </c>
      <c r="I33" s="26">
        <f t="shared" si="0"/>
        <v>3</v>
      </c>
    </row>
    <row r="34" spans="1:9" ht="26.25" thickBot="1" x14ac:dyDescent="0.3">
      <c r="A34" s="19">
        <v>5</v>
      </c>
      <c r="B34" s="20" t="s">
        <v>411</v>
      </c>
      <c r="C34" s="21">
        <v>4</v>
      </c>
      <c r="D34" s="50">
        <v>1</v>
      </c>
      <c r="E34" s="23"/>
      <c r="F34" s="27"/>
      <c r="G34" s="24"/>
      <c r="H34" s="25">
        <v>3</v>
      </c>
      <c r="I34" s="26">
        <f t="shared" si="0"/>
        <v>4</v>
      </c>
    </row>
    <row r="35" spans="1:9" ht="15.75" thickBot="1" x14ac:dyDescent="0.3">
      <c r="A35" s="693" t="s">
        <v>416</v>
      </c>
      <c r="B35" s="694"/>
      <c r="C35" s="695"/>
      <c r="D35" s="28">
        <f>SUM(D30:D34)</f>
        <v>15</v>
      </c>
      <c r="E35" s="28">
        <f t="shared" ref="E35:G35" si="1">SUM(E30:E34)</f>
        <v>5</v>
      </c>
      <c r="F35" s="28">
        <f t="shared" si="1"/>
        <v>3</v>
      </c>
      <c r="G35" s="28">
        <f t="shared" si="1"/>
        <v>4</v>
      </c>
      <c r="H35" s="28">
        <f>SUM(H30:H34)</f>
        <v>34</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Laura</cp:lastModifiedBy>
  <dcterms:created xsi:type="dcterms:W3CDTF">2018-04-05T13:35:29Z</dcterms:created>
  <dcterms:modified xsi:type="dcterms:W3CDTF">2023-11-28T20:43:17Z</dcterms:modified>
</cp:coreProperties>
</file>