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sebas\Downloads\"/>
    </mc:Choice>
  </mc:AlternateContent>
  <xr:revisionPtr revIDLastSave="0" documentId="13_ncr:1_{97AB79C9-C736-446F-881F-EE43681C7954}" xr6:coauthVersionLast="47" xr6:coauthVersionMax="47" xr10:uidLastSave="{00000000-0000-0000-0000-000000000000}"/>
  <bookViews>
    <workbookView xWindow="-108" yWindow="-108" windowWidth="23256" windowHeight="12456" xr2:uid="{00000000-000D-0000-FFFF-FFFF00000000}"/>
  </bookViews>
  <sheets>
    <sheet name="Matriz Seguimiento" sheetId="2" r:id="rId1"/>
    <sheet name="GRAFICOS" sheetId="4" r:id="rId2"/>
  </sheets>
  <definedNames>
    <definedName name="_xlnm._FilterDatabase" localSheetId="0" hidden="1">'Matriz Seguimiento'!$G$3:$AJ$42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6" i="2" l="1"/>
  <c r="AG23" i="2"/>
  <c r="AG6" i="2"/>
  <c r="AJ35" i="2"/>
  <c r="AJ33" i="2"/>
  <c r="AG21" i="2" l="1"/>
  <c r="AM21" i="2" l="1"/>
  <c r="AG10" i="2" l="1"/>
  <c r="AM10" i="2"/>
  <c r="AM29" i="2"/>
  <c r="AM11" i="2"/>
  <c r="Z39" i="2"/>
  <c r="AM15" i="2"/>
  <c r="AN15" i="2" s="1"/>
  <c r="AC15" i="2" l="1"/>
  <c r="AC14" i="2"/>
  <c r="AC5" i="2" l="1"/>
  <c r="Z5" i="2"/>
  <c r="AM35" i="2"/>
  <c r="AM33" i="2"/>
  <c r="AM30" i="2"/>
  <c r="AM27" i="2"/>
  <c r="AM26" i="2"/>
  <c r="AM23" i="2"/>
  <c r="AM22" i="2"/>
  <c r="AM18" i="2"/>
  <c r="AN18" i="2" s="1"/>
  <c r="AM17" i="2"/>
  <c r="AN17" i="2" s="1"/>
  <c r="AM13" i="2"/>
  <c r="AN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J34" i="2" s="1"/>
  <c r="AH34" i="2"/>
  <c r="AI23" i="2"/>
  <c r="AJ23" i="2" s="1"/>
  <c r="AH23" i="2"/>
  <c r="AN26" i="2" l="1"/>
  <c r="AJ24" i="2" l="1"/>
  <c r="AN22" i="2" l="1"/>
  <c r="AN21" i="2" l="1"/>
  <c r="AN20" i="2"/>
  <c r="AN41" i="2" l="1"/>
  <c r="AI25" i="2" l="1"/>
  <c r="AH25" i="2"/>
  <c r="AN28" i="2"/>
  <c r="AN29" i="2"/>
  <c r="AN30" i="2"/>
  <c r="AN31" i="2"/>
  <c r="AN32" i="2"/>
  <c r="AN33" i="2"/>
  <c r="AN34" i="2"/>
  <c r="AN35" i="2"/>
  <c r="AN36" i="2"/>
  <c r="AN37" i="2"/>
  <c r="AN38" i="2"/>
  <c r="AN39" i="2"/>
  <c r="AN40" i="2"/>
  <c r="AN42" i="2"/>
  <c r="AN27" i="2"/>
  <c r="AN23" i="2"/>
  <c r="AN16" i="2"/>
  <c r="AJ25" i="2" l="1"/>
  <c r="AN14" i="2"/>
  <c r="AN13" i="2"/>
  <c r="AN6" i="2"/>
  <c r="AI5" i="2" l="1"/>
  <c r="AH5" i="2"/>
  <c r="AJ5" i="2" l="1"/>
  <c r="AI14" i="2"/>
  <c r="AH14" i="2"/>
  <c r="AI16" i="2"/>
  <c r="AH16" i="2"/>
  <c r="AJ16" i="2" l="1"/>
  <c r="AJ14" i="2"/>
  <c r="AG41" i="2"/>
  <c r="AG39" i="2"/>
  <c r="AI20" i="2" l="1"/>
  <c r="AH20" i="2"/>
  <c r="AI10" i="2"/>
  <c r="AH10" i="2"/>
  <c r="AH6" i="2"/>
  <c r="AI6" i="2"/>
  <c r="AJ6" i="2" s="1"/>
  <c r="AJ10" i="2" l="1"/>
  <c r="AJ20" i="2"/>
  <c r="AG4"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AN11" i="2" s="1"/>
  <c r="N12" i="2"/>
  <c r="AN12" i="2" s="1"/>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AN9" i="2" l="1"/>
  <c r="AN8" i="2"/>
  <c r="AN19" i="2"/>
  <c r="F8" i="4"/>
  <c r="I8" i="4"/>
  <c r="H8" i="4"/>
  <c r="G8" i="4"/>
  <c r="O5" i="4" s="1"/>
  <c r="E8" i="4"/>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s>
  <commentList>
    <comment ref="AO21" authorId="0" shapeId="0" xr:uid="{A30C1DFD-D421-4BBB-80E2-D42FBB9E316C}">
      <text>
        <r>
          <rPr>
            <b/>
            <sz val="22"/>
            <color indexed="81"/>
            <rFont val="Tahoma"/>
            <family val="2"/>
          </rPr>
          <t xml:space="preserve">Laura: 
</t>
        </r>
        <r>
          <rPr>
            <sz val="22"/>
            <color indexed="81"/>
            <rFont val="Tahoma"/>
            <family val="2"/>
          </rPr>
          <t>actualizar a 
2023</t>
        </r>
      </text>
    </comment>
    <comment ref="AO33" authorId="0" shapeId="0" xr:uid="{24238D34-0710-452F-BE5C-EEE4526DA2F1}">
      <text>
        <r>
          <rPr>
            <b/>
            <sz val="22"/>
            <color indexed="81"/>
            <rFont val="Tahoma"/>
            <family val="2"/>
          </rPr>
          <t>Laura:</t>
        </r>
        <r>
          <rPr>
            <sz val="22"/>
            <color indexed="81"/>
            <rFont val="Tahoma"/>
            <family val="2"/>
          </rPr>
          <t xml:space="preserve">
actualizar al 2023</t>
        </r>
      </text>
    </comment>
  </commentList>
</comments>
</file>

<file path=xl/sharedStrings.xml><?xml version="1.0" encoding="utf-8"?>
<sst xmlns="http://schemas.openxmlformats.org/spreadsheetml/2006/main" count="556" uniqueCount="412">
  <si>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</si>
  <si>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</si>
  <si>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</si>
  <si>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</si>
  <si>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</si>
  <si>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</si>
  <si>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</si>
  <si>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</si>
  <si>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</si>
  <si>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</si>
  <si>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</si>
  <si>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</si>
  <si>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</si>
  <si>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</si>
  <si>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</si>
  <si>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</si>
  <si>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</si>
  <si>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</si>
  <si>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</si>
  <si>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</si>
  <si>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</si>
  <si>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</si>
  <si>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</si>
  <si>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</si>
  <si>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</si>
  <si>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</si>
  <si>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</si>
  <si>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</si>
  <si>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</si>
  <si>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</si>
  <si>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</si>
  <si>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</si>
  <si>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</si>
  <si>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</si>
  <si>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</si>
  <si>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</si>
  <si>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</si>
  <si>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</si>
  <si>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</si>
  <si>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</si>
  <si>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</si>
  <si>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</si>
  <si>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</si>
  <si>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</si>
  <si>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</si>
  <si>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</si>
  <si>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</si>
  <si>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</si>
  <si>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</si>
  <si>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</si>
  <si>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</si>
  <si>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</si>
  <si>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</si>
  <si>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</si>
  <si>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</si>
  <si>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</si>
  <si>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</si>
  <si>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</si>
  <si>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</si>
  <si>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</si>
  <si>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</si>
  <si>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</si>
  <si>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</si>
  <si>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</si>
  <si>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</si>
  <si>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</si>
  <si>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</si>
  <si>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</si>
  <si>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</si>
  <si>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</si>
  <si>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</si>
  <si>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</si>
  <si>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</si>
  <si>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</si>
  <si>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</si>
  <si>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</si>
  <si>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</si>
  <si>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</si>
  <si>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</si>
  <si>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</si>
  <si>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</si>
  <si>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</si>
  <si>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</si>
  <si>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</si>
  <si>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</si>
  <si>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</si>
  <si>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</si>
  <si>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</si>
  <si>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</si>
  <si>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</si>
  <si>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</si>
  <si>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</si>
  <si>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</si>
  <si>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</si>
  <si>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</si>
  <si>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</si>
  <si>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</si>
  <si>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</si>
  <si>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</si>
  <si>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</si>
  <si>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</si>
  <si>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</si>
  <si>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</si>
  <si>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</si>
  <si>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</si>
  <si>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</si>
  <si>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</si>
  <si>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</si>
  <si>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</si>
  <si>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</si>
  <si>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</si>
  <si>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</si>
  <si>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</si>
  <si>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</si>
  <si>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</si>
  <si>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</si>
  <si>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</si>
  <si>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</si>
  <si>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</si>
  <si>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</si>
  <si>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</si>
  <si>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</si>
  <si>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</si>
  <si>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</si>
  <si>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</si>
  <si>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</si>
  <si>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</si>
  <si>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</si>
  <si>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</si>
  <si>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</si>
  <si>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</si>
  <si>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</si>
  <si>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</si>
  <si>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</si>
  <si>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</si>
  <si>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</si>
  <si>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</si>
  <si>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</si>
  <si>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</si>
  <si>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</si>
  <si>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</si>
  <si>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</si>
  <si>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</si>
  <si>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</si>
  <si>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</si>
  <si>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</si>
  <si>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</si>
  <si>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</si>
  <si>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</si>
  <si>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</si>
  <si>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</si>
  <si>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</si>
  <si>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</si>
  <si>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</si>
  <si>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</si>
  <si>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</si>
  <si>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</si>
  <si>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</si>
  <si>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</si>
  <si>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</si>
  <si>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</si>
  <si>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</si>
  <si>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</si>
  <si>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</si>
  <si>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</si>
  <si>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</si>
  <si>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</si>
  <si>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</si>
  <si>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</si>
  <si>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</si>
  <si>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</si>
  <si>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</si>
  <si>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</si>
  <si>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</si>
  <si>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</si>
  <si>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</si>
  <si>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</si>
  <si>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</si>
  <si>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</si>
  <si>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</si>
  <si>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</si>
  <si>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</si>
  <si>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</si>
  <si>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</si>
  <si>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</si>
  <si>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</si>
  <si>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</si>
  <si>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</si>
  <si>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</si>
  <si>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</si>
  <si>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</si>
  <si>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</si>
  <si>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</si>
  <si>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</si>
  <si>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</si>
  <si>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</si>
  <si>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</si>
  <si>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</si>
  <si>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</si>
  <si>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</si>
  <si>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</si>
  <si>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</si>
  <si>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</si>
  <si>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</si>
  <si>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</si>
  <si>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</si>
  <si>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</si>
  <si>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</si>
  <si>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</si>
  <si>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</si>
  <si>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</si>
  <si>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</si>
  <si>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</si>
  <si>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</si>
  <si>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</si>
  <si>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</si>
  <si>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</si>
  <si>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</si>
  <si>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</si>
  <si>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</si>
  <si>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</si>
  <si>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</si>
  <si>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</si>
  <si>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</si>
  <si>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</si>
  <si>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</si>
  <si>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</si>
  <si>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</si>
  <si>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</si>
  <si>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</si>
  <si>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</si>
  <si>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</si>
  <si>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</si>
  <si>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</si>
  <si>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</si>
  <si>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</si>
  <si>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</si>
  <si>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</si>
  <si>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</si>
  <si>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</si>
  <si>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</si>
  <si>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</si>
  <si>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</si>
  <si>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</si>
  <si>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</si>
  <si>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</si>
  <si>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</si>
  <si>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</si>
  <si>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</si>
  <si>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</si>
  <si>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</si>
  <si>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</si>
  <si>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</si>
  <si>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</si>
  <si>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</si>
  <si>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</si>
  <si>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</si>
  <si>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</si>
  <si>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</si>
  <si>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</si>
  <si>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</si>
  <si>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</si>
  <si>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</si>
  <si>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</si>
  <si>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</si>
  <si>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</si>
  <si>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</si>
  <si>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</si>
  <si>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</si>
  <si>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</si>
  <si>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</si>
  <si>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</si>
  <si>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</si>
  <si>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</si>
  <si>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</si>
  <si>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</si>
  <si>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</si>
  <si>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</si>
  <si>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</si>
  <si>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</si>
  <si>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</si>
  <si>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</si>
  <si>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</si>
  <si>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</si>
  <si>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</si>
  <si>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</si>
  <si>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</si>
  <si>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</si>
  <si>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</si>
  <si>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</si>
  <si>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</si>
  <si>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</si>
  <si>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</si>
  <si>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</si>
  <si>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</si>
  <si>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</si>
  <si>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</si>
  <si>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</si>
  <si>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</si>
  <si>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</si>
  <si>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</si>
  <si>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</si>
  <si>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</si>
  <si>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</si>
  <si>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</si>
  <si>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</si>
  <si>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</si>
  <si>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</si>
  <si>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</si>
  <si>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</si>
  <si>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</si>
  <si>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</si>
  <si>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</si>
  <si>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</si>
  <si>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</si>
  <si>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</si>
  <si>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</si>
  <si>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</si>
  <si>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</si>
  <si>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</si>
  <si>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</si>
  <si>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</si>
  <si>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</si>
  <si>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</si>
  <si>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</si>
  <si>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</si>
  <si>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</si>
  <si>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</si>
  <si>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</si>
  <si>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</si>
  <si>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 xml:space="preserve">La Secretaria del Interior Departamental señala que desde la vigencia 2022 los programas y proyectos de postconflicto se encuentran armonizados según PAT. </t>
  </si>
  <si>
    <t>Se ha implementado la campaña anualizada con incidencia municipal de promoción del respeto por la diferencia e instalación de territorios libres de discriminación en entidades públicas y privadas, y espacios públicos en las vigencias 2020, 2022 y 2023.</t>
  </si>
  <si>
    <t>Se ha implementado la campaña anualizada con incidencia en las instituciones educativa de promoción del respeto por la diferencia e instalación de territorios libres de discriminación en las vigencias 2022 y 2023.</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</si>
  <si>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</si>
  <si>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</si>
  <si>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</si>
  <si>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</si>
  <si>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</si>
  <si>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</si>
  <si>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</si>
  <si>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</si>
  <si>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</si>
  <si>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</si>
  <si>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</si>
  <si>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</si>
  <si>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</si>
  <si>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</si>
  <si>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</si>
  <si>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</si>
  <si>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</si>
  <si>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</si>
  <si>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</si>
  <si>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Se han desarrollado las asistencias técnicas en la conformación y consolidación de espacios de participación de la población OSIGD así: 2020 (12), 2021 (2), 2022 (2),2023 (5).</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</si>
  <si>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</si>
  <si>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</si>
  <si>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</si>
  <si>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</si>
  <si>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</si>
  <si>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</si>
  <si>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</si>
  <si>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</si>
  <si>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</si>
  <si>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</si>
  <si>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</si>
  <si>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</si>
  <si>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</si>
  <si>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</si>
  <si>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</si>
  <si>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</si>
  <si>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</si>
  <si>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</si>
  <si>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Para la vigencia 2022 no se tienen programadas acciones para dar cumplimiento a la meta conforme a lo establecido en el plan decenal.</t>
  </si>
  <si>
    <t>1'00%</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</si>
  <si>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</si>
  <si>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</si>
  <si>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</si>
  <si>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</si>
  <si>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</si>
  <si>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</si>
  <si>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</si>
  <si>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</si>
  <si>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</si>
  <si>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</si>
  <si>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</si>
  <si>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</si>
  <si>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Se implemento proceso formativo anualizado para el desarrollo del liderazgo colectivo y la incidencia política de la población sexualmente diversa del departamento en las vigencias 2020 y 2022,</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</si>
  <si>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</si>
  <si>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</si>
  <si>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</si>
  <si>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</si>
  <si>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La Secretaria de Salud Departamental en la vigencia 2022 reporto que el modelo de atención en salud mental se encuentra fortalecido y se denomina Gestión del riesgo de Eventos de Interés en Salud Mental, el cual continúa vigente para el 2023</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</si>
  <si>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</si>
  <si>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</si>
  <si>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</si>
  <si>
    <t>2023 IV TRIMESTRE</t>
  </si>
  <si>
    <t>La Secretaría de Familia Departamental llevó a cabo actividad donde se socializó campaña "Empoderate por la diversidad" en diferentes instituciones educativas del Departamento, tratando temas de trato igualitario y el respeto por el nombre identitario</t>
  </si>
  <si>
    <t>La Secretaría de Familia  Departamental brindó capacitaciones en la Ley 1620 de 2013 y sentencia T-478 del 2015a la comunidad educativa en los doce (12) municipios por medio de contratistas adscritos a la Jefatura de la mujer y la Equidad</t>
  </si>
  <si>
    <t>Se realizó presentación del reporte del seguimiento e implementación de la política pública en el marco de la rendición pública de cuentas institucional de la vigencia 2022
En la rencición de cuentas de la administración municipal de 2023 se realizó un reporte del seguimiento e implementación de la política pública, en el municipio de Salento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</si>
  <si>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En el municipio de Salento el comité municipal OSIGD que s ereune trimestralmente cuenta con un espacio para la exposición de casos de discriminación, para el periodo informado no se presentaron casos de vulneraicón de derechos</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</si>
  <si>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
En el municipio de Buenavista la oferta cultural y artistica se maneja de manera inclusiva para toda la polación, no se manejan programas exclusivos, dado que la población que se autoreconoce como LGBTIQ+ es muy poca.</t>
  </si>
  <si>
    <t>La universidad del Quindío desarrolló una estrategia para promover espacios de reflexión académica en torno a la cultura ciudadana, inclusión laboral sencibilzación, familia y diversidad sexual y de género para lo cual se adelantaron las siguientes acciones: 
1. Curso desde la dirección de Bienestar Institucional Reconocimiento de la Diversidad UQ: este curso está dirigido a la comunidad Universitaria, con el fin de promover el goce efectivo de derecho de personas OSIGD-LGBTI, en el campus Universitario. 
2.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3. Aplicación del violentometro a todos los estamentos universitarios, con el fin de sensibilizar a la comunidad universitaria sobre las diferentes violencias. 
4. Armonización del Protocolo para la prevención, detección y atención de violencias o cualquier tipo de discriminación basada en género en la Universidad del Quindío, co-construcción de la ruta de atención, divulgación y acciones pedagógicas con el fin de realizar el acompañamiento integral desde la dirección  de Bienestar Institucional a través de  espacios de intervención pedagógica  a fin de promover en los estudiantes, profesores, administrativos y comunidad  en general actitudes   para el diálogo, para la reflexión respecto de los hechos de violencia o cualquier tipo de discriminación basados en género   apuntando  a  la transformación de imaginarios y estereotipos de género, con el   fin de generar  compromisos de reparación del daño causado, la cesación de la violencia, la discriminación  y la no repetición.
5. Socialización y divulgación de las rutas existentes y articulación con secretaria de salud y policía nacional con la ruta de violencia sexual y la patrulla purpura, así mismo:
1. “Ruta de   atención para la prevención, detección y atención de violencias y cualquier tipo de discriminación basada en género en la Universidad del Quindío”
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
La Universidad Gran Colombia reportó que promovió espacios de reflexión respecto al a la prevención del acoso, violencia de género u otras expresiones de violencia y  exclusión.</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</si>
  <si>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La Alcaldía de Calarcá realiza campaña articulada con la gobernación en capacitación en actualización a funcionarios públicos de la Administración Municipal en mecanismmos de género y transversalización del enfoque de género diverso y parámetros no sexistas. 
La Alcaldía de Pijao realiza campaña articulada con la gobernación en capacitación en actualización a funcionarios públicos de la Administración Municipal en mecanismmos de género y transversalización del enfoque de género diverso y parámetros no sexistas.
</t>
  </si>
  <si>
    <t>Desde la Secretaria de Familia se realizaron capacitaciones anualizadas en ley 1620 del 2013 y sentencia T-478 del 2015, en diversidad sexual e identidad de género a integrantes de la comunidad educativa de los municipios de Quimbaya (1), Calarcá(2), La Tebaida(2), Pijao(1) Buenavista(1), Filandia (2), Armenia (2), Circasia (1),  Génova (2), Córdoba (1), Salento (1), Montenegro (1)</t>
  </si>
  <si>
    <t xml:space="preserve">Según el plan decenal esta meta esta proyectada para ejecutarse a partir de la vigencia 2024,la Secretaria de Turismo, industria y comercio en las vigencias 2020,2021,2022 realizo asistencia técnica Departamental enfocada al fortalecimiento empresarial, acceso a nuevos mercados y emprendimientos.
</t>
  </si>
  <si>
    <t>Según el plan decenal, esta meta se  programo para ejecutar a partir del año 2022.
En el año 2022 se desarrollaron 20 jornadas, al cuarto trimestre de 2023, 17 jornadas.</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</si>
  <si>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los programas desarrollados en la secretaria en  educacion no formal y lecto escritura se beneficiaron 8, En las convocatorias de concertacion se impacto  a 2030 personas. La beca de cracion ganada por Sara Maria   Sanchez    impacto a 80 personas de esta poblacion para un total de 2129 personas impactadas en el ejecucion de concertacion y estimulos. (Reporte de Cultura)
</t>
  </si>
  <si>
    <t>La Secretaria de Educación Departamental aduce que  las instituciones educativas I.E Instituto Calarcá y Antonio Nariño el I.E del Municipio de Filandia Francisco Miranda en la actualidad cuentan con planes de convivencia  con el enfoque de Genero y diversidad.
El plan de acción de convivencia escolar del municipio de Buenavista tiene enfoque de genero y dicersidad, se abordan rutas de atención y campañas para el fortalecmiento familiar.</t>
  </si>
  <si>
    <t>Se ha realizado presentación de reporte del seguimiento e implementación de la política publica en el marco de la rendición pública de cuentas institucional en las vigencias 2020, 2021, 2022 y 2023</t>
  </si>
  <si>
    <r>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r>
    <r>
      <rPr>
        <b/>
        <sz val="20"/>
        <rFont val="Calibri"/>
        <family val="2"/>
        <scheme val="minor"/>
      </rPr>
      <t xml:space="preserve">
Nota: Es preciso aclarar el indicador se encuntra programado para el año 2024, sin embargo se han adelantado las acciones mencionadas anteriormente y el presupuesto registrado corresponde a ellas.
</t>
    </r>
  </si>
  <si>
    <t>Durante el periodo informado no se tenian programadas acciones para dar cumplimiento a la meta e indicador en el año 2023</t>
  </si>
  <si>
    <t>Desde la jefatura de la mujer y la equidad se brindó asistencia técnica en la ley 1620 y sentencia 478 a los orientadores de las instituciones educativas de los 12 municipios del Departamento en la vigencia 2022 y 2023</t>
  </si>
  <si>
    <t xml:space="preserve">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
La Secretaría de Familia Departamental llevó a cabo actividad donde se socializó campaña "Empoderate por la diversidad" en diferentes instituciones educativas del Departamento, tratando temas de trato igualitario y el respeto por el nombre identitario en la vigencia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</si>
</sst>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31"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sz val="11"/>
      <color theme="1"/>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
      <b/>
      <sz val="22"/>
      <color indexed="81"/>
      <name val="Tahoma"/>
      <family val="2"/>
    </font>
    <font>
      <sz val="22"/>
      <color indexed="81"/>
      <name val="Tahoma"/>
      <family val="2"/>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
      <patternFill patternType="solid">
        <fgColor rgb="FFCC00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167">
    <xf numFmtId="0" fontId="0" fillId="0" borderId="0" xfId="0"/>
    <xf numFmtId="0" fontId="0" fillId="0" borderId="0" xfId="0"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4"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19" fillId="12" borderId="1" xfId="0"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4"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9" fillId="2" borderId="0" xfId="0" applyFont="1" applyFill="1" applyAlignment="1">
      <alignment horizontal="center" vertical="center" wrapText="1"/>
    </xf>
    <xf numFmtId="0" fontId="20" fillId="0" borderId="2"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9" fontId="5" fillId="19"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20" fillId="14" borderId="1" xfId="0" applyFont="1" applyFill="1" applyBorder="1" applyAlignment="1">
      <alignment horizontal="justify" vertical="center" wrapText="1"/>
    </xf>
    <xf numFmtId="0" fontId="20"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22"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22"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4" fillId="14" borderId="1" xfId="0" applyFont="1" applyFill="1" applyBorder="1" applyAlignment="1">
      <alignment horizontal="center" vertical="center" wrapText="1"/>
    </xf>
    <xf numFmtId="0" fontId="0" fillId="0" borderId="0" xfId="0" applyAlignment="1">
      <alignment wrapText="1"/>
    </xf>
    <xf numFmtId="0" fontId="20" fillId="0" borderId="0" xfId="0" applyFont="1" applyAlignment="1">
      <alignment horizontal="center" vertical="center" wrapText="1"/>
    </xf>
    <xf numFmtId="9" fontId="12" fillId="0" borderId="0" xfId="3" applyNumberFormat="1" applyFont="1" applyFill="1" applyAlignment="1">
      <alignment wrapText="1"/>
    </xf>
    <xf numFmtId="164" fontId="12" fillId="0" borderId="0" xfId="0" applyNumberFormat="1" applyFont="1" applyAlignment="1">
      <alignment wrapText="1"/>
    </xf>
    <xf numFmtId="9" fontId="12" fillId="0" borderId="0" xfId="2" applyFont="1" applyFill="1" applyAlignment="1">
      <alignment wrapText="1"/>
    </xf>
    <xf numFmtId="44" fontId="12" fillId="0" borderId="0" xfId="4" applyFont="1" applyFill="1" applyAlignment="1">
      <alignment wrapText="1"/>
    </xf>
    <xf numFmtId="0" fontId="12" fillId="0" borderId="0" xfId="0" applyFont="1" applyAlignment="1">
      <alignment horizontal="justify" vertical="center" wrapText="1"/>
    </xf>
    <xf numFmtId="10" fontId="12" fillId="0" borderId="0" xfId="0" applyNumberFormat="1" applyFont="1" applyAlignment="1">
      <alignment horizontal="justify" wrapText="1"/>
    </xf>
    <xf numFmtId="0" fontId="6" fillId="0" borderId="0" xfId="0" applyFont="1" applyAlignment="1">
      <alignment vertical="center"/>
    </xf>
    <xf numFmtId="0" fontId="18" fillId="0" borderId="0" xfId="0" applyFont="1" applyAlignment="1">
      <alignment vertical="center"/>
    </xf>
    <xf numFmtId="0" fontId="16" fillId="0" borderId="0" xfId="0" applyFont="1"/>
    <xf numFmtId="0" fontId="21" fillId="0" borderId="0" xfId="0" applyFont="1"/>
    <xf numFmtId="9" fontId="16" fillId="0" borderId="0" xfId="3" applyNumberFormat="1" applyFont="1" applyFill="1" applyAlignment="1"/>
    <xf numFmtId="164" fontId="16" fillId="0" borderId="0" xfId="0" applyNumberFormat="1" applyFont="1"/>
    <xf numFmtId="9" fontId="16" fillId="0" borderId="0" xfId="2" applyFont="1" applyFill="1" applyAlignment="1"/>
    <xf numFmtId="44" fontId="16" fillId="0" borderId="0" xfId="4" applyFont="1" applyFill="1"/>
    <xf numFmtId="0" fontId="16" fillId="0" borderId="0" xfId="0" applyFont="1" applyAlignment="1">
      <alignment horizontal="justify" vertical="center"/>
    </xf>
    <xf numFmtId="9" fontId="16" fillId="0" borderId="0" xfId="2" applyFont="1" applyFill="1"/>
    <xf numFmtId="10" fontId="16" fillId="0" borderId="0" xfId="0" applyNumberFormat="1" applyFont="1" applyAlignment="1">
      <alignment horizontal="justify" wrapText="1"/>
    </xf>
    <xf numFmtId="0" fontId="24"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8"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2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6" fillId="0" borderId="0" xfId="0" applyFont="1" applyAlignment="1">
      <alignment horizontal="justify"/>
    </xf>
    <xf numFmtId="0" fontId="2" fillId="12" borderId="1" xfId="0" applyFont="1" applyFill="1" applyBorder="1" applyAlignment="1">
      <alignment horizontal="justify" vertical="center" wrapText="1"/>
    </xf>
    <xf numFmtId="0" fontId="25" fillId="14" borderId="22" xfId="0" applyFont="1" applyFill="1" applyBorder="1" applyAlignment="1">
      <alignment horizontal="justify" vertical="center" wrapText="1"/>
    </xf>
    <xf numFmtId="0" fontId="12" fillId="0" borderId="0" xfId="0" applyFont="1" applyAlignment="1">
      <alignment horizontal="justify" wrapText="1"/>
    </xf>
    <xf numFmtId="0" fontId="5" fillId="14" borderId="20"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9" fillId="17" borderId="21" xfId="0" applyFont="1" applyFill="1" applyBorder="1" applyAlignment="1">
      <alignment horizontal="center" vertical="center" wrapText="1"/>
    </xf>
    <xf numFmtId="0" fontId="9" fillId="17" borderId="0" xfId="0" applyFont="1" applyFill="1" applyAlignment="1">
      <alignment horizontal="center" vertical="center" wrapText="1"/>
    </xf>
    <xf numFmtId="0" fontId="3" fillId="0" borderId="1" xfId="0" applyFont="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35">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000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6"/>
  <sheetViews>
    <sheetView tabSelected="1" topLeftCell="G2" zoomScale="40" zoomScaleNormal="40" zoomScaleSheetLayoutView="50" workbookViewId="0">
      <pane xSplit="6732" ySplit="1260" topLeftCell="AE7" activePane="bottomRight"/>
      <selection activeCell="G3" sqref="G3:H3"/>
      <selection pane="topRight" activeCell="AK3" sqref="AJ1:AK1048576"/>
      <selection pane="bottomLeft" activeCell="G30" sqref="A30:XFD30"/>
      <selection pane="bottomRight" activeCell="AO33" sqref="AO33"/>
    </sheetView>
  </sheetViews>
  <sheetFormatPr baseColWidth="10" defaultColWidth="11.44140625" defaultRowHeight="102.75" customHeight="1" x14ac:dyDescent="0.3"/>
  <cols>
    <col min="1" max="1" width="6" style="25" hidden="1" customWidth="1"/>
    <col min="2" max="2" width="43" style="25" hidden="1" customWidth="1"/>
    <col min="3" max="3" width="8.109375" style="25" hidden="1" customWidth="1"/>
    <col min="4" max="4" width="41.44140625" style="25" hidden="1" customWidth="1"/>
    <col min="5" max="5" width="10.33203125" style="25" hidden="1" customWidth="1"/>
    <col min="6" max="6" width="49" style="25" hidden="1" customWidth="1"/>
    <col min="7" max="7" width="19" style="25" customWidth="1"/>
    <col min="8" max="8" width="43.109375" style="25" customWidth="1"/>
    <col min="9" max="9" width="35" style="100" customWidth="1"/>
    <col min="10" max="10" width="26" style="101" customWidth="1"/>
    <col min="11" max="11" width="31.44140625" style="101" bestFit="1" customWidth="1"/>
    <col min="12" max="12" width="33.5546875" style="25" customWidth="1"/>
    <col min="13" max="13" width="18.33203125" style="25" customWidth="1"/>
    <col min="14" max="14" width="15.109375" style="25" customWidth="1"/>
    <col min="15" max="15" width="30.109375" style="25" customWidth="1"/>
    <col min="16" max="16" width="43.6640625" style="25" customWidth="1"/>
    <col min="17" max="17" width="106" style="25" customWidth="1"/>
    <col min="18" max="18" width="31.88671875" style="25" customWidth="1"/>
    <col min="19" max="19" width="29.44140625" style="25" customWidth="1"/>
    <col min="20" max="20" width="26.5546875" style="25" customWidth="1"/>
    <col min="21" max="21" width="35.44140625" style="25" customWidth="1"/>
    <col min="22" max="22" width="48.109375" style="25" customWidth="1"/>
    <col min="23" max="23" width="129.44140625" style="100" customWidth="1"/>
    <col min="24" max="24" width="16.109375" style="25" customWidth="1"/>
    <col min="25" max="25" width="17.6640625" style="25" customWidth="1"/>
    <col min="26" max="26" width="34.88671875" style="102" customWidth="1"/>
    <col min="27" max="27" width="39.109375" style="103" customWidth="1"/>
    <col min="28" max="28" width="35.88671875" style="103" customWidth="1"/>
    <col min="29" max="29" width="44.44140625" style="104" customWidth="1"/>
    <col min="30" max="30" width="84.5546875" style="131" customWidth="1"/>
    <col min="31" max="31" width="14.6640625" style="25" customWidth="1"/>
    <col min="32" max="32" width="14.109375" style="25" customWidth="1"/>
    <col min="33" max="33" width="19.5546875" style="102" customWidth="1"/>
    <col min="34" max="34" width="35.6640625" style="105" customWidth="1"/>
    <col min="35" max="35" width="35.109375" style="105" customWidth="1"/>
    <col min="36" max="36" width="17.5546875" style="104" customWidth="1"/>
    <col min="37" max="37" width="59" style="106" customWidth="1"/>
    <col min="38" max="38" width="16.88671875" style="25" customWidth="1"/>
    <col min="39" max="39" width="17" style="25" customWidth="1"/>
    <col min="40" max="40" width="21.88671875" style="104" customWidth="1"/>
    <col min="41" max="41" width="61.109375" style="107" customWidth="1"/>
    <col min="42" max="16384" width="11.44140625" style="25"/>
  </cols>
  <sheetData>
    <row r="1" spans="1:41" s="110" customFormat="1" ht="50.25" customHeight="1" x14ac:dyDescent="0.85">
      <c r="A1" s="108" t="s">
        <v>251</v>
      </c>
      <c r="B1" s="108"/>
      <c r="C1" s="108"/>
      <c r="D1" s="108"/>
      <c r="E1" s="108"/>
      <c r="F1" s="108"/>
      <c r="G1" s="108"/>
      <c r="H1" s="108"/>
      <c r="I1" s="109"/>
      <c r="J1" s="109"/>
      <c r="K1" s="109"/>
      <c r="W1" s="111"/>
      <c r="Z1" s="112"/>
      <c r="AA1" s="113"/>
      <c r="AB1" s="113"/>
      <c r="AC1" s="114"/>
      <c r="AD1" s="128"/>
      <c r="AG1" s="112"/>
      <c r="AH1" s="115"/>
      <c r="AI1" s="115"/>
      <c r="AJ1" s="114"/>
      <c r="AK1" s="116"/>
      <c r="AN1" s="117"/>
      <c r="AO1" s="118"/>
    </row>
    <row r="2" spans="1:41" ht="36.75" customHeight="1" x14ac:dyDescent="0.3">
      <c r="A2" s="33"/>
      <c r="B2" s="33"/>
      <c r="C2" s="33"/>
      <c r="D2" s="33"/>
      <c r="E2" s="33"/>
      <c r="F2" s="33"/>
      <c r="G2" s="33"/>
      <c r="H2" s="141"/>
      <c r="I2" s="141"/>
      <c r="J2" s="141"/>
      <c r="K2" s="142"/>
      <c r="L2" s="139">
        <v>2020</v>
      </c>
      <c r="M2" s="139"/>
      <c r="N2" s="139"/>
      <c r="O2" s="139"/>
      <c r="P2" s="139"/>
      <c r="Q2" s="139"/>
      <c r="R2" s="139">
        <v>2021</v>
      </c>
      <c r="S2" s="139"/>
      <c r="T2" s="139"/>
      <c r="U2" s="139"/>
      <c r="V2" s="139"/>
      <c r="W2" s="139"/>
      <c r="X2" s="139">
        <v>2022</v>
      </c>
      <c r="Y2" s="139"/>
      <c r="Z2" s="139"/>
      <c r="AA2" s="139"/>
      <c r="AB2" s="139"/>
      <c r="AC2" s="139"/>
      <c r="AD2" s="139"/>
      <c r="AE2" s="139" t="s">
        <v>394</v>
      </c>
      <c r="AF2" s="139"/>
      <c r="AG2" s="139"/>
      <c r="AH2" s="139"/>
      <c r="AI2" s="139"/>
      <c r="AJ2" s="139"/>
      <c r="AK2" s="139"/>
      <c r="AL2" s="153" t="s">
        <v>325</v>
      </c>
      <c r="AM2" s="154"/>
      <c r="AN2" s="154"/>
      <c r="AO2" s="154"/>
    </row>
    <row r="3" spans="1:41" s="42" customFormat="1" ht="102.75" customHeight="1" x14ac:dyDescent="0.5">
      <c r="B3" s="43" t="s">
        <v>4</v>
      </c>
      <c r="C3" s="140" t="s">
        <v>0</v>
      </c>
      <c r="D3" s="140"/>
      <c r="E3" s="140" t="s">
        <v>5</v>
      </c>
      <c r="F3" s="140"/>
      <c r="G3" s="143" t="s">
        <v>1</v>
      </c>
      <c r="H3" s="143"/>
      <c r="I3" s="75" t="s">
        <v>6</v>
      </c>
      <c r="J3" s="75" t="s">
        <v>2</v>
      </c>
      <c r="K3" s="75" t="s">
        <v>3</v>
      </c>
      <c r="L3" s="40" t="s">
        <v>253</v>
      </c>
      <c r="M3" s="40" t="s">
        <v>254</v>
      </c>
      <c r="N3" s="40" t="s">
        <v>255</v>
      </c>
      <c r="O3" s="40" t="s">
        <v>273</v>
      </c>
      <c r="P3" s="40" t="s">
        <v>274</v>
      </c>
      <c r="Q3" s="40" t="s">
        <v>256</v>
      </c>
      <c r="R3" s="40" t="s">
        <v>253</v>
      </c>
      <c r="S3" s="40" t="s">
        <v>254</v>
      </c>
      <c r="T3" s="40" t="s">
        <v>255</v>
      </c>
      <c r="U3" s="40" t="s">
        <v>273</v>
      </c>
      <c r="V3" s="40" t="s">
        <v>274</v>
      </c>
      <c r="W3" s="56" t="s">
        <v>256</v>
      </c>
      <c r="X3" s="40" t="s">
        <v>253</v>
      </c>
      <c r="Y3" s="40" t="s">
        <v>254</v>
      </c>
      <c r="Z3" s="62" t="s">
        <v>255</v>
      </c>
      <c r="AA3" s="120" t="s">
        <v>273</v>
      </c>
      <c r="AB3" s="120" t="s">
        <v>274</v>
      </c>
      <c r="AC3" s="60" t="s">
        <v>303</v>
      </c>
      <c r="AD3" s="129" t="s">
        <v>256</v>
      </c>
      <c r="AE3" s="40" t="s">
        <v>253</v>
      </c>
      <c r="AF3" s="40" t="s">
        <v>254</v>
      </c>
      <c r="AG3" s="62" t="s">
        <v>255</v>
      </c>
      <c r="AH3" s="69" t="s">
        <v>273</v>
      </c>
      <c r="AI3" s="69" t="s">
        <v>274</v>
      </c>
      <c r="AJ3" s="60" t="s">
        <v>303</v>
      </c>
      <c r="AK3" s="94" t="s">
        <v>256</v>
      </c>
      <c r="AL3" s="67" t="s">
        <v>322</v>
      </c>
      <c r="AM3" s="67" t="s">
        <v>323</v>
      </c>
      <c r="AN3" s="74" t="s">
        <v>257</v>
      </c>
      <c r="AO3" s="94" t="s">
        <v>324</v>
      </c>
    </row>
    <row r="4" spans="1:41" s="42" customFormat="1" ht="241.5" customHeight="1" x14ac:dyDescent="0.5">
      <c r="A4" s="145" t="s">
        <v>7</v>
      </c>
      <c r="B4" s="147" t="s">
        <v>8</v>
      </c>
      <c r="C4" s="145" t="s">
        <v>144</v>
      </c>
      <c r="D4" s="145" t="s">
        <v>9</v>
      </c>
      <c r="E4" s="39" t="s">
        <v>155</v>
      </c>
      <c r="F4" s="36" t="s">
        <v>10</v>
      </c>
      <c r="G4" s="32" t="s">
        <v>11</v>
      </c>
      <c r="H4" s="36" t="s">
        <v>140</v>
      </c>
      <c r="I4" s="76" t="s">
        <v>217</v>
      </c>
      <c r="J4" s="53" t="s">
        <v>73</v>
      </c>
      <c r="K4" s="53" t="s">
        <v>75</v>
      </c>
      <c r="L4" s="41">
        <v>1</v>
      </c>
      <c r="M4" s="41">
        <v>1</v>
      </c>
      <c r="N4" s="47">
        <f>(M4/L4)*100</f>
        <v>100</v>
      </c>
      <c r="O4" s="41"/>
      <c r="P4" s="41"/>
      <c r="Q4" s="57" t="s">
        <v>259</v>
      </c>
      <c r="R4" s="41">
        <v>1</v>
      </c>
      <c r="S4" s="41">
        <v>0</v>
      </c>
      <c r="T4" s="44">
        <f>(S4/R4)*100</f>
        <v>0</v>
      </c>
      <c r="U4" s="41"/>
      <c r="V4" s="46"/>
      <c r="W4" s="57" t="s">
        <v>260</v>
      </c>
      <c r="X4" s="41">
        <v>1</v>
      </c>
      <c r="Y4" s="41">
        <v>0.5</v>
      </c>
      <c r="Z4" s="63">
        <f>(Y4/X4)*100</f>
        <v>50</v>
      </c>
      <c r="AA4" s="65">
        <v>525000</v>
      </c>
      <c r="AB4" s="46">
        <v>525000</v>
      </c>
      <c r="AC4" s="59">
        <v>1</v>
      </c>
      <c r="AD4" s="96" t="s">
        <v>384</v>
      </c>
      <c r="AE4" s="41">
        <v>1</v>
      </c>
      <c r="AF4" s="41">
        <v>1</v>
      </c>
      <c r="AG4" s="63">
        <f>(AF4/AE4)*100</f>
        <v>100</v>
      </c>
      <c r="AH4" s="70">
        <v>0</v>
      </c>
      <c r="AI4" s="70">
        <v>0</v>
      </c>
      <c r="AJ4" s="59">
        <v>0</v>
      </c>
      <c r="AK4" s="133" t="s">
        <v>389</v>
      </c>
      <c r="AL4" s="41">
        <v>1</v>
      </c>
      <c r="AM4" s="126">
        <v>1</v>
      </c>
      <c r="AN4" s="68">
        <v>100</v>
      </c>
      <c r="AO4" s="133" t="s">
        <v>393</v>
      </c>
    </row>
    <row r="5" spans="1:41" s="42" customFormat="1" ht="249.75" customHeight="1" x14ac:dyDescent="0.5">
      <c r="A5" s="145"/>
      <c r="B5" s="147"/>
      <c r="C5" s="145"/>
      <c r="D5" s="145"/>
      <c r="E5" s="39" t="s">
        <v>156</v>
      </c>
      <c r="F5" s="34" t="s">
        <v>12</v>
      </c>
      <c r="G5" s="29" t="s">
        <v>141</v>
      </c>
      <c r="H5" s="34" t="s">
        <v>41</v>
      </c>
      <c r="I5" s="77" t="s">
        <v>218</v>
      </c>
      <c r="J5" s="54" t="s">
        <v>74</v>
      </c>
      <c r="K5" s="54" t="s">
        <v>75</v>
      </c>
      <c r="L5" s="41">
        <v>1</v>
      </c>
      <c r="M5" s="41">
        <v>0</v>
      </c>
      <c r="N5" s="48">
        <f t="shared" ref="N5:N42" si="0">(M5/L5)*100</f>
        <v>0</v>
      </c>
      <c r="O5" s="41"/>
      <c r="P5" s="41"/>
      <c r="Q5" s="57" t="s">
        <v>260</v>
      </c>
      <c r="R5" s="41">
        <v>1</v>
      </c>
      <c r="S5" s="41">
        <v>0</v>
      </c>
      <c r="T5" s="41">
        <f t="shared" ref="T5:T42" si="1">(S5/R5)*100</f>
        <v>0</v>
      </c>
      <c r="U5" s="41"/>
      <c r="V5" s="46">
        <v>0</v>
      </c>
      <c r="W5" s="57" t="s">
        <v>260</v>
      </c>
      <c r="X5" s="41">
        <v>1</v>
      </c>
      <c r="Y5" s="41">
        <v>1</v>
      </c>
      <c r="Z5" s="63">
        <f>(Y5/X5)*100</f>
        <v>100</v>
      </c>
      <c r="AA5" s="65">
        <v>1320000</v>
      </c>
      <c r="AB5" s="46">
        <v>1320000</v>
      </c>
      <c r="AC5" s="59">
        <f>AA5/AB5</f>
        <v>1</v>
      </c>
      <c r="AD5" s="96" t="s">
        <v>383</v>
      </c>
      <c r="AE5" s="41">
        <v>1</v>
      </c>
      <c r="AF5" s="126">
        <v>1</v>
      </c>
      <c r="AG5" s="63">
        <f>(AF5/AE5)*100</f>
        <v>100</v>
      </c>
      <c r="AH5" s="70">
        <f>360000+360000+360000+360000</f>
        <v>1440000</v>
      </c>
      <c r="AI5" s="70">
        <f>360000+360000+360000+360000</f>
        <v>1440000</v>
      </c>
      <c r="AJ5" s="59">
        <f t="shared" ref="AJ5:AJ36" si="2">+(AI5/AH5)</f>
        <v>1</v>
      </c>
      <c r="AK5" s="133" t="s">
        <v>391</v>
      </c>
      <c r="AL5" s="41">
        <v>1</v>
      </c>
      <c r="AM5" s="126">
        <v>1</v>
      </c>
      <c r="AN5" s="134">
        <v>100</v>
      </c>
      <c r="AO5" s="133" t="s">
        <v>391</v>
      </c>
    </row>
    <row r="6" spans="1:41" s="42" customFormat="1" ht="409.6" customHeight="1" x14ac:dyDescent="0.5">
      <c r="A6" s="145" t="s">
        <v>13</v>
      </c>
      <c r="B6" s="148" t="s">
        <v>14</v>
      </c>
      <c r="C6" s="149" t="s">
        <v>145</v>
      </c>
      <c r="D6" s="149" t="s">
        <v>15</v>
      </c>
      <c r="E6" s="149" t="s">
        <v>157</v>
      </c>
      <c r="F6" s="152" t="s">
        <v>16</v>
      </c>
      <c r="G6" s="37" t="s">
        <v>142</v>
      </c>
      <c r="H6" s="35" t="s">
        <v>51</v>
      </c>
      <c r="I6" s="78" t="s">
        <v>67</v>
      </c>
      <c r="J6" s="55" t="s">
        <v>76</v>
      </c>
      <c r="K6" s="55" t="s">
        <v>77</v>
      </c>
      <c r="L6" s="41">
        <v>24</v>
      </c>
      <c r="M6" s="41">
        <v>0</v>
      </c>
      <c r="N6" s="49">
        <f t="shared" si="0"/>
        <v>0</v>
      </c>
      <c r="O6" s="41"/>
      <c r="P6" s="41"/>
      <c r="Q6" s="57" t="s">
        <v>260</v>
      </c>
      <c r="R6" s="41">
        <v>24</v>
      </c>
      <c r="S6" s="41">
        <v>0</v>
      </c>
      <c r="T6" s="44">
        <f t="shared" si="1"/>
        <v>0</v>
      </c>
      <c r="U6" s="41"/>
      <c r="V6" s="46">
        <v>463750</v>
      </c>
      <c r="W6" s="57" t="s">
        <v>260</v>
      </c>
      <c r="X6" s="41">
        <v>24</v>
      </c>
      <c r="Y6" s="41">
        <v>20</v>
      </c>
      <c r="Z6" s="63">
        <f>(Y6/X6)*100</f>
        <v>83.333333333333343</v>
      </c>
      <c r="AA6" s="65">
        <f>4861983+1100000+865500+463750</f>
        <v>7291233</v>
      </c>
      <c r="AB6" s="46">
        <f>655166+1100000+865500+463750</f>
        <v>3084416</v>
      </c>
      <c r="AC6" s="59">
        <f>AB6/AA6</f>
        <v>0.42303078231075597</v>
      </c>
      <c r="AD6" s="96" t="s">
        <v>316</v>
      </c>
      <c r="AE6" s="41">
        <v>24</v>
      </c>
      <c r="AF6" s="41">
        <v>17</v>
      </c>
      <c r="AG6" s="63">
        <f>(AF6/AE6)*100</f>
        <v>70.833333333333343</v>
      </c>
      <c r="AH6" s="70">
        <f>360000+320000+320000+233333</f>
        <v>1233333</v>
      </c>
      <c r="AI6" s="70">
        <f>360000+320000+320000+233333</f>
        <v>1233333</v>
      </c>
      <c r="AJ6" s="59">
        <f t="shared" si="2"/>
        <v>1</v>
      </c>
      <c r="AK6" s="133" t="s">
        <v>402</v>
      </c>
      <c r="AL6" s="52">
        <v>24</v>
      </c>
      <c r="AM6" s="52">
        <f>(Y6+AF6)/2</f>
        <v>18.5</v>
      </c>
      <c r="AN6" s="68">
        <f>AM6/AL6*100</f>
        <v>77.083333333333343</v>
      </c>
      <c r="AO6" s="95" t="s">
        <v>404</v>
      </c>
    </row>
    <row r="7" spans="1:41" s="42" customFormat="1" ht="259.5" customHeight="1" x14ac:dyDescent="0.5">
      <c r="A7" s="145"/>
      <c r="B7" s="147"/>
      <c r="C7" s="145"/>
      <c r="D7" s="145"/>
      <c r="E7" s="145"/>
      <c r="F7" s="155"/>
      <c r="G7" s="39" t="s">
        <v>143</v>
      </c>
      <c r="H7" s="34" t="s">
        <v>52</v>
      </c>
      <c r="I7" s="77" t="s">
        <v>219</v>
      </c>
      <c r="J7" s="54" t="s">
        <v>78</v>
      </c>
      <c r="K7" s="54" t="s">
        <v>79</v>
      </c>
      <c r="L7" s="41">
        <v>0</v>
      </c>
      <c r="M7" s="41">
        <v>0</v>
      </c>
      <c r="N7" s="47">
        <v>0</v>
      </c>
      <c r="O7" s="41"/>
      <c r="P7" s="41"/>
      <c r="Q7" s="57" t="s">
        <v>260</v>
      </c>
      <c r="R7" s="41">
        <v>1</v>
      </c>
      <c r="S7" s="41">
        <v>0</v>
      </c>
      <c r="T7" s="44">
        <f t="shared" si="1"/>
        <v>0</v>
      </c>
      <c r="U7" s="41"/>
      <c r="V7" s="46">
        <v>0</v>
      </c>
      <c r="W7" s="57" t="s">
        <v>260</v>
      </c>
      <c r="X7" s="41">
        <v>1</v>
      </c>
      <c r="Y7" s="41">
        <v>0</v>
      </c>
      <c r="Z7" s="63">
        <v>0</v>
      </c>
      <c r="AA7" s="65">
        <v>0</v>
      </c>
      <c r="AB7" s="46">
        <v>0</v>
      </c>
      <c r="AC7" s="59">
        <v>0</v>
      </c>
      <c r="AD7" s="96" t="s">
        <v>371</v>
      </c>
      <c r="AE7" s="52">
        <v>0</v>
      </c>
      <c r="AF7" s="41">
        <v>0</v>
      </c>
      <c r="AG7" s="63">
        <v>0</v>
      </c>
      <c r="AH7" s="70">
        <v>0</v>
      </c>
      <c r="AI7" s="70">
        <v>0</v>
      </c>
      <c r="AJ7" s="59">
        <v>0</v>
      </c>
      <c r="AK7" s="96" t="s">
        <v>321</v>
      </c>
      <c r="AL7" s="41">
        <v>1</v>
      </c>
      <c r="AM7" s="41">
        <v>0</v>
      </c>
      <c r="AN7" s="68">
        <v>0</v>
      </c>
      <c r="AO7" s="96" t="s">
        <v>366</v>
      </c>
    </row>
    <row r="8" spans="1:41" s="42" customFormat="1" ht="393.75" customHeight="1" x14ac:dyDescent="0.5">
      <c r="A8" s="145"/>
      <c r="B8" s="147"/>
      <c r="C8" s="145"/>
      <c r="D8" s="145"/>
      <c r="E8" s="145" t="s">
        <v>158</v>
      </c>
      <c r="F8" s="155" t="s">
        <v>42</v>
      </c>
      <c r="G8" s="39" t="s">
        <v>171</v>
      </c>
      <c r="H8" s="34" t="s">
        <v>43</v>
      </c>
      <c r="I8" s="77" t="s">
        <v>220</v>
      </c>
      <c r="J8" s="54" t="s">
        <v>80</v>
      </c>
      <c r="K8" s="54" t="s">
        <v>79</v>
      </c>
      <c r="L8" s="41">
        <v>1</v>
      </c>
      <c r="M8" s="41">
        <v>1</v>
      </c>
      <c r="N8" s="47">
        <f t="shared" si="0"/>
        <v>100</v>
      </c>
      <c r="O8" s="41"/>
      <c r="P8" s="41"/>
      <c r="Q8" s="57" t="s">
        <v>261</v>
      </c>
      <c r="R8" s="41">
        <v>1</v>
      </c>
      <c r="S8" s="41">
        <v>1</v>
      </c>
      <c r="T8" s="44">
        <f t="shared" si="1"/>
        <v>100</v>
      </c>
      <c r="U8" s="41"/>
      <c r="V8" s="46">
        <v>1889580</v>
      </c>
      <c r="W8" s="58" t="s">
        <v>267</v>
      </c>
      <c r="X8" s="41">
        <v>1</v>
      </c>
      <c r="Y8" s="41">
        <v>1</v>
      </c>
      <c r="Z8" s="63">
        <v>100</v>
      </c>
      <c r="AA8" s="65">
        <f>4403400+733333+ 865500+463750</f>
        <v>6465983</v>
      </c>
      <c r="AB8" s="46">
        <f>1742277+733333+ 865500+463750</f>
        <v>3804860</v>
      </c>
      <c r="AC8" s="61">
        <v>0.4</v>
      </c>
      <c r="AD8" s="96" t="s">
        <v>309</v>
      </c>
      <c r="AE8" s="41">
        <v>1</v>
      </c>
      <c r="AF8" s="41">
        <v>1</v>
      </c>
      <c r="AG8" s="63">
        <f t="shared" ref="AG8:AG40" si="3">(AF8/AE8)*100</f>
        <v>100</v>
      </c>
      <c r="AH8" s="70">
        <v>1313333</v>
      </c>
      <c r="AI8" s="70">
        <v>1313333</v>
      </c>
      <c r="AJ8" s="59">
        <f t="shared" si="2"/>
        <v>1</v>
      </c>
      <c r="AK8" s="95" t="s">
        <v>381</v>
      </c>
      <c r="AL8" s="41">
        <v>1</v>
      </c>
      <c r="AM8" s="41">
        <v>1</v>
      </c>
      <c r="AN8" s="68">
        <f t="shared" ref="AN8:AN19" si="4">(N8+T8+Z8+AG8)/4</f>
        <v>100</v>
      </c>
      <c r="AO8" s="95" t="s">
        <v>327</v>
      </c>
    </row>
    <row r="9" spans="1:41" s="42" customFormat="1" ht="213" customHeight="1" x14ac:dyDescent="0.5">
      <c r="A9" s="145"/>
      <c r="B9" s="147"/>
      <c r="C9" s="145"/>
      <c r="D9" s="145"/>
      <c r="E9" s="145"/>
      <c r="F9" s="155"/>
      <c r="G9" s="39" t="s">
        <v>172</v>
      </c>
      <c r="H9" s="34" t="s">
        <v>44</v>
      </c>
      <c r="I9" s="77" t="s">
        <v>221</v>
      </c>
      <c r="J9" s="54" t="s">
        <v>81</v>
      </c>
      <c r="K9" s="54" t="s">
        <v>79</v>
      </c>
      <c r="L9" s="41">
        <v>1</v>
      </c>
      <c r="M9" s="41">
        <v>1</v>
      </c>
      <c r="N9" s="47">
        <f t="shared" si="0"/>
        <v>100</v>
      </c>
      <c r="O9" s="41"/>
      <c r="P9" s="41"/>
      <c r="Q9" s="57" t="s">
        <v>340</v>
      </c>
      <c r="R9" s="41">
        <v>1</v>
      </c>
      <c r="S9" s="41">
        <v>1</v>
      </c>
      <c r="T9" s="44">
        <f t="shared" si="1"/>
        <v>100</v>
      </c>
      <c r="U9" s="41"/>
      <c r="V9" s="46">
        <v>1803117</v>
      </c>
      <c r="W9" s="58" t="s">
        <v>341</v>
      </c>
      <c r="X9" s="41">
        <v>1</v>
      </c>
      <c r="Y9" s="41">
        <v>1</v>
      </c>
      <c r="Z9" s="63">
        <f t="shared" ref="Z9:Z41" si="5">(Y9/X9)*100</f>
        <v>100</v>
      </c>
      <c r="AA9" s="65">
        <v>0</v>
      </c>
      <c r="AB9" s="46">
        <v>0</v>
      </c>
      <c r="AC9" s="59">
        <v>0</v>
      </c>
      <c r="AD9" s="82" t="s">
        <v>298</v>
      </c>
      <c r="AE9" s="31">
        <v>1</v>
      </c>
      <c r="AF9" s="31">
        <v>1</v>
      </c>
      <c r="AG9" s="63">
        <f t="shared" si="3"/>
        <v>100</v>
      </c>
      <c r="AH9" s="71">
        <v>0</v>
      </c>
      <c r="AI9" s="71">
        <v>0</v>
      </c>
      <c r="AJ9" s="59">
        <v>0</v>
      </c>
      <c r="AK9" s="124" t="s">
        <v>298</v>
      </c>
      <c r="AL9" s="31">
        <v>1</v>
      </c>
      <c r="AM9" s="31">
        <v>1</v>
      </c>
      <c r="AN9" s="68">
        <f t="shared" si="4"/>
        <v>100</v>
      </c>
      <c r="AO9" s="95" t="s">
        <v>328</v>
      </c>
    </row>
    <row r="10" spans="1:41" s="93" customFormat="1" ht="246" x14ac:dyDescent="0.5">
      <c r="A10" s="145"/>
      <c r="B10" s="147"/>
      <c r="C10" s="145" t="s">
        <v>146</v>
      </c>
      <c r="D10" s="145" t="s">
        <v>17</v>
      </c>
      <c r="E10" s="145" t="s">
        <v>159</v>
      </c>
      <c r="F10" s="155" t="s">
        <v>18</v>
      </c>
      <c r="G10" s="81" t="s">
        <v>173</v>
      </c>
      <c r="H10" s="82" t="s">
        <v>53</v>
      </c>
      <c r="I10" s="83" t="s">
        <v>47</v>
      </c>
      <c r="J10" s="84" t="s">
        <v>82</v>
      </c>
      <c r="K10" s="84" t="s">
        <v>95</v>
      </c>
      <c r="L10" s="52">
        <v>12</v>
      </c>
      <c r="M10" s="52">
        <v>12</v>
      </c>
      <c r="N10" s="85">
        <f t="shared" si="0"/>
        <v>100</v>
      </c>
      <c r="O10" s="52"/>
      <c r="P10" s="52"/>
      <c r="Q10" s="86" t="s">
        <v>275</v>
      </c>
      <c r="R10" s="52">
        <v>12</v>
      </c>
      <c r="S10" s="52">
        <v>2</v>
      </c>
      <c r="T10" s="87">
        <f t="shared" si="1"/>
        <v>16.666666666666664</v>
      </c>
      <c r="U10" s="52"/>
      <c r="V10" s="88">
        <v>5539767</v>
      </c>
      <c r="W10" s="89" t="s">
        <v>342</v>
      </c>
      <c r="X10" s="52">
        <v>2</v>
      </c>
      <c r="Y10" s="52">
        <v>10</v>
      </c>
      <c r="Z10" s="90">
        <v>100</v>
      </c>
      <c r="AA10" s="91">
        <v>2536457</v>
      </c>
      <c r="AB10" s="88">
        <v>2169791</v>
      </c>
      <c r="AC10" s="85">
        <f t="shared" ref="AC10:AC39" si="6">AB10/AA10</f>
        <v>0.85544166528350374</v>
      </c>
      <c r="AD10" s="96" t="s">
        <v>317</v>
      </c>
      <c r="AE10" s="52">
        <v>12</v>
      </c>
      <c r="AF10" s="52">
        <v>5</v>
      </c>
      <c r="AG10" s="63">
        <f>(AF10/AE10)*100</f>
        <v>41.666666666666671</v>
      </c>
      <c r="AH10" s="92">
        <f>360000+360000</f>
        <v>720000</v>
      </c>
      <c r="AI10" s="92">
        <f>360000+360000</f>
        <v>720000</v>
      </c>
      <c r="AJ10" s="59">
        <f t="shared" si="2"/>
        <v>1</v>
      </c>
      <c r="AK10" s="133" t="s">
        <v>353</v>
      </c>
      <c r="AL10" s="52">
        <v>12</v>
      </c>
      <c r="AM10" s="52">
        <f>(AF10+Y10+M10+S10)/4</f>
        <v>7.25</v>
      </c>
      <c r="AN10" s="85">
        <f>+(AM10/AL10)*100</f>
        <v>60.416666666666664</v>
      </c>
      <c r="AO10" s="96" t="s">
        <v>352</v>
      </c>
    </row>
    <row r="11" spans="1:41" s="42" customFormat="1" ht="408.75" customHeight="1" x14ac:dyDescent="0.5">
      <c r="A11" s="145"/>
      <c r="B11" s="147"/>
      <c r="C11" s="145"/>
      <c r="D11" s="145"/>
      <c r="E11" s="145"/>
      <c r="F11" s="155"/>
      <c r="G11" s="39" t="s">
        <v>174</v>
      </c>
      <c r="H11" s="34" t="s">
        <v>202</v>
      </c>
      <c r="I11" s="77" t="s">
        <v>54</v>
      </c>
      <c r="J11" s="54" t="s">
        <v>84</v>
      </c>
      <c r="K11" s="54" t="s">
        <v>97</v>
      </c>
      <c r="L11" s="41">
        <v>1</v>
      </c>
      <c r="M11" s="41">
        <v>1</v>
      </c>
      <c r="N11" s="47">
        <f t="shared" si="0"/>
        <v>100</v>
      </c>
      <c r="O11" s="41"/>
      <c r="P11" s="41"/>
      <c r="Q11" s="57" t="s">
        <v>262</v>
      </c>
      <c r="R11" s="41">
        <v>1</v>
      </c>
      <c r="S11" s="41">
        <v>0</v>
      </c>
      <c r="T11" s="44">
        <v>0</v>
      </c>
      <c r="U11" s="41"/>
      <c r="V11" s="46">
        <v>7253333</v>
      </c>
      <c r="W11" s="57" t="s">
        <v>260</v>
      </c>
      <c r="X11" s="41">
        <v>1</v>
      </c>
      <c r="Y11" s="41">
        <v>1</v>
      </c>
      <c r="Z11" s="63">
        <f t="shared" si="5"/>
        <v>100</v>
      </c>
      <c r="AA11" s="65">
        <f>500000+8100000</f>
        <v>8600000</v>
      </c>
      <c r="AB11" s="65">
        <f>500000+1250000</f>
        <v>1750000</v>
      </c>
      <c r="AC11" s="59">
        <f t="shared" si="6"/>
        <v>0.20348837209302326</v>
      </c>
      <c r="AD11" s="96" t="s">
        <v>356</v>
      </c>
      <c r="AE11" s="41">
        <v>1</v>
      </c>
      <c r="AF11" s="126">
        <v>0</v>
      </c>
      <c r="AG11" s="63">
        <f t="shared" si="3"/>
        <v>0</v>
      </c>
      <c r="AH11" s="70">
        <v>0</v>
      </c>
      <c r="AI11" s="92">
        <v>0</v>
      </c>
      <c r="AJ11" s="59">
        <v>0</v>
      </c>
      <c r="AK11" s="133" t="s">
        <v>304</v>
      </c>
      <c r="AL11" s="52">
        <v>1</v>
      </c>
      <c r="AM11" s="52">
        <f>(M11+S11+Y11+AF11)/4</f>
        <v>0.5</v>
      </c>
      <c r="AN11" s="80">
        <f t="shared" si="4"/>
        <v>50</v>
      </c>
      <c r="AO11" s="95" t="s">
        <v>385</v>
      </c>
    </row>
    <row r="12" spans="1:41" s="42" customFormat="1" ht="216.75" customHeight="1" x14ac:dyDescent="0.5">
      <c r="A12" s="145"/>
      <c r="B12" s="147"/>
      <c r="C12" s="145"/>
      <c r="D12" s="145"/>
      <c r="E12" s="145" t="s">
        <v>160</v>
      </c>
      <c r="F12" s="155" t="s">
        <v>19</v>
      </c>
      <c r="G12" s="146" t="s">
        <v>175</v>
      </c>
      <c r="H12" s="150" t="s">
        <v>45</v>
      </c>
      <c r="I12" s="76" t="s">
        <v>55</v>
      </c>
      <c r="J12" s="54" t="s">
        <v>85</v>
      </c>
      <c r="K12" s="54" t="s">
        <v>83</v>
      </c>
      <c r="L12" s="41">
        <v>1</v>
      </c>
      <c r="M12" s="41">
        <v>1</v>
      </c>
      <c r="N12" s="47">
        <f t="shared" si="0"/>
        <v>100</v>
      </c>
      <c r="O12" s="41"/>
      <c r="P12" s="41"/>
      <c r="Q12" s="58" t="s">
        <v>252</v>
      </c>
      <c r="R12" s="41">
        <v>1</v>
      </c>
      <c r="S12" s="41">
        <v>1</v>
      </c>
      <c r="T12" s="44">
        <f t="shared" si="1"/>
        <v>100</v>
      </c>
      <c r="U12" s="41"/>
      <c r="V12" s="46">
        <v>0</v>
      </c>
      <c r="W12" s="58" t="s">
        <v>252</v>
      </c>
      <c r="X12" s="41">
        <v>1</v>
      </c>
      <c r="Y12" s="41">
        <v>1</v>
      </c>
      <c r="Z12" s="63">
        <f t="shared" si="5"/>
        <v>100</v>
      </c>
      <c r="AA12" s="65">
        <v>0</v>
      </c>
      <c r="AB12" s="46">
        <v>0</v>
      </c>
      <c r="AC12" s="59">
        <v>0</v>
      </c>
      <c r="AD12" s="96" t="s">
        <v>252</v>
      </c>
      <c r="AE12" s="41">
        <v>1</v>
      </c>
      <c r="AF12" s="41">
        <v>1</v>
      </c>
      <c r="AG12" s="63">
        <f t="shared" si="3"/>
        <v>100</v>
      </c>
      <c r="AH12" s="70">
        <v>0</v>
      </c>
      <c r="AI12" s="70">
        <v>0</v>
      </c>
      <c r="AJ12" s="59">
        <v>0</v>
      </c>
      <c r="AK12" s="95" t="s">
        <v>252</v>
      </c>
      <c r="AL12" s="41">
        <v>1</v>
      </c>
      <c r="AM12" s="41">
        <v>1</v>
      </c>
      <c r="AN12" s="68">
        <f t="shared" si="4"/>
        <v>100</v>
      </c>
      <c r="AO12" s="95" t="s">
        <v>329</v>
      </c>
    </row>
    <row r="13" spans="1:41" s="42" customFormat="1" ht="267.75" customHeight="1" x14ac:dyDescent="0.5">
      <c r="A13" s="145"/>
      <c r="B13" s="147"/>
      <c r="C13" s="145"/>
      <c r="D13" s="145"/>
      <c r="E13" s="145"/>
      <c r="F13" s="155"/>
      <c r="G13" s="149"/>
      <c r="H13" s="152"/>
      <c r="I13" s="77" t="s">
        <v>222</v>
      </c>
      <c r="J13" s="54" t="s">
        <v>86</v>
      </c>
      <c r="K13" s="54" t="s">
        <v>95</v>
      </c>
      <c r="L13" s="41">
        <v>1</v>
      </c>
      <c r="M13" s="41">
        <v>1</v>
      </c>
      <c r="N13" s="47">
        <f t="shared" si="0"/>
        <v>100</v>
      </c>
      <c r="O13" s="41"/>
      <c r="P13" s="41"/>
      <c r="Q13" s="57" t="s">
        <v>276</v>
      </c>
      <c r="R13" s="41">
        <v>1</v>
      </c>
      <c r="S13" s="41">
        <v>1</v>
      </c>
      <c r="T13" s="44">
        <f t="shared" si="1"/>
        <v>100</v>
      </c>
      <c r="U13" s="41"/>
      <c r="V13" s="46">
        <v>280000</v>
      </c>
      <c r="W13" s="58" t="s">
        <v>268</v>
      </c>
      <c r="X13" s="41">
        <v>1</v>
      </c>
      <c r="Y13" s="41">
        <v>1</v>
      </c>
      <c r="Z13" s="63">
        <f t="shared" si="5"/>
        <v>100</v>
      </c>
      <c r="AA13" s="65">
        <v>0</v>
      </c>
      <c r="AB13" s="46">
        <v>0</v>
      </c>
      <c r="AC13" s="59">
        <v>0</v>
      </c>
      <c r="AD13" s="96" t="s">
        <v>308</v>
      </c>
      <c r="AE13" s="41">
        <v>1</v>
      </c>
      <c r="AF13" s="52">
        <v>1</v>
      </c>
      <c r="AG13" s="63">
        <f t="shared" si="3"/>
        <v>100</v>
      </c>
      <c r="AH13" s="70">
        <v>0</v>
      </c>
      <c r="AI13" s="70">
        <v>0</v>
      </c>
      <c r="AJ13" s="59">
        <v>0</v>
      </c>
      <c r="AK13" s="132" t="s">
        <v>397</v>
      </c>
      <c r="AL13" s="52">
        <v>1</v>
      </c>
      <c r="AM13" s="52">
        <f>(M13+S13+Y13+AF13)/4</f>
        <v>1</v>
      </c>
      <c r="AN13" s="68">
        <f>AM13/AL13*100</f>
        <v>100</v>
      </c>
      <c r="AO13" s="96" t="s">
        <v>407</v>
      </c>
    </row>
    <row r="14" spans="1:41" s="42" customFormat="1" ht="348.75" customHeight="1" x14ac:dyDescent="0.5">
      <c r="A14" s="145"/>
      <c r="B14" s="147"/>
      <c r="C14" s="145" t="s">
        <v>147</v>
      </c>
      <c r="D14" s="145" t="s">
        <v>20</v>
      </c>
      <c r="E14" s="145" t="s">
        <v>161</v>
      </c>
      <c r="F14" s="155" t="s">
        <v>21</v>
      </c>
      <c r="G14" s="39" t="s">
        <v>176</v>
      </c>
      <c r="H14" s="34" t="s">
        <v>128</v>
      </c>
      <c r="I14" s="77" t="s">
        <v>129</v>
      </c>
      <c r="J14" s="54" t="s">
        <v>87</v>
      </c>
      <c r="K14" s="54" t="s">
        <v>88</v>
      </c>
      <c r="L14" s="41">
        <v>1</v>
      </c>
      <c r="M14" s="41">
        <v>0</v>
      </c>
      <c r="N14" s="47">
        <f t="shared" si="0"/>
        <v>0</v>
      </c>
      <c r="O14" s="41"/>
      <c r="P14" s="41"/>
      <c r="Q14" s="57" t="s">
        <v>263</v>
      </c>
      <c r="R14" s="41">
        <v>1</v>
      </c>
      <c r="S14" s="41">
        <v>0</v>
      </c>
      <c r="T14" s="44">
        <f t="shared" si="1"/>
        <v>0</v>
      </c>
      <c r="U14" s="41"/>
      <c r="V14" s="46">
        <v>143000000</v>
      </c>
      <c r="W14" s="57" t="s">
        <v>260</v>
      </c>
      <c r="X14" s="41">
        <v>100</v>
      </c>
      <c r="Y14" s="41">
        <v>100</v>
      </c>
      <c r="Z14" s="63">
        <f t="shared" si="5"/>
        <v>100</v>
      </c>
      <c r="AA14" s="65">
        <v>7000000</v>
      </c>
      <c r="AB14" s="46">
        <v>7000000</v>
      </c>
      <c r="AC14" s="59">
        <f>AB14/AA14</f>
        <v>1</v>
      </c>
      <c r="AD14" s="96" t="s">
        <v>357</v>
      </c>
      <c r="AE14" s="64">
        <v>1</v>
      </c>
      <c r="AF14" s="64">
        <v>1</v>
      </c>
      <c r="AG14" s="63">
        <f t="shared" si="3"/>
        <v>100</v>
      </c>
      <c r="AH14" s="70">
        <f>9600000</f>
        <v>9600000</v>
      </c>
      <c r="AI14" s="70">
        <f>3200000</f>
        <v>3200000</v>
      </c>
      <c r="AJ14" s="59">
        <f t="shared" si="2"/>
        <v>0.33333333333333331</v>
      </c>
      <c r="AK14" s="96" t="s">
        <v>313</v>
      </c>
      <c r="AL14" s="64">
        <v>1</v>
      </c>
      <c r="AM14" s="64">
        <v>1</v>
      </c>
      <c r="AN14" s="68">
        <f>AM14/AL14*100</f>
        <v>100</v>
      </c>
      <c r="AO14" s="95" t="s">
        <v>330</v>
      </c>
    </row>
    <row r="15" spans="1:41" s="42" customFormat="1" ht="266.25" customHeight="1" x14ac:dyDescent="0.5">
      <c r="A15" s="145"/>
      <c r="B15" s="147"/>
      <c r="C15" s="145"/>
      <c r="D15" s="145"/>
      <c r="E15" s="145"/>
      <c r="F15" s="155"/>
      <c r="G15" s="39" t="s">
        <v>177</v>
      </c>
      <c r="H15" s="34" t="s">
        <v>46</v>
      </c>
      <c r="I15" s="77" t="s">
        <v>130</v>
      </c>
      <c r="J15" s="54" t="s">
        <v>89</v>
      </c>
      <c r="K15" s="54" t="s">
        <v>96</v>
      </c>
      <c r="L15" s="41">
        <v>1</v>
      </c>
      <c r="M15" s="41">
        <v>0</v>
      </c>
      <c r="N15" s="47">
        <f t="shared" si="0"/>
        <v>0</v>
      </c>
      <c r="O15" s="41"/>
      <c r="P15" s="41"/>
      <c r="Q15" s="57" t="s">
        <v>260</v>
      </c>
      <c r="R15" s="41">
        <v>12</v>
      </c>
      <c r="S15" s="41">
        <v>2</v>
      </c>
      <c r="T15" s="45">
        <f t="shared" si="1"/>
        <v>16.666666666666664</v>
      </c>
      <c r="U15" s="41"/>
      <c r="V15" s="46">
        <v>5164321</v>
      </c>
      <c r="W15" s="58" t="s">
        <v>286</v>
      </c>
      <c r="X15" s="64">
        <v>1</v>
      </c>
      <c r="Y15" s="64">
        <v>1</v>
      </c>
      <c r="Z15" s="63">
        <f>(Y15/X15)*100</f>
        <v>100</v>
      </c>
      <c r="AA15" s="65">
        <v>7000000</v>
      </c>
      <c r="AB15" s="46">
        <v>7000000</v>
      </c>
      <c r="AC15" s="59">
        <f>AB15/AA15</f>
        <v>1</v>
      </c>
      <c r="AD15" s="96" t="s">
        <v>358</v>
      </c>
      <c r="AE15" s="64">
        <v>1</v>
      </c>
      <c r="AF15" s="64">
        <v>1</v>
      </c>
      <c r="AG15" s="63">
        <f t="shared" si="3"/>
        <v>100</v>
      </c>
      <c r="AH15" s="70">
        <v>1800000</v>
      </c>
      <c r="AI15" s="70">
        <v>1775000</v>
      </c>
      <c r="AJ15" s="59">
        <f t="shared" si="2"/>
        <v>0.98611111111111116</v>
      </c>
      <c r="AK15" s="96" t="s">
        <v>380</v>
      </c>
      <c r="AL15" s="64">
        <v>1</v>
      </c>
      <c r="AM15" s="73">
        <f>(AF15+Y15+S15+M15)/4</f>
        <v>1</v>
      </c>
      <c r="AN15" s="68">
        <f>AM15/AL15*100</f>
        <v>100</v>
      </c>
      <c r="AO15" s="96" t="s">
        <v>367</v>
      </c>
    </row>
    <row r="16" spans="1:41" s="42" customFormat="1" ht="204.75" customHeight="1" x14ac:dyDescent="0.5">
      <c r="A16" s="145"/>
      <c r="B16" s="147"/>
      <c r="C16" s="145"/>
      <c r="D16" s="145"/>
      <c r="E16" s="39" t="s">
        <v>162</v>
      </c>
      <c r="F16" s="36" t="s">
        <v>22</v>
      </c>
      <c r="G16" s="38" t="s">
        <v>178</v>
      </c>
      <c r="H16" s="36" t="s">
        <v>203</v>
      </c>
      <c r="I16" s="76" t="s">
        <v>223</v>
      </c>
      <c r="J16" s="54" t="s">
        <v>90</v>
      </c>
      <c r="K16" s="54" t="s">
        <v>91</v>
      </c>
      <c r="L16" s="41">
        <v>0</v>
      </c>
      <c r="M16" s="41">
        <v>0</v>
      </c>
      <c r="N16" s="50">
        <v>0</v>
      </c>
      <c r="O16" s="41"/>
      <c r="P16" s="41"/>
      <c r="Q16" s="57" t="s">
        <v>277</v>
      </c>
      <c r="R16" s="41">
        <v>12</v>
      </c>
      <c r="S16" s="41">
        <v>0</v>
      </c>
      <c r="T16" s="44">
        <f t="shared" si="1"/>
        <v>0</v>
      </c>
      <c r="U16" s="41"/>
      <c r="V16" s="46">
        <v>3000000</v>
      </c>
      <c r="W16" s="58" t="s">
        <v>260</v>
      </c>
      <c r="X16" s="64">
        <v>1</v>
      </c>
      <c r="Y16" s="64">
        <v>1</v>
      </c>
      <c r="Z16" s="63">
        <f>(Y16/X16)*100</f>
        <v>100</v>
      </c>
      <c r="AA16" s="65">
        <v>7000000</v>
      </c>
      <c r="AB16" s="65">
        <v>7000000</v>
      </c>
      <c r="AC16" s="59">
        <f t="shared" si="6"/>
        <v>1</v>
      </c>
      <c r="AD16" s="96" t="s">
        <v>359</v>
      </c>
      <c r="AE16" s="64">
        <v>1</v>
      </c>
      <c r="AF16" s="64">
        <v>1</v>
      </c>
      <c r="AG16" s="63">
        <f t="shared" si="3"/>
        <v>100</v>
      </c>
      <c r="AH16" s="70">
        <f>9600000</f>
        <v>9600000</v>
      </c>
      <c r="AI16" s="70">
        <f>3200000</f>
        <v>3200000</v>
      </c>
      <c r="AJ16" s="59">
        <f t="shared" si="2"/>
        <v>0.33333333333333331</v>
      </c>
      <c r="AK16" s="95" t="s">
        <v>343</v>
      </c>
      <c r="AL16" s="64">
        <v>1</v>
      </c>
      <c r="AM16" s="64">
        <v>1</v>
      </c>
      <c r="AN16" s="68">
        <f>AM16/AL16*100</f>
        <v>100</v>
      </c>
      <c r="AO16" s="95" t="s">
        <v>343</v>
      </c>
    </row>
    <row r="17" spans="1:41" s="93" customFormat="1" ht="409.5" customHeight="1" x14ac:dyDescent="0.5">
      <c r="A17" s="146" t="s">
        <v>23</v>
      </c>
      <c r="B17" s="146" t="s">
        <v>24</v>
      </c>
      <c r="C17" s="145" t="s">
        <v>148</v>
      </c>
      <c r="D17" s="146" t="s">
        <v>25</v>
      </c>
      <c r="E17" s="145" t="s">
        <v>163</v>
      </c>
      <c r="F17" s="150" t="s">
        <v>26</v>
      </c>
      <c r="G17" s="146" t="s">
        <v>179</v>
      </c>
      <c r="H17" s="155" t="s">
        <v>57</v>
      </c>
      <c r="I17" s="83" t="s">
        <v>58</v>
      </c>
      <c r="J17" s="84" t="s">
        <v>92</v>
      </c>
      <c r="K17" s="84" t="s">
        <v>95</v>
      </c>
      <c r="L17" s="52">
        <v>1</v>
      </c>
      <c r="M17" s="52">
        <v>1</v>
      </c>
      <c r="N17" s="85">
        <f t="shared" si="0"/>
        <v>100</v>
      </c>
      <c r="O17" s="52"/>
      <c r="P17" s="52"/>
      <c r="Q17" s="86" t="s">
        <v>278</v>
      </c>
      <c r="R17" s="52">
        <v>1</v>
      </c>
      <c r="S17" s="52">
        <v>0</v>
      </c>
      <c r="T17" s="52">
        <f t="shared" si="1"/>
        <v>0</v>
      </c>
      <c r="U17" s="52"/>
      <c r="V17" s="127">
        <v>5739187</v>
      </c>
      <c r="W17" s="89" t="s">
        <v>260</v>
      </c>
      <c r="X17" s="52">
        <v>1</v>
      </c>
      <c r="Y17" s="52">
        <v>1</v>
      </c>
      <c r="Z17" s="90">
        <f t="shared" si="5"/>
        <v>100</v>
      </c>
      <c r="AA17" s="91">
        <v>5238569</v>
      </c>
      <c r="AB17" s="88">
        <v>3677444</v>
      </c>
      <c r="AC17" s="85">
        <f t="shared" si="6"/>
        <v>0.70199399874278645</v>
      </c>
      <c r="AD17" s="96" t="s">
        <v>382</v>
      </c>
      <c r="AE17" s="52">
        <v>1</v>
      </c>
      <c r="AF17" s="52">
        <v>1</v>
      </c>
      <c r="AG17" s="90">
        <f t="shared" si="3"/>
        <v>100</v>
      </c>
      <c r="AH17" s="92">
        <v>7280000</v>
      </c>
      <c r="AI17" s="92">
        <v>1337040</v>
      </c>
      <c r="AJ17" s="59">
        <f t="shared" si="2"/>
        <v>0.18365934065934067</v>
      </c>
      <c r="AK17" s="96" t="s">
        <v>373</v>
      </c>
      <c r="AL17" s="52">
        <v>1</v>
      </c>
      <c r="AM17" s="52">
        <f>(M17+S17+Y17+AF17)/4</f>
        <v>0.75</v>
      </c>
      <c r="AN17" s="68">
        <f>AM17/AL17*100</f>
        <v>75</v>
      </c>
      <c r="AO17" s="96" t="s">
        <v>331</v>
      </c>
    </row>
    <row r="18" spans="1:41" s="42" customFormat="1" ht="276.75" customHeight="1" x14ac:dyDescent="0.5">
      <c r="A18" s="144"/>
      <c r="B18" s="144"/>
      <c r="C18" s="145"/>
      <c r="D18" s="144"/>
      <c r="E18" s="145"/>
      <c r="F18" s="151"/>
      <c r="G18" s="149"/>
      <c r="H18" s="155"/>
      <c r="I18" s="77" t="s">
        <v>56</v>
      </c>
      <c r="J18" s="54" t="s">
        <v>92</v>
      </c>
      <c r="K18" s="54" t="s">
        <v>95</v>
      </c>
      <c r="L18" s="41">
        <v>1</v>
      </c>
      <c r="M18" s="41">
        <v>0</v>
      </c>
      <c r="N18" s="47">
        <f t="shared" si="0"/>
        <v>0</v>
      </c>
      <c r="O18" s="41"/>
      <c r="P18" s="41"/>
      <c r="Q18" s="57" t="s">
        <v>260</v>
      </c>
      <c r="R18" s="126">
        <v>1</v>
      </c>
      <c r="S18" s="41">
        <v>0</v>
      </c>
      <c r="T18" s="44">
        <f t="shared" si="1"/>
        <v>0</v>
      </c>
      <c r="U18" s="41"/>
      <c r="V18" s="46">
        <v>1115357</v>
      </c>
      <c r="W18" s="58" t="s">
        <v>260</v>
      </c>
      <c r="X18" s="41">
        <v>1</v>
      </c>
      <c r="Y18" s="41">
        <v>1</v>
      </c>
      <c r="Z18" s="63">
        <f t="shared" si="5"/>
        <v>100</v>
      </c>
      <c r="AA18" s="65">
        <f>4367372+618333</f>
        <v>4985705</v>
      </c>
      <c r="AB18" s="46">
        <f>2593290+618333</f>
        <v>3211623</v>
      </c>
      <c r="AC18" s="59">
        <v>0.59</v>
      </c>
      <c r="AD18" s="96" t="s">
        <v>318</v>
      </c>
      <c r="AE18" s="41">
        <v>1</v>
      </c>
      <c r="AF18" s="41">
        <v>1</v>
      </c>
      <c r="AG18" s="63">
        <f t="shared" si="3"/>
        <v>100</v>
      </c>
      <c r="AH18" s="70">
        <v>8073000</v>
      </c>
      <c r="AI18" s="70">
        <v>1849000</v>
      </c>
      <c r="AJ18" s="59">
        <f t="shared" si="2"/>
        <v>0.22903505512201164</v>
      </c>
      <c r="AK18" s="96" t="s">
        <v>374</v>
      </c>
      <c r="AL18" s="52">
        <v>1</v>
      </c>
      <c r="AM18" s="41">
        <f>(M18+S18+Y18+AF18)/4</f>
        <v>0.5</v>
      </c>
      <c r="AN18" s="68">
        <f>+(AM18/AL18)*100</f>
        <v>50</v>
      </c>
      <c r="AO18" s="95" t="s">
        <v>332</v>
      </c>
    </row>
    <row r="19" spans="1:41" s="42" customFormat="1" ht="409.5" customHeight="1" x14ac:dyDescent="0.5">
      <c r="A19" s="144"/>
      <c r="B19" s="144"/>
      <c r="C19" s="145"/>
      <c r="D19" s="144"/>
      <c r="E19" s="145"/>
      <c r="F19" s="151"/>
      <c r="G19" s="39" t="s">
        <v>180</v>
      </c>
      <c r="H19" s="34" t="s">
        <v>131</v>
      </c>
      <c r="I19" s="77" t="s">
        <v>59</v>
      </c>
      <c r="J19" s="54" t="s">
        <v>93</v>
      </c>
      <c r="K19" s="54" t="s">
        <v>94</v>
      </c>
      <c r="L19" s="41">
        <v>1</v>
      </c>
      <c r="M19" s="41">
        <v>1</v>
      </c>
      <c r="N19" s="47">
        <f t="shared" si="0"/>
        <v>100</v>
      </c>
      <c r="O19" s="41"/>
      <c r="P19" s="41"/>
      <c r="Q19" s="57" t="s">
        <v>279</v>
      </c>
      <c r="R19" s="41">
        <v>1</v>
      </c>
      <c r="S19" s="41">
        <v>1</v>
      </c>
      <c r="T19" s="44">
        <f t="shared" si="1"/>
        <v>100</v>
      </c>
      <c r="U19" s="41"/>
      <c r="V19" s="46">
        <v>10624940</v>
      </c>
      <c r="W19" s="58" t="s">
        <v>265</v>
      </c>
      <c r="X19" s="41">
        <v>1</v>
      </c>
      <c r="Y19" s="41">
        <v>1</v>
      </c>
      <c r="Z19" s="63">
        <f t="shared" si="5"/>
        <v>100</v>
      </c>
      <c r="AA19" s="65">
        <v>500000</v>
      </c>
      <c r="AB19" s="65">
        <v>500000</v>
      </c>
      <c r="AC19" s="59">
        <f t="shared" si="6"/>
        <v>1</v>
      </c>
      <c r="AD19" s="96" t="s">
        <v>319</v>
      </c>
      <c r="AE19" s="41">
        <v>1</v>
      </c>
      <c r="AF19" s="41">
        <v>1</v>
      </c>
      <c r="AG19" s="63">
        <f t="shared" si="3"/>
        <v>100</v>
      </c>
      <c r="AH19" s="70">
        <v>31400000</v>
      </c>
      <c r="AI19" s="70">
        <v>6300000</v>
      </c>
      <c r="AJ19" s="59">
        <f t="shared" si="2"/>
        <v>0.20063694267515925</v>
      </c>
      <c r="AK19" s="95" t="s">
        <v>398</v>
      </c>
      <c r="AL19" s="41">
        <v>1</v>
      </c>
      <c r="AM19" s="41">
        <v>1</v>
      </c>
      <c r="AN19" s="68">
        <f t="shared" si="4"/>
        <v>100</v>
      </c>
      <c r="AO19" s="95" t="s">
        <v>346</v>
      </c>
    </row>
    <row r="20" spans="1:41" s="42" customFormat="1" ht="409.5" customHeight="1" x14ac:dyDescent="0.5">
      <c r="A20" s="144"/>
      <c r="B20" s="144"/>
      <c r="C20" s="145"/>
      <c r="D20" s="144"/>
      <c r="E20" s="145"/>
      <c r="F20" s="151"/>
      <c r="G20" s="39" t="s">
        <v>181</v>
      </c>
      <c r="H20" s="34" t="s">
        <v>60</v>
      </c>
      <c r="I20" s="77" t="s">
        <v>132</v>
      </c>
      <c r="J20" s="54" t="s">
        <v>98</v>
      </c>
      <c r="K20" s="54" t="s">
        <v>99</v>
      </c>
      <c r="L20" s="41">
        <v>1</v>
      </c>
      <c r="M20" s="41">
        <v>0</v>
      </c>
      <c r="N20" s="47">
        <f t="shared" si="0"/>
        <v>0</v>
      </c>
      <c r="O20" s="41"/>
      <c r="P20" s="41"/>
      <c r="Q20" s="57" t="s">
        <v>260</v>
      </c>
      <c r="R20" s="41">
        <v>1</v>
      </c>
      <c r="S20" s="41"/>
      <c r="T20" s="44">
        <f t="shared" si="1"/>
        <v>0</v>
      </c>
      <c r="U20" s="41"/>
      <c r="V20" s="46">
        <v>234107</v>
      </c>
      <c r="W20" s="58" t="s">
        <v>260</v>
      </c>
      <c r="X20" s="41">
        <v>1</v>
      </c>
      <c r="Y20" s="41">
        <v>1</v>
      </c>
      <c r="Z20" s="63">
        <f t="shared" si="5"/>
        <v>100</v>
      </c>
      <c r="AA20" s="65">
        <v>0</v>
      </c>
      <c r="AB20" s="46">
        <v>0</v>
      </c>
      <c r="AC20" s="59">
        <v>0</v>
      </c>
      <c r="AD20" s="96" t="s">
        <v>360</v>
      </c>
      <c r="AE20" s="41">
        <v>1</v>
      </c>
      <c r="AF20" s="126">
        <v>0.8</v>
      </c>
      <c r="AG20" s="63">
        <f t="shared" si="3"/>
        <v>80</v>
      </c>
      <c r="AH20" s="70">
        <f>320000</f>
        <v>320000</v>
      </c>
      <c r="AI20" s="70">
        <f>320000</f>
        <v>320000</v>
      </c>
      <c r="AJ20" s="59">
        <f t="shared" si="2"/>
        <v>1</v>
      </c>
      <c r="AK20" s="96" t="s">
        <v>375</v>
      </c>
      <c r="AL20" s="41">
        <v>1</v>
      </c>
      <c r="AM20" s="41">
        <v>0.8</v>
      </c>
      <c r="AN20" s="68">
        <f>AM20/AL20*100</f>
        <v>80</v>
      </c>
      <c r="AO20" s="95" t="s">
        <v>347</v>
      </c>
    </row>
    <row r="21" spans="1:41" s="42" customFormat="1" ht="408.75" customHeight="1" x14ac:dyDescent="0.5">
      <c r="A21" s="144"/>
      <c r="B21" s="144"/>
      <c r="C21" s="145"/>
      <c r="D21" s="149"/>
      <c r="E21" s="145"/>
      <c r="F21" s="152"/>
      <c r="G21" s="39" t="s">
        <v>182</v>
      </c>
      <c r="H21" s="34" t="s">
        <v>204</v>
      </c>
      <c r="I21" s="77" t="s">
        <v>224</v>
      </c>
      <c r="J21" s="54" t="s">
        <v>84</v>
      </c>
      <c r="K21" s="54" t="s">
        <v>95</v>
      </c>
      <c r="L21" s="41">
        <v>1</v>
      </c>
      <c r="M21" s="41">
        <v>0</v>
      </c>
      <c r="N21" s="47">
        <f t="shared" si="0"/>
        <v>0</v>
      </c>
      <c r="O21" s="41"/>
      <c r="P21" s="41"/>
      <c r="Q21" s="57" t="s">
        <v>280</v>
      </c>
      <c r="R21" s="41">
        <v>1</v>
      </c>
      <c r="S21" s="41">
        <v>0</v>
      </c>
      <c r="T21" s="44">
        <f t="shared" si="1"/>
        <v>0</v>
      </c>
      <c r="U21" s="41"/>
      <c r="V21" s="46">
        <v>1664107</v>
      </c>
      <c r="W21" s="58" t="s">
        <v>258</v>
      </c>
      <c r="X21" s="41">
        <v>1</v>
      </c>
      <c r="Y21" s="41">
        <v>1</v>
      </c>
      <c r="Z21" s="63">
        <f>(Y21/X21)*100</f>
        <v>100</v>
      </c>
      <c r="AA21" s="46">
        <v>733332</v>
      </c>
      <c r="AB21" s="46">
        <v>733332</v>
      </c>
      <c r="AC21" s="59">
        <f t="shared" si="6"/>
        <v>1</v>
      </c>
      <c r="AD21" s="96" t="s">
        <v>310</v>
      </c>
      <c r="AE21" s="52">
        <v>1</v>
      </c>
      <c r="AF21" s="41">
        <v>1</v>
      </c>
      <c r="AG21" s="63">
        <f t="shared" si="3"/>
        <v>100</v>
      </c>
      <c r="AH21" s="121">
        <v>763000</v>
      </c>
      <c r="AI21" s="121">
        <v>763000</v>
      </c>
      <c r="AJ21" s="122" t="s">
        <v>372</v>
      </c>
      <c r="AK21" s="119" t="s">
        <v>401</v>
      </c>
      <c r="AL21" s="52">
        <v>1</v>
      </c>
      <c r="AM21" s="41">
        <f>(M21+S21+Y21+AF21)/4</f>
        <v>0.5</v>
      </c>
      <c r="AN21" s="68">
        <f>AM21/AL21*100</f>
        <v>50</v>
      </c>
      <c r="AO21" s="95" t="s">
        <v>348</v>
      </c>
    </row>
    <row r="22" spans="1:41" s="42" customFormat="1" ht="408.75" customHeight="1" x14ac:dyDescent="0.5">
      <c r="A22" s="144"/>
      <c r="B22" s="144"/>
      <c r="C22" s="145" t="s">
        <v>149</v>
      </c>
      <c r="D22" s="145" t="s">
        <v>27</v>
      </c>
      <c r="E22" s="145" t="s">
        <v>164</v>
      </c>
      <c r="F22" s="155" t="s">
        <v>28</v>
      </c>
      <c r="G22" s="39" t="s">
        <v>183</v>
      </c>
      <c r="H22" s="34" t="s">
        <v>49</v>
      </c>
      <c r="I22" s="77" t="s">
        <v>225</v>
      </c>
      <c r="J22" s="54" t="s">
        <v>100</v>
      </c>
      <c r="K22" s="54" t="s">
        <v>101</v>
      </c>
      <c r="L22" s="41">
        <v>1</v>
      </c>
      <c r="M22" s="41">
        <v>0</v>
      </c>
      <c r="N22" s="47">
        <f t="shared" si="0"/>
        <v>0</v>
      </c>
      <c r="O22" s="41"/>
      <c r="P22" s="41"/>
      <c r="Q22" s="57" t="s">
        <v>281</v>
      </c>
      <c r="R22" s="41">
        <v>1</v>
      </c>
      <c r="S22" s="41">
        <v>0</v>
      </c>
      <c r="T22" s="44">
        <f t="shared" si="1"/>
        <v>0</v>
      </c>
      <c r="U22" s="41"/>
      <c r="V22" s="46">
        <v>5023333</v>
      </c>
      <c r="W22" s="58" t="s">
        <v>260</v>
      </c>
      <c r="X22" s="41">
        <v>1</v>
      </c>
      <c r="Y22" s="41">
        <v>1</v>
      </c>
      <c r="Z22" s="63">
        <f>(Y22/X22)*100</f>
        <v>100</v>
      </c>
      <c r="AA22" s="65">
        <f>2434123+214000</f>
        <v>2648123</v>
      </c>
      <c r="AB22" s="46">
        <v>1237041</v>
      </c>
      <c r="AC22" s="59">
        <f t="shared" si="6"/>
        <v>0.4671387998216095</v>
      </c>
      <c r="AD22" s="96" t="s">
        <v>361</v>
      </c>
      <c r="AE22" s="41">
        <v>1</v>
      </c>
      <c r="AF22" s="41">
        <v>1</v>
      </c>
      <c r="AG22" s="63">
        <f t="shared" si="3"/>
        <v>100</v>
      </c>
      <c r="AH22" s="70">
        <v>7566000</v>
      </c>
      <c r="AI22" s="70">
        <v>2189000</v>
      </c>
      <c r="AJ22" s="59">
        <f t="shared" si="2"/>
        <v>0.28932064499074811</v>
      </c>
      <c r="AK22" s="95" t="s">
        <v>386</v>
      </c>
      <c r="AL22" s="52">
        <v>1</v>
      </c>
      <c r="AM22" s="41">
        <f>(M22+S22+Y22+AF22)/4</f>
        <v>0.5</v>
      </c>
      <c r="AN22" s="68">
        <f>AM22/AL22*100</f>
        <v>50</v>
      </c>
      <c r="AO22" s="95" t="s">
        <v>349</v>
      </c>
    </row>
    <row r="23" spans="1:41" s="42" customFormat="1" ht="409.5" customHeight="1" x14ac:dyDescent="0.5">
      <c r="A23" s="149"/>
      <c r="B23" s="149"/>
      <c r="C23" s="145"/>
      <c r="D23" s="145"/>
      <c r="E23" s="145"/>
      <c r="F23" s="155"/>
      <c r="G23" s="39" t="s">
        <v>184</v>
      </c>
      <c r="H23" s="34" t="s">
        <v>205</v>
      </c>
      <c r="I23" s="77" t="s">
        <v>226</v>
      </c>
      <c r="J23" s="54" t="s">
        <v>102</v>
      </c>
      <c r="K23" s="54" t="s">
        <v>103</v>
      </c>
      <c r="L23" s="41">
        <v>11</v>
      </c>
      <c r="M23" s="41">
        <v>0</v>
      </c>
      <c r="N23" s="47">
        <f t="shared" si="0"/>
        <v>0</v>
      </c>
      <c r="O23" s="41"/>
      <c r="P23" s="41"/>
      <c r="Q23" s="57" t="s">
        <v>260</v>
      </c>
      <c r="R23" s="41">
        <v>12</v>
      </c>
      <c r="S23" s="41">
        <v>0</v>
      </c>
      <c r="T23" s="44">
        <f t="shared" si="1"/>
        <v>0</v>
      </c>
      <c r="U23" s="41"/>
      <c r="V23" s="46">
        <v>0</v>
      </c>
      <c r="W23" s="58" t="s">
        <v>260</v>
      </c>
      <c r="X23" s="41">
        <v>12</v>
      </c>
      <c r="Y23" s="41">
        <v>0</v>
      </c>
      <c r="Z23" s="63">
        <f t="shared" si="5"/>
        <v>0</v>
      </c>
      <c r="AA23" s="65">
        <v>25770000</v>
      </c>
      <c r="AB23" s="46">
        <v>25676000</v>
      </c>
      <c r="AC23" s="59">
        <f t="shared" si="6"/>
        <v>0.99635234769111369</v>
      </c>
      <c r="AD23" s="130" t="s">
        <v>362</v>
      </c>
      <c r="AE23" s="66">
        <v>12</v>
      </c>
      <c r="AF23" s="66">
        <v>3</v>
      </c>
      <c r="AG23" s="63">
        <f>(AF23/AE23)*100</f>
        <v>25</v>
      </c>
      <c r="AH23" s="72">
        <f>1600000</f>
        <v>1600000</v>
      </c>
      <c r="AI23" s="72">
        <f>800000</f>
        <v>800000</v>
      </c>
      <c r="AJ23" s="59">
        <f t="shared" si="2"/>
        <v>0.5</v>
      </c>
      <c r="AK23" s="97" t="s">
        <v>406</v>
      </c>
      <c r="AL23" s="99">
        <v>12</v>
      </c>
      <c r="AM23" s="66">
        <f>(M23+S23+Y23+AF23)</f>
        <v>3</v>
      </c>
      <c r="AN23" s="68">
        <f>AM23/AL23*100</f>
        <v>25</v>
      </c>
      <c r="AO23" s="95" t="s">
        <v>351</v>
      </c>
    </row>
    <row r="24" spans="1:41" s="42" customFormat="1" ht="408.75" customHeight="1" x14ac:dyDescent="0.5">
      <c r="A24" s="146" t="s">
        <v>29</v>
      </c>
      <c r="B24" s="145" t="s">
        <v>30</v>
      </c>
      <c r="C24" s="145" t="s">
        <v>150</v>
      </c>
      <c r="D24" s="145" t="s">
        <v>31</v>
      </c>
      <c r="E24" s="39" t="s">
        <v>165</v>
      </c>
      <c r="F24" s="34" t="s">
        <v>32</v>
      </c>
      <c r="G24" s="39" t="s">
        <v>185</v>
      </c>
      <c r="H24" s="36" t="s">
        <v>206</v>
      </c>
      <c r="I24" s="77" t="s">
        <v>227</v>
      </c>
      <c r="J24" s="54" t="s">
        <v>104</v>
      </c>
      <c r="K24" s="54" t="s">
        <v>105</v>
      </c>
      <c r="L24" s="41">
        <v>12</v>
      </c>
      <c r="M24" s="41">
        <v>11</v>
      </c>
      <c r="N24" s="47">
        <f t="shared" si="0"/>
        <v>91.666666666666657</v>
      </c>
      <c r="O24" s="41"/>
      <c r="P24" s="41"/>
      <c r="Q24" s="57" t="s">
        <v>282</v>
      </c>
      <c r="R24" s="41">
        <v>12</v>
      </c>
      <c r="S24" s="41">
        <v>12</v>
      </c>
      <c r="T24" s="44">
        <f t="shared" si="1"/>
        <v>100</v>
      </c>
      <c r="U24" s="41"/>
      <c r="V24" s="46">
        <v>13544107</v>
      </c>
      <c r="W24" s="58" t="s">
        <v>269</v>
      </c>
      <c r="X24" s="41">
        <v>12</v>
      </c>
      <c r="Y24" s="41">
        <v>12</v>
      </c>
      <c r="Z24" s="63">
        <f t="shared" si="5"/>
        <v>100</v>
      </c>
      <c r="AA24" s="65">
        <f>10000000+1430000</f>
        <v>11430000</v>
      </c>
      <c r="AB24" s="46">
        <v>6532000</v>
      </c>
      <c r="AC24" s="59">
        <f t="shared" si="6"/>
        <v>0.57147856517935258</v>
      </c>
      <c r="AD24" s="96" t="s">
        <v>314</v>
      </c>
      <c r="AE24" s="41">
        <v>12</v>
      </c>
      <c r="AF24" s="41">
        <v>12</v>
      </c>
      <c r="AG24" s="63">
        <f t="shared" si="3"/>
        <v>100</v>
      </c>
      <c r="AH24" s="70">
        <v>1516000000</v>
      </c>
      <c r="AI24" s="70">
        <v>148889262</v>
      </c>
      <c r="AJ24" s="59">
        <f t="shared" si="2"/>
        <v>9.8211914248021115E-2</v>
      </c>
      <c r="AK24" s="96" t="s">
        <v>405</v>
      </c>
      <c r="AL24" s="41">
        <v>12</v>
      </c>
      <c r="AM24" s="52">
        <v>12</v>
      </c>
      <c r="AN24" s="79">
        <v>100</v>
      </c>
      <c r="AO24" s="95" t="s">
        <v>392</v>
      </c>
    </row>
    <row r="25" spans="1:41" s="42" customFormat="1" ht="408.75" customHeight="1" x14ac:dyDescent="0.5">
      <c r="A25" s="144"/>
      <c r="B25" s="145"/>
      <c r="C25" s="145"/>
      <c r="D25" s="145"/>
      <c r="E25" s="39" t="s">
        <v>166</v>
      </c>
      <c r="F25" s="34" t="s">
        <v>133</v>
      </c>
      <c r="G25" s="39" t="s">
        <v>186</v>
      </c>
      <c r="H25" s="36" t="s">
        <v>207</v>
      </c>
      <c r="I25" s="77" t="s">
        <v>228</v>
      </c>
      <c r="J25" s="54" t="s">
        <v>106</v>
      </c>
      <c r="K25" s="54" t="s">
        <v>107</v>
      </c>
      <c r="L25" s="41">
        <v>12</v>
      </c>
      <c r="M25" s="41">
        <v>6</v>
      </c>
      <c r="N25" s="47">
        <f t="shared" si="0"/>
        <v>50</v>
      </c>
      <c r="O25" s="41" t="s">
        <v>283</v>
      </c>
      <c r="P25" s="41" t="s">
        <v>283</v>
      </c>
      <c r="Q25" s="57" t="s">
        <v>284</v>
      </c>
      <c r="R25" s="41">
        <v>12</v>
      </c>
      <c r="S25" s="41">
        <v>12</v>
      </c>
      <c r="T25" s="44">
        <f t="shared" si="1"/>
        <v>100</v>
      </c>
      <c r="U25" s="41"/>
      <c r="V25" s="46">
        <v>801079547</v>
      </c>
      <c r="W25" s="58" t="s">
        <v>270</v>
      </c>
      <c r="X25" s="41">
        <v>12</v>
      </c>
      <c r="Y25" s="41">
        <v>12</v>
      </c>
      <c r="Z25" s="63">
        <f t="shared" si="5"/>
        <v>100</v>
      </c>
      <c r="AA25" s="65">
        <f>302419700+90000000</f>
        <v>392419700</v>
      </c>
      <c r="AB25" s="65">
        <f>302419700+90000000</f>
        <v>392419700</v>
      </c>
      <c r="AC25" s="59">
        <f t="shared" si="6"/>
        <v>1</v>
      </c>
      <c r="AD25" s="96" t="s">
        <v>311</v>
      </c>
      <c r="AE25" s="41">
        <v>12</v>
      </c>
      <c r="AF25" s="41">
        <v>12</v>
      </c>
      <c r="AG25" s="63">
        <f t="shared" si="3"/>
        <v>100</v>
      </c>
      <c r="AH25" s="70">
        <f>563000+130000000+15000000</f>
        <v>145563000</v>
      </c>
      <c r="AI25" s="70">
        <f>563000+130000000+6000000</f>
        <v>136563000</v>
      </c>
      <c r="AJ25" s="59">
        <f t="shared" si="2"/>
        <v>0.93817110117268809</v>
      </c>
      <c r="AK25" s="96" t="s">
        <v>399</v>
      </c>
      <c r="AL25" s="41">
        <v>12</v>
      </c>
      <c r="AM25" s="126">
        <v>12</v>
      </c>
      <c r="AN25" s="135">
        <v>100</v>
      </c>
      <c r="AO25" s="95" t="s">
        <v>338</v>
      </c>
    </row>
    <row r="26" spans="1:41" s="42" customFormat="1" ht="216" customHeight="1" x14ac:dyDescent="0.5">
      <c r="A26" s="144"/>
      <c r="B26" s="145"/>
      <c r="C26" s="145" t="s">
        <v>151</v>
      </c>
      <c r="D26" s="146" t="s">
        <v>33</v>
      </c>
      <c r="E26" s="145" t="s">
        <v>167</v>
      </c>
      <c r="F26" s="150" t="s">
        <v>34</v>
      </c>
      <c r="G26" s="146" t="s">
        <v>187</v>
      </c>
      <c r="H26" s="150" t="s">
        <v>208</v>
      </c>
      <c r="I26" s="78" t="s">
        <v>134</v>
      </c>
      <c r="J26" s="54" t="s">
        <v>108</v>
      </c>
      <c r="K26" s="54" t="s">
        <v>109</v>
      </c>
      <c r="L26" s="41">
        <v>1</v>
      </c>
      <c r="M26" s="41">
        <v>0</v>
      </c>
      <c r="N26" s="47">
        <f t="shared" si="0"/>
        <v>0</v>
      </c>
      <c r="O26" s="41"/>
      <c r="P26" s="41"/>
      <c r="Q26" s="57" t="s">
        <v>260</v>
      </c>
      <c r="R26" s="41">
        <v>1</v>
      </c>
      <c r="S26" s="41">
        <v>0</v>
      </c>
      <c r="T26" s="44">
        <f t="shared" si="1"/>
        <v>0</v>
      </c>
      <c r="U26" s="41"/>
      <c r="V26" s="46">
        <v>0</v>
      </c>
      <c r="W26" s="58" t="s">
        <v>260</v>
      </c>
      <c r="X26" s="41">
        <v>1</v>
      </c>
      <c r="Y26" s="41">
        <v>1</v>
      </c>
      <c r="Z26" s="63">
        <f t="shared" si="5"/>
        <v>100</v>
      </c>
      <c r="AA26" s="65">
        <v>9600000</v>
      </c>
      <c r="AB26" s="46">
        <v>3300000</v>
      </c>
      <c r="AC26" s="59">
        <f t="shared" si="6"/>
        <v>0.34375</v>
      </c>
      <c r="AD26" s="96" t="s">
        <v>378</v>
      </c>
      <c r="AE26" s="41">
        <v>1</v>
      </c>
      <c r="AF26" s="41">
        <v>1</v>
      </c>
      <c r="AG26" s="63">
        <f t="shared" si="3"/>
        <v>100</v>
      </c>
      <c r="AH26" s="70">
        <v>16800000</v>
      </c>
      <c r="AI26" s="70">
        <v>3633000</v>
      </c>
      <c r="AJ26" s="59">
        <f t="shared" si="2"/>
        <v>0.21625</v>
      </c>
      <c r="AK26" s="95" t="s">
        <v>376</v>
      </c>
      <c r="AL26" s="52">
        <v>1</v>
      </c>
      <c r="AM26" s="52">
        <f>(M26+S26+Y26+AF26)/4</f>
        <v>0.5</v>
      </c>
      <c r="AN26" s="68">
        <f>AM26/AL26*100</f>
        <v>50</v>
      </c>
      <c r="AO26" s="95" t="s">
        <v>333</v>
      </c>
    </row>
    <row r="27" spans="1:41" s="42" customFormat="1" ht="409.5" customHeight="1" x14ac:dyDescent="0.5">
      <c r="A27" s="144"/>
      <c r="B27" s="145"/>
      <c r="C27" s="145"/>
      <c r="D27" s="144"/>
      <c r="E27" s="145"/>
      <c r="F27" s="151"/>
      <c r="G27" s="149"/>
      <c r="H27" s="152"/>
      <c r="I27" s="77" t="s">
        <v>229</v>
      </c>
      <c r="J27" s="54" t="s">
        <v>110</v>
      </c>
      <c r="K27" s="54" t="s">
        <v>111</v>
      </c>
      <c r="L27" s="41">
        <v>1</v>
      </c>
      <c r="M27" s="41">
        <v>0</v>
      </c>
      <c r="N27" s="47">
        <f t="shared" si="0"/>
        <v>0</v>
      </c>
      <c r="O27" s="41"/>
      <c r="P27" s="41"/>
      <c r="Q27" s="57" t="s">
        <v>260</v>
      </c>
      <c r="R27" s="41">
        <v>1</v>
      </c>
      <c r="S27" s="41">
        <v>1</v>
      </c>
      <c r="T27" s="44">
        <f t="shared" si="1"/>
        <v>100</v>
      </c>
      <c r="U27" s="41"/>
      <c r="V27" s="46">
        <v>1650000</v>
      </c>
      <c r="W27" s="58" t="s">
        <v>287</v>
      </c>
      <c r="X27" s="41">
        <v>1</v>
      </c>
      <c r="Y27" s="41">
        <v>1</v>
      </c>
      <c r="Z27" s="63">
        <f t="shared" si="5"/>
        <v>100</v>
      </c>
      <c r="AA27" s="65">
        <v>0</v>
      </c>
      <c r="AB27" s="46">
        <v>0</v>
      </c>
      <c r="AC27" s="59">
        <v>0</v>
      </c>
      <c r="AD27" s="96" t="s">
        <v>320</v>
      </c>
      <c r="AE27" s="41">
        <v>1</v>
      </c>
      <c r="AF27" s="41">
        <v>1</v>
      </c>
      <c r="AG27" s="63">
        <f t="shared" si="3"/>
        <v>100</v>
      </c>
      <c r="AH27" s="70">
        <v>16800000</v>
      </c>
      <c r="AI27" s="70">
        <v>3633000</v>
      </c>
      <c r="AJ27" s="59">
        <f t="shared" si="2"/>
        <v>0.21625</v>
      </c>
      <c r="AK27" s="95" t="s">
        <v>379</v>
      </c>
      <c r="AL27" s="52">
        <v>1</v>
      </c>
      <c r="AM27" s="41">
        <f>(M27+S27+Y27+AF27)/4</f>
        <v>0.75</v>
      </c>
      <c r="AN27" s="68">
        <f>AM27/AL27*100</f>
        <v>75</v>
      </c>
      <c r="AO27" s="95" t="s">
        <v>334</v>
      </c>
    </row>
    <row r="28" spans="1:41" s="42" customFormat="1" ht="218.25" customHeight="1" x14ac:dyDescent="0.5">
      <c r="A28" s="144"/>
      <c r="B28" s="145"/>
      <c r="C28" s="145"/>
      <c r="D28" s="144"/>
      <c r="E28" s="145"/>
      <c r="F28" s="151"/>
      <c r="G28" s="39" t="s">
        <v>188</v>
      </c>
      <c r="H28" s="34" t="s">
        <v>209</v>
      </c>
      <c r="I28" s="77" t="s">
        <v>61</v>
      </c>
      <c r="J28" s="54" t="s">
        <v>93</v>
      </c>
      <c r="K28" s="54" t="s">
        <v>111</v>
      </c>
      <c r="L28" s="41">
        <v>1</v>
      </c>
      <c r="M28" s="41">
        <v>0</v>
      </c>
      <c r="N28" s="47">
        <f t="shared" si="0"/>
        <v>0</v>
      </c>
      <c r="O28" s="41"/>
      <c r="P28" s="41"/>
      <c r="Q28" s="57" t="s">
        <v>260</v>
      </c>
      <c r="R28" s="41">
        <v>1</v>
      </c>
      <c r="S28" s="41">
        <v>0</v>
      </c>
      <c r="T28" s="44">
        <f t="shared" si="1"/>
        <v>0</v>
      </c>
      <c r="U28" s="41"/>
      <c r="V28" s="46">
        <v>1650000</v>
      </c>
      <c r="W28" s="58" t="s">
        <v>345</v>
      </c>
      <c r="X28" s="41">
        <v>1</v>
      </c>
      <c r="Y28" s="41">
        <v>0</v>
      </c>
      <c r="Z28" s="63">
        <f t="shared" si="5"/>
        <v>0</v>
      </c>
      <c r="AA28" s="65">
        <v>0</v>
      </c>
      <c r="AB28" s="46">
        <v>0</v>
      </c>
      <c r="AC28" s="59">
        <v>0</v>
      </c>
      <c r="AD28" s="96" t="s">
        <v>304</v>
      </c>
      <c r="AE28" s="41">
        <v>1</v>
      </c>
      <c r="AF28" s="41">
        <v>1</v>
      </c>
      <c r="AG28" s="63">
        <f t="shared" si="3"/>
        <v>100</v>
      </c>
      <c r="AH28" s="70">
        <v>14200000</v>
      </c>
      <c r="AI28" s="70">
        <v>6500000</v>
      </c>
      <c r="AJ28" s="59">
        <f t="shared" si="2"/>
        <v>0.45774647887323944</v>
      </c>
      <c r="AK28" s="95" t="s">
        <v>377</v>
      </c>
      <c r="AL28" s="41">
        <v>1</v>
      </c>
      <c r="AM28" s="41">
        <v>1</v>
      </c>
      <c r="AN28" s="68">
        <f t="shared" ref="AN28:AN42" si="7">AM28/AL28*100</f>
        <v>100</v>
      </c>
      <c r="AO28" s="96" t="s">
        <v>354</v>
      </c>
    </row>
    <row r="29" spans="1:41" s="42" customFormat="1" ht="346.5" customHeight="1" x14ac:dyDescent="0.5">
      <c r="A29" s="144"/>
      <c r="B29" s="145"/>
      <c r="C29" s="145"/>
      <c r="D29" s="144"/>
      <c r="E29" s="145"/>
      <c r="F29" s="151"/>
      <c r="G29" s="39" t="s">
        <v>189</v>
      </c>
      <c r="H29" s="34" t="s">
        <v>210</v>
      </c>
      <c r="I29" s="77" t="s">
        <v>135</v>
      </c>
      <c r="J29" s="54" t="s">
        <v>112</v>
      </c>
      <c r="K29" s="54" t="s">
        <v>111</v>
      </c>
      <c r="L29" s="41">
        <v>1</v>
      </c>
      <c r="M29" s="41">
        <v>0</v>
      </c>
      <c r="N29" s="47">
        <f t="shared" si="0"/>
        <v>0</v>
      </c>
      <c r="O29" s="41"/>
      <c r="P29" s="41"/>
      <c r="Q29" s="57" t="s">
        <v>260</v>
      </c>
      <c r="R29" s="41">
        <v>1</v>
      </c>
      <c r="S29" s="41">
        <v>0</v>
      </c>
      <c r="T29" s="44">
        <f t="shared" si="1"/>
        <v>0</v>
      </c>
      <c r="U29" s="41"/>
      <c r="V29" s="46">
        <v>961660</v>
      </c>
      <c r="W29" s="58" t="s">
        <v>300</v>
      </c>
      <c r="X29" s="41">
        <v>1</v>
      </c>
      <c r="Y29" s="41">
        <v>1</v>
      </c>
      <c r="Z29" s="63">
        <f t="shared" si="5"/>
        <v>100</v>
      </c>
      <c r="AA29" s="65">
        <v>9600000</v>
      </c>
      <c r="AB29" s="46">
        <v>3300000</v>
      </c>
      <c r="AC29" s="59">
        <f>AB29/AA29</f>
        <v>0.34375</v>
      </c>
      <c r="AD29" s="96" t="s">
        <v>315</v>
      </c>
      <c r="AE29" s="126">
        <v>0</v>
      </c>
      <c r="AF29" s="41">
        <v>0</v>
      </c>
      <c r="AG29" s="63">
        <v>0</v>
      </c>
      <c r="AH29" s="70">
        <v>0</v>
      </c>
      <c r="AI29" s="70">
        <v>0</v>
      </c>
      <c r="AJ29" s="59">
        <v>0</v>
      </c>
      <c r="AK29" s="133" t="s">
        <v>368</v>
      </c>
      <c r="AL29" s="41">
        <v>1</v>
      </c>
      <c r="AM29" s="41">
        <f>(M29+S29+Y29+AF29)/4</f>
        <v>0.25</v>
      </c>
      <c r="AN29" s="68">
        <f t="shared" si="7"/>
        <v>25</v>
      </c>
      <c r="AO29" s="96" t="s">
        <v>335</v>
      </c>
    </row>
    <row r="30" spans="1:41" s="42" customFormat="1" ht="409.6" customHeight="1" x14ac:dyDescent="0.5">
      <c r="A30" s="144"/>
      <c r="B30" s="145"/>
      <c r="C30" s="145"/>
      <c r="D30" s="144"/>
      <c r="E30" s="145"/>
      <c r="F30" s="151"/>
      <c r="G30" s="39" t="s">
        <v>190</v>
      </c>
      <c r="H30" s="34" t="s">
        <v>62</v>
      </c>
      <c r="I30" s="77" t="s">
        <v>136</v>
      </c>
      <c r="J30" s="54" t="s">
        <v>82</v>
      </c>
      <c r="K30" s="54" t="s">
        <v>111</v>
      </c>
      <c r="L30" s="41">
        <v>12</v>
      </c>
      <c r="M30" s="41">
        <v>0</v>
      </c>
      <c r="N30" s="47">
        <f t="shared" si="0"/>
        <v>0</v>
      </c>
      <c r="O30" s="41"/>
      <c r="P30" s="41"/>
      <c r="Q30" s="57" t="s">
        <v>260</v>
      </c>
      <c r="R30" s="41">
        <v>12</v>
      </c>
      <c r="S30" s="41">
        <v>0</v>
      </c>
      <c r="T30" s="44">
        <f t="shared" si="1"/>
        <v>0</v>
      </c>
      <c r="U30" s="41"/>
      <c r="V30" s="46">
        <v>2200000</v>
      </c>
      <c r="W30" s="58" t="s">
        <v>288</v>
      </c>
      <c r="X30" s="41">
        <v>12</v>
      </c>
      <c r="Y30" s="41">
        <v>6</v>
      </c>
      <c r="Z30" s="63">
        <f t="shared" si="5"/>
        <v>50</v>
      </c>
      <c r="AA30" s="65">
        <v>0</v>
      </c>
      <c r="AB30" s="46">
        <v>0</v>
      </c>
      <c r="AC30" s="59">
        <v>0</v>
      </c>
      <c r="AD30" s="96" t="s">
        <v>363</v>
      </c>
      <c r="AE30" s="126">
        <v>0</v>
      </c>
      <c r="AF30" s="52">
        <v>0</v>
      </c>
      <c r="AG30" s="63" t="e">
        <f t="shared" si="3"/>
        <v>#DIV/0!</v>
      </c>
      <c r="AH30" s="70">
        <v>36280000</v>
      </c>
      <c r="AI30" s="70">
        <v>9100000</v>
      </c>
      <c r="AJ30" s="59">
        <v>0</v>
      </c>
      <c r="AK30" s="133" t="s">
        <v>409</v>
      </c>
      <c r="AL30" s="52">
        <v>12</v>
      </c>
      <c r="AM30" s="52">
        <f>(M30+S30+Y30+AF30)/4</f>
        <v>1.5</v>
      </c>
      <c r="AN30" s="68">
        <f t="shared" si="7"/>
        <v>12.5</v>
      </c>
      <c r="AO30" s="96" t="s">
        <v>408</v>
      </c>
    </row>
    <row r="31" spans="1:41" s="42" customFormat="1" ht="409.6" customHeight="1" x14ac:dyDescent="0.5">
      <c r="A31" s="144"/>
      <c r="B31" s="145"/>
      <c r="C31" s="145"/>
      <c r="D31" s="144"/>
      <c r="E31" s="145"/>
      <c r="F31" s="152"/>
      <c r="G31" s="39" t="s">
        <v>191</v>
      </c>
      <c r="H31" s="34" t="s">
        <v>211</v>
      </c>
      <c r="I31" s="77" t="s">
        <v>230</v>
      </c>
      <c r="J31" s="54" t="s">
        <v>113</v>
      </c>
      <c r="K31" s="54" t="s">
        <v>111</v>
      </c>
      <c r="L31" s="52">
        <v>1</v>
      </c>
      <c r="M31" s="41">
        <v>0</v>
      </c>
      <c r="N31" s="47">
        <f t="shared" si="0"/>
        <v>0</v>
      </c>
      <c r="O31" s="41"/>
      <c r="P31" s="41"/>
      <c r="Q31" s="57" t="s">
        <v>260</v>
      </c>
      <c r="R31" s="41">
        <v>1</v>
      </c>
      <c r="S31" s="41"/>
      <c r="T31" s="44">
        <f t="shared" si="1"/>
        <v>0</v>
      </c>
      <c r="U31" s="41"/>
      <c r="V31" s="46">
        <v>69240000</v>
      </c>
      <c r="W31" s="58" t="s">
        <v>289</v>
      </c>
      <c r="X31" s="41">
        <v>1</v>
      </c>
      <c r="Y31" s="41">
        <v>1</v>
      </c>
      <c r="Z31" s="63">
        <f t="shared" si="5"/>
        <v>100</v>
      </c>
      <c r="AA31" s="65">
        <v>0</v>
      </c>
      <c r="AB31" s="46">
        <v>37583333</v>
      </c>
      <c r="AC31" s="59" t="e">
        <f t="shared" si="6"/>
        <v>#DIV/0!</v>
      </c>
      <c r="AD31" s="96" t="s">
        <v>364</v>
      </c>
      <c r="AE31" s="41">
        <v>1</v>
      </c>
      <c r="AF31" s="41">
        <v>1</v>
      </c>
      <c r="AG31" s="63">
        <f t="shared" si="3"/>
        <v>100</v>
      </c>
      <c r="AH31" s="70">
        <v>115000000</v>
      </c>
      <c r="AI31" s="136">
        <v>2200000</v>
      </c>
      <c r="AJ31" s="125">
        <v>1.9099999999999999E-2</v>
      </c>
      <c r="AK31" s="96" t="s">
        <v>387</v>
      </c>
      <c r="AL31" s="41">
        <v>1</v>
      </c>
      <c r="AM31" s="41">
        <v>1</v>
      </c>
      <c r="AN31" s="68">
        <f t="shared" si="7"/>
        <v>100</v>
      </c>
      <c r="AO31" s="133" t="s">
        <v>390</v>
      </c>
    </row>
    <row r="32" spans="1:41" s="42" customFormat="1" ht="299.25" customHeight="1" x14ac:dyDescent="0.5">
      <c r="A32" s="144"/>
      <c r="B32" s="145"/>
      <c r="C32" s="145"/>
      <c r="D32" s="144"/>
      <c r="E32" s="39" t="s">
        <v>168</v>
      </c>
      <c r="F32" s="34" t="s">
        <v>35</v>
      </c>
      <c r="G32" s="39" t="s">
        <v>192</v>
      </c>
      <c r="H32" s="36" t="s">
        <v>212</v>
      </c>
      <c r="I32" s="76" t="s">
        <v>63</v>
      </c>
      <c r="J32" s="54" t="s">
        <v>114</v>
      </c>
      <c r="K32" s="54" t="s">
        <v>83</v>
      </c>
      <c r="L32" s="41">
        <v>1</v>
      </c>
      <c r="M32" s="41">
        <v>0</v>
      </c>
      <c r="N32" s="47">
        <f t="shared" si="0"/>
        <v>0</v>
      </c>
      <c r="O32" s="41"/>
      <c r="P32" s="41"/>
      <c r="Q32" s="57" t="s">
        <v>260</v>
      </c>
      <c r="R32" s="41">
        <v>1</v>
      </c>
      <c r="S32" s="41">
        <v>1</v>
      </c>
      <c r="T32" s="44">
        <f t="shared" si="1"/>
        <v>100</v>
      </c>
      <c r="U32" s="41"/>
      <c r="V32" s="46">
        <v>641110</v>
      </c>
      <c r="W32" s="58" t="s">
        <v>271</v>
      </c>
      <c r="X32" s="41">
        <v>1</v>
      </c>
      <c r="Y32" s="41">
        <v>1</v>
      </c>
      <c r="Z32" s="63">
        <f t="shared" si="5"/>
        <v>100</v>
      </c>
      <c r="AA32" s="65">
        <v>721250</v>
      </c>
      <c r="AB32" s="65">
        <v>721250</v>
      </c>
      <c r="AC32" s="59">
        <f t="shared" si="6"/>
        <v>1</v>
      </c>
      <c r="AD32" s="96" t="s">
        <v>307</v>
      </c>
      <c r="AE32" s="41">
        <v>1</v>
      </c>
      <c r="AF32" s="41">
        <v>1</v>
      </c>
      <c r="AG32" s="63">
        <f t="shared" si="3"/>
        <v>100</v>
      </c>
      <c r="AH32" s="70">
        <v>0</v>
      </c>
      <c r="AI32" s="70">
        <v>0</v>
      </c>
      <c r="AJ32" s="59">
        <v>0</v>
      </c>
      <c r="AK32" s="95" t="s">
        <v>344</v>
      </c>
      <c r="AL32" s="41">
        <v>1</v>
      </c>
      <c r="AM32" s="41">
        <v>1</v>
      </c>
      <c r="AN32" s="68">
        <f t="shared" si="7"/>
        <v>100</v>
      </c>
      <c r="AO32" s="95" t="s">
        <v>350</v>
      </c>
    </row>
    <row r="33" spans="1:41" s="42" customFormat="1" ht="409.6" x14ac:dyDescent="0.5">
      <c r="A33" s="144"/>
      <c r="B33" s="145"/>
      <c r="C33" s="145" t="s">
        <v>152</v>
      </c>
      <c r="D33" s="145" t="s">
        <v>36</v>
      </c>
      <c r="E33" s="145" t="s">
        <v>169</v>
      </c>
      <c r="F33" s="155" t="s">
        <v>37</v>
      </c>
      <c r="G33" s="39" t="s">
        <v>193</v>
      </c>
      <c r="H33" s="82" t="s">
        <v>64</v>
      </c>
      <c r="I33" s="83" t="s">
        <v>231</v>
      </c>
      <c r="J33" s="84" t="s">
        <v>115</v>
      </c>
      <c r="K33" s="84" t="s">
        <v>116</v>
      </c>
      <c r="L33" s="41">
        <v>1</v>
      </c>
      <c r="M33" s="41">
        <v>0</v>
      </c>
      <c r="N33" s="47">
        <f t="shared" si="0"/>
        <v>0</v>
      </c>
      <c r="O33" s="41"/>
      <c r="P33" s="41"/>
      <c r="Q33" s="57" t="s">
        <v>260</v>
      </c>
      <c r="R33" s="41">
        <v>1</v>
      </c>
      <c r="S33" s="41">
        <v>0</v>
      </c>
      <c r="T33" s="44">
        <f t="shared" si="1"/>
        <v>0</v>
      </c>
      <c r="U33" s="41"/>
      <c r="V33" s="46">
        <v>0</v>
      </c>
      <c r="W33" s="58" t="s">
        <v>260</v>
      </c>
      <c r="X33" s="41">
        <v>1</v>
      </c>
      <c r="Y33" s="41">
        <v>1</v>
      </c>
      <c r="Z33" s="63">
        <f t="shared" si="5"/>
        <v>100</v>
      </c>
      <c r="AA33" s="65">
        <v>1197082</v>
      </c>
      <c r="AB33" s="46">
        <v>598541</v>
      </c>
      <c r="AC33" s="59">
        <f t="shared" si="6"/>
        <v>0.5</v>
      </c>
      <c r="AD33" s="96" t="s">
        <v>312</v>
      </c>
      <c r="AE33" s="41">
        <v>1</v>
      </c>
      <c r="AF33" s="41">
        <v>1</v>
      </c>
      <c r="AG33" s="63">
        <f t="shared" si="3"/>
        <v>100</v>
      </c>
      <c r="AH33" s="70">
        <v>1200000</v>
      </c>
      <c r="AI33" s="70">
        <v>1200000</v>
      </c>
      <c r="AJ33" s="59">
        <f>+AI33/AH33</f>
        <v>1</v>
      </c>
      <c r="AK33" s="96" t="s">
        <v>395</v>
      </c>
      <c r="AL33" s="52">
        <v>1</v>
      </c>
      <c r="AM33" s="41">
        <f>(M33+S33+Y33+AF33)/4</f>
        <v>0.5</v>
      </c>
      <c r="AN33" s="68">
        <f t="shared" si="7"/>
        <v>50</v>
      </c>
      <c r="AO33" s="96" t="s">
        <v>411</v>
      </c>
    </row>
    <row r="34" spans="1:41" s="42" customFormat="1" ht="409.6" x14ac:dyDescent="0.5">
      <c r="A34" s="144"/>
      <c r="B34" s="145"/>
      <c r="C34" s="145"/>
      <c r="D34" s="145"/>
      <c r="E34" s="145"/>
      <c r="F34" s="155"/>
      <c r="G34" s="39" t="s">
        <v>194</v>
      </c>
      <c r="H34" s="34" t="s">
        <v>213</v>
      </c>
      <c r="I34" s="77" t="s">
        <v>66</v>
      </c>
      <c r="J34" s="54" t="s">
        <v>117</v>
      </c>
      <c r="K34" s="54" t="s">
        <v>116</v>
      </c>
      <c r="L34" s="41">
        <v>1</v>
      </c>
      <c r="M34" s="41">
        <v>0</v>
      </c>
      <c r="N34" s="47">
        <f t="shared" si="0"/>
        <v>0</v>
      </c>
      <c r="O34" s="41"/>
      <c r="P34" s="41"/>
      <c r="Q34" s="57" t="s">
        <v>264</v>
      </c>
      <c r="R34" s="41">
        <v>54</v>
      </c>
      <c r="S34" s="41">
        <v>54</v>
      </c>
      <c r="T34" s="44">
        <f t="shared" si="1"/>
        <v>100</v>
      </c>
      <c r="U34" s="41"/>
      <c r="V34" s="46">
        <v>19810334</v>
      </c>
      <c r="W34" s="58" t="s">
        <v>272</v>
      </c>
      <c r="X34" s="64">
        <v>1</v>
      </c>
      <c r="Y34" s="64">
        <v>1</v>
      </c>
      <c r="Z34" s="63">
        <f>(Y34/X34)*100</f>
        <v>100</v>
      </c>
      <c r="AA34" s="65">
        <v>0</v>
      </c>
      <c r="AB34" s="46">
        <v>0</v>
      </c>
      <c r="AC34" s="59">
        <v>0</v>
      </c>
      <c r="AD34" s="96" t="s">
        <v>266</v>
      </c>
      <c r="AE34" s="64">
        <v>1</v>
      </c>
      <c r="AF34" s="64">
        <v>1</v>
      </c>
      <c r="AG34" s="63">
        <f t="shared" si="3"/>
        <v>100</v>
      </c>
      <c r="AH34" s="72">
        <f>1600000</f>
        <v>1600000</v>
      </c>
      <c r="AI34" s="72">
        <f>800000</f>
        <v>800000</v>
      </c>
      <c r="AJ34" s="59">
        <f t="shared" si="2"/>
        <v>0.5</v>
      </c>
      <c r="AK34" s="96" t="s">
        <v>355</v>
      </c>
      <c r="AL34" s="64">
        <v>1</v>
      </c>
      <c r="AM34" s="64">
        <v>1</v>
      </c>
      <c r="AN34" s="68">
        <f t="shared" si="7"/>
        <v>100</v>
      </c>
      <c r="AO34" s="98" t="s">
        <v>336</v>
      </c>
    </row>
    <row r="35" spans="1:41" s="93" customFormat="1" ht="409.5" customHeight="1" x14ac:dyDescent="0.5">
      <c r="A35" s="144"/>
      <c r="B35" s="145"/>
      <c r="C35" s="145"/>
      <c r="D35" s="145"/>
      <c r="E35" s="145"/>
      <c r="F35" s="155"/>
      <c r="G35" s="81" t="s">
        <v>195</v>
      </c>
      <c r="H35" s="82" t="s">
        <v>50</v>
      </c>
      <c r="I35" s="83" t="s">
        <v>67</v>
      </c>
      <c r="J35" s="84" t="s">
        <v>82</v>
      </c>
      <c r="K35" s="84" t="s">
        <v>116</v>
      </c>
      <c r="L35" s="52">
        <v>12</v>
      </c>
      <c r="M35" s="52">
        <v>0</v>
      </c>
      <c r="N35" s="85">
        <f t="shared" si="0"/>
        <v>0</v>
      </c>
      <c r="O35" s="52"/>
      <c r="P35" s="52"/>
      <c r="Q35" s="86" t="s">
        <v>260</v>
      </c>
      <c r="R35" s="52">
        <v>12</v>
      </c>
      <c r="S35" s="52">
        <v>0</v>
      </c>
      <c r="T35" s="52">
        <f t="shared" si="1"/>
        <v>0</v>
      </c>
      <c r="U35" s="52"/>
      <c r="V35" s="88">
        <v>0</v>
      </c>
      <c r="W35" s="89" t="s">
        <v>301</v>
      </c>
      <c r="X35" s="52">
        <v>12</v>
      </c>
      <c r="Y35" s="52">
        <v>12</v>
      </c>
      <c r="Z35" s="85">
        <f>(Y35/X35)*100</f>
        <v>100</v>
      </c>
      <c r="AA35" s="91">
        <f>1310332+1100000+865500+463750+25770000</f>
        <v>29509582</v>
      </c>
      <c r="AB35" s="88">
        <f>655166+1100000+865500+463750+25676000</f>
        <v>28760416</v>
      </c>
      <c r="AC35" s="85">
        <f t="shared" si="6"/>
        <v>0.97461278848341537</v>
      </c>
      <c r="AD35" s="96" t="s">
        <v>365</v>
      </c>
      <c r="AE35" s="52">
        <v>1</v>
      </c>
      <c r="AF35" s="52">
        <v>1</v>
      </c>
      <c r="AG35" s="90">
        <f t="shared" si="3"/>
        <v>100</v>
      </c>
      <c r="AH35" s="70">
        <v>1200000</v>
      </c>
      <c r="AI35" s="70">
        <v>1200000</v>
      </c>
      <c r="AJ35" s="59">
        <f>+AI35/AH35</f>
        <v>1</v>
      </c>
      <c r="AK35" s="96" t="s">
        <v>396</v>
      </c>
      <c r="AL35" s="52">
        <v>12</v>
      </c>
      <c r="AM35" s="52">
        <f>(M35+S35+Y35+AF35)/4</f>
        <v>3.25</v>
      </c>
      <c r="AN35" s="85">
        <f t="shared" si="7"/>
        <v>27.083333333333332</v>
      </c>
      <c r="AO35" s="96" t="s">
        <v>410</v>
      </c>
    </row>
    <row r="36" spans="1:41" s="93" customFormat="1" ht="207" customHeight="1" x14ac:dyDescent="0.5">
      <c r="A36" s="144"/>
      <c r="B36" s="145"/>
      <c r="C36" s="145"/>
      <c r="D36" s="145"/>
      <c r="E36" s="145"/>
      <c r="F36" s="155"/>
      <c r="G36" s="81" t="s">
        <v>196</v>
      </c>
      <c r="H36" s="82" t="s">
        <v>65</v>
      </c>
      <c r="I36" s="83" t="s">
        <v>137</v>
      </c>
      <c r="J36" s="84" t="s">
        <v>118</v>
      </c>
      <c r="K36" s="84" t="s">
        <v>119</v>
      </c>
      <c r="L36" s="52">
        <v>0</v>
      </c>
      <c r="M36" s="52">
        <v>0</v>
      </c>
      <c r="N36" s="85">
        <v>0</v>
      </c>
      <c r="O36" s="52"/>
      <c r="P36" s="52"/>
      <c r="Q36" s="86" t="s">
        <v>260</v>
      </c>
      <c r="R36" s="52">
        <v>1</v>
      </c>
      <c r="S36" s="52">
        <v>0</v>
      </c>
      <c r="T36" s="52">
        <f t="shared" si="1"/>
        <v>0</v>
      </c>
      <c r="U36" s="52"/>
      <c r="V36" s="88">
        <v>0</v>
      </c>
      <c r="W36" s="89" t="s">
        <v>290</v>
      </c>
      <c r="X36" s="52">
        <v>1</v>
      </c>
      <c r="Y36" s="52">
        <v>0</v>
      </c>
      <c r="Z36" s="85">
        <f>(Y36/X36)*100</f>
        <v>0</v>
      </c>
      <c r="AA36" s="91">
        <v>0</v>
      </c>
      <c r="AB36" s="88">
        <v>0</v>
      </c>
      <c r="AC36" s="85">
        <v>0</v>
      </c>
      <c r="AD36" s="96" t="s">
        <v>304</v>
      </c>
      <c r="AE36" s="52">
        <v>1</v>
      </c>
      <c r="AF36" s="52">
        <v>1</v>
      </c>
      <c r="AG36" s="90">
        <f t="shared" si="3"/>
        <v>100</v>
      </c>
      <c r="AH36" s="92">
        <v>8001089</v>
      </c>
      <c r="AI36" s="92">
        <v>8001089</v>
      </c>
      <c r="AJ36" s="59">
        <f t="shared" si="2"/>
        <v>1</v>
      </c>
      <c r="AK36" s="96" t="s">
        <v>400</v>
      </c>
      <c r="AL36" s="52">
        <v>1</v>
      </c>
      <c r="AM36" s="52">
        <v>1</v>
      </c>
      <c r="AN36" s="85">
        <f t="shared" si="7"/>
        <v>100</v>
      </c>
      <c r="AO36" s="96" t="s">
        <v>369</v>
      </c>
    </row>
    <row r="37" spans="1:41" s="42" customFormat="1" ht="140.25" customHeight="1" x14ac:dyDescent="0.5">
      <c r="A37" s="144"/>
      <c r="B37" s="145"/>
      <c r="C37" s="145"/>
      <c r="D37" s="145"/>
      <c r="E37" s="145"/>
      <c r="F37" s="155"/>
      <c r="G37" s="39" t="s">
        <v>197</v>
      </c>
      <c r="H37" s="36" t="s">
        <v>214</v>
      </c>
      <c r="I37" s="78" t="s">
        <v>68</v>
      </c>
      <c r="J37" s="54" t="s">
        <v>98</v>
      </c>
      <c r="K37" s="54" t="s">
        <v>120</v>
      </c>
      <c r="L37" s="41">
        <v>1</v>
      </c>
      <c r="M37" s="41">
        <v>1</v>
      </c>
      <c r="N37" s="47">
        <f t="shared" si="0"/>
        <v>100</v>
      </c>
      <c r="O37" s="41"/>
      <c r="P37" s="41"/>
      <c r="Q37" s="57" t="s">
        <v>285</v>
      </c>
      <c r="R37" s="41">
        <v>1</v>
      </c>
      <c r="S37" s="41">
        <v>0</v>
      </c>
      <c r="T37" s="44">
        <f t="shared" si="1"/>
        <v>0</v>
      </c>
      <c r="U37" s="41"/>
      <c r="V37" s="46">
        <v>0</v>
      </c>
      <c r="W37" s="58" t="s">
        <v>260</v>
      </c>
      <c r="X37" s="41">
        <v>0</v>
      </c>
      <c r="Y37" s="41">
        <v>0</v>
      </c>
      <c r="Z37" s="63" t="s">
        <v>299</v>
      </c>
      <c r="AA37" s="65">
        <v>0</v>
      </c>
      <c r="AB37" s="46">
        <v>0</v>
      </c>
      <c r="AC37" s="59">
        <v>0</v>
      </c>
      <c r="AD37" s="96" t="s">
        <v>306</v>
      </c>
      <c r="AE37" s="126">
        <v>0</v>
      </c>
      <c r="AF37" s="41">
        <v>0</v>
      </c>
      <c r="AG37" s="63">
        <v>0</v>
      </c>
      <c r="AH37" s="70">
        <v>0</v>
      </c>
      <c r="AI37" s="70">
        <v>0</v>
      </c>
      <c r="AJ37" s="59">
        <v>0</v>
      </c>
      <c r="AK37" s="119" t="s">
        <v>321</v>
      </c>
      <c r="AL37" s="66">
        <v>1</v>
      </c>
      <c r="AM37" s="66">
        <v>1</v>
      </c>
      <c r="AN37" s="68">
        <f t="shared" si="7"/>
        <v>100</v>
      </c>
      <c r="AO37" s="98" t="s">
        <v>370</v>
      </c>
    </row>
    <row r="38" spans="1:41" s="42" customFormat="1" ht="293.25" customHeight="1" x14ac:dyDescent="0.5">
      <c r="A38" s="144" t="s">
        <v>38</v>
      </c>
      <c r="B38" s="145" t="s">
        <v>39</v>
      </c>
      <c r="C38" s="145" t="s">
        <v>153</v>
      </c>
      <c r="D38" s="145" t="s">
        <v>40</v>
      </c>
      <c r="E38" s="145" t="s">
        <v>170</v>
      </c>
      <c r="F38" s="155" t="s">
        <v>138</v>
      </c>
      <c r="G38" s="144" t="s">
        <v>198</v>
      </c>
      <c r="H38" s="150" t="s">
        <v>215</v>
      </c>
      <c r="I38" s="78" t="s">
        <v>69</v>
      </c>
      <c r="J38" s="54" t="s">
        <v>121</v>
      </c>
      <c r="K38" s="54" t="s">
        <v>122</v>
      </c>
      <c r="L38" s="41">
        <v>1</v>
      </c>
      <c r="M38" s="41">
        <v>0</v>
      </c>
      <c r="N38" s="47">
        <f t="shared" si="0"/>
        <v>0</v>
      </c>
      <c r="O38" s="41"/>
      <c r="P38" s="41"/>
      <c r="Q38" s="57" t="s">
        <v>260</v>
      </c>
      <c r="R38" s="41">
        <v>1</v>
      </c>
      <c r="S38" s="41">
        <v>0</v>
      </c>
      <c r="T38" s="44">
        <f t="shared" si="1"/>
        <v>0</v>
      </c>
      <c r="U38" s="41"/>
      <c r="V38" s="46">
        <v>2308000</v>
      </c>
      <c r="W38" s="58" t="s">
        <v>260</v>
      </c>
      <c r="X38" s="41">
        <v>1</v>
      </c>
      <c r="Y38" s="41">
        <v>0</v>
      </c>
      <c r="Z38" s="47">
        <f>(Y38/X38)*100</f>
        <v>0</v>
      </c>
      <c r="AA38" s="65">
        <v>0</v>
      </c>
      <c r="AB38" s="46">
        <v>0</v>
      </c>
      <c r="AC38" s="59">
        <v>0</v>
      </c>
      <c r="AD38" s="96" t="s">
        <v>304</v>
      </c>
      <c r="AE38" s="126">
        <v>0</v>
      </c>
      <c r="AF38" s="41">
        <v>0</v>
      </c>
      <c r="AG38" s="63">
        <v>0</v>
      </c>
      <c r="AH38" s="70">
        <v>0</v>
      </c>
      <c r="AI38" s="70">
        <v>0</v>
      </c>
      <c r="AJ38" s="59">
        <v>0</v>
      </c>
      <c r="AK38" s="137" t="s">
        <v>321</v>
      </c>
      <c r="AL38" s="66">
        <v>1</v>
      </c>
      <c r="AM38" s="66">
        <v>0</v>
      </c>
      <c r="AN38" s="68">
        <f t="shared" si="7"/>
        <v>0</v>
      </c>
      <c r="AO38" s="95" t="s">
        <v>337</v>
      </c>
    </row>
    <row r="39" spans="1:41" s="42" customFormat="1" ht="250.5" customHeight="1" x14ac:dyDescent="0.5">
      <c r="A39" s="144"/>
      <c r="B39" s="145"/>
      <c r="C39" s="145"/>
      <c r="D39" s="145"/>
      <c r="E39" s="145"/>
      <c r="F39" s="155"/>
      <c r="G39" s="144"/>
      <c r="H39" s="151"/>
      <c r="I39" s="77" t="s">
        <v>232</v>
      </c>
      <c r="J39" s="54" t="s">
        <v>82</v>
      </c>
      <c r="K39" s="54" t="s">
        <v>123</v>
      </c>
      <c r="L39" s="41">
        <v>12</v>
      </c>
      <c r="M39" s="41">
        <v>12</v>
      </c>
      <c r="N39" s="47">
        <f t="shared" si="0"/>
        <v>100</v>
      </c>
      <c r="O39" s="41"/>
      <c r="P39" s="41"/>
      <c r="Q39" s="57" t="s">
        <v>291</v>
      </c>
      <c r="R39" s="41">
        <v>12</v>
      </c>
      <c r="S39" s="41">
        <v>0</v>
      </c>
      <c r="T39" s="44">
        <f t="shared" si="1"/>
        <v>0</v>
      </c>
      <c r="U39" s="41"/>
      <c r="V39" s="46">
        <v>4000000</v>
      </c>
      <c r="W39" s="57" t="s">
        <v>291</v>
      </c>
      <c r="X39" s="41">
        <v>1</v>
      </c>
      <c r="Y39" s="41">
        <v>1</v>
      </c>
      <c r="Z39" s="63">
        <f t="shared" si="5"/>
        <v>100</v>
      </c>
      <c r="AA39" s="65">
        <v>2000000</v>
      </c>
      <c r="AB39" s="46">
        <v>1000000</v>
      </c>
      <c r="AC39" s="59">
        <f t="shared" si="6"/>
        <v>0.5</v>
      </c>
      <c r="AD39" s="96" t="s">
        <v>302</v>
      </c>
      <c r="AE39" s="31">
        <v>12</v>
      </c>
      <c r="AF39" s="31">
        <v>0</v>
      </c>
      <c r="AG39" s="63">
        <f>(AF39/AE39)*100</f>
        <v>0</v>
      </c>
      <c r="AH39" s="71">
        <v>0</v>
      </c>
      <c r="AI39" s="71">
        <v>0</v>
      </c>
      <c r="AJ39" s="59">
        <v>0</v>
      </c>
      <c r="AK39" s="97" t="s">
        <v>304</v>
      </c>
      <c r="AL39" s="66">
        <v>12</v>
      </c>
      <c r="AM39" s="66">
        <v>12</v>
      </c>
      <c r="AN39" s="68">
        <f t="shared" si="7"/>
        <v>100</v>
      </c>
      <c r="AO39" s="138" t="s">
        <v>403</v>
      </c>
    </row>
    <row r="40" spans="1:41" s="42" customFormat="1" ht="244.5" customHeight="1" x14ac:dyDescent="0.5">
      <c r="A40" s="144"/>
      <c r="B40" s="145"/>
      <c r="C40" s="145"/>
      <c r="D40" s="145"/>
      <c r="E40" s="145"/>
      <c r="F40" s="155"/>
      <c r="G40" s="149"/>
      <c r="H40" s="152"/>
      <c r="I40" s="77" t="s">
        <v>233</v>
      </c>
      <c r="J40" s="54" t="s">
        <v>82</v>
      </c>
      <c r="K40" s="54" t="s">
        <v>123</v>
      </c>
      <c r="L40" s="41">
        <v>12</v>
      </c>
      <c r="M40" s="41">
        <v>0</v>
      </c>
      <c r="N40" s="47">
        <f t="shared" si="0"/>
        <v>0</v>
      </c>
      <c r="O40" s="41"/>
      <c r="P40" s="41"/>
      <c r="Q40" s="57" t="s">
        <v>260</v>
      </c>
      <c r="R40" s="41">
        <v>12</v>
      </c>
      <c r="S40" s="41">
        <v>0</v>
      </c>
      <c r="T40" s="44">
        <f t="shared" si="1"/>
        <v>0</v>
      </c>
      <c r="U40" s="41"/>
      <c r="V40" s="46">
        <v>0</v>
      </c>
      <c r="W40" s="58" t="s">
        <v>260</v>
      </c>
      <c r="X40" s="41">
        <v>0</v>
      </c>
      <c r="Y40" s="41">
        <v>0</v>
      </c>
      <c r="Z40" s="63" t="s">
        <v>299</v>
      </c>
      <c r="AA40" s="65">
        <v>0</v>
      </c>
      <c r="AB40" s="46">
        <v>0</v>
      </c>
      <c r="AC40" s="59">
        <v>0</v>
      </c>
      <c r="AD40" s="96" t="s">
        <v>306</v>
      </c>
      <c r="AE40" s="41">
        <v>1</v>
      </c>
      <c r="AF40" s="41">
        <v>0</v>
      </c>
      <c r="AG40" s="63">
        <f t="shared" si="3"/>
        <v>0</v>
      </c>
      <c r="AH40" s="70">
        <v>0</v>
      </c>
      <c r="AI40" s="70">
        <v>0</v>
      </c>
      <c r="AJ40" s="59">
        <v>0</v>
      </c>
      <c r="AK40" s="95" t="s">
        <v>304</v>
      </c>
      <c r="AL40" s="41">
        <v>12</v>
      </c>
      <c r="AM40" s="41">
        <v>0</v>
      </c>
      <c r="AN40" s="68">
        <f t="shared" si="7"/>
        <v>0</v>
      </c>
      <c r="AO40" s="95" t="s">
        <v>326</v>
      </c>
    </row>
    <row r="41" spans="1:41" s="42" customFormat="1" ht="244.5" customHeight="1" x14ac:dyDescent="0.5">
      <c r="A41" s="144"/>
      <c r="B41" s="145"/>
      <c r="C41" s="145"/>
      <c r="D41" s="145"/>
      <c r="E41" s="145"/>
      <c r="F41" s="155"/>
      <c r="G41" s="39" t="s">
        <v>199</v>
      </c>
      <c r="H41" s="34" t="s">
        <v>70</v>
      </c>
      <c r="I41" s="77" t="s">
        <v>71</v>
      </c>
      <c r="J41" s="54" t="s">
        <v>124</v>
      </c>
      <c r="K41" s="54" t="s">
        <v>125</v>
      </c>
      <c r="L41" s="41">
        <v>0</v>
      </c>
      <c r="M41" s="41">
        <v>0</v>
      </c>
      <c r="N41" s="47" t="e">
        <f t="shared" si="0"/>
        <v>#DIV/0!</v>
      </c>
      <c r="O41" s="41"/>
      <c r="P41" s="41"/>
      <c r="Q41" s="57" t="s">
        <v>260</v>
      </c>
      <c r="R41" s="41">
        <v>0</v>
      </c>
      <c r="S41" s="41">
        <v>0</v>
      </c>
      <c r="T41" s="44" t="e">
        <f t="shared" si="1"/>
        <v>#DIV/0!</v>
      </c>
      <c r="U41" s="41"/>
      <c r="V41" s="46">
        <v>0</v>
      </c>
      <c r="W41" s="58" t="s">
        <v>260</v>
      </c>
      <c r="X41" s="41">
        <v>1</v>
      </c>
      <c r="Y41" s="41">
        <v>0</v>
      </c>
      <c r="Z41" s="63">
        <f t="shared" si="5"/>
        <v>0</v>
      </c>
      <c r="AA41" s="65">
        <v>0</v>
      </c>
      <c r="AB41" s="46">
        <v>0</v>
      </c>
      <c r="AC41" s="59">
        <v>0</v>
      </c>
      <c r="AD41" s="96" t="s">
        <v>305</v>
      </c>
      <c r="AE41" s="41">
        <v>1</v>
      </c>
      <c r="AF41" s="41">
        <v>0</v>
      </c>
      <c r="AG41" s="63">
        <f>(AF41/AE41)*100</f>
        <v>0</v>
      </c>
      <c r="AH41" s="70">
        <v>0</v>
      </c>
      <c r="AI41" s="70">
        <v>0</v>
      </c>
      <c r="AJ41" s="59">
        <v>0</v>
      </c>
      <c r="AK41" s="95" t="s">
        <v>304</v>
      </c>
      <c r="AL41" s="41">
        <v>8</v>
      </c>
      <c r="AM41" s="41">
        <v>0</v>
      </c>
      <c r="AN41" s="68">
        <f t="shared" si="7"/>
        <v>0</v>
      </c>
      <c r="AO41" s="95" t="s">
        <v>326</v>
      </c>
    </row>
    <row r="42" spans="1:41" s="42" customFormat="1" ht="295.5" customHeight="1" x14ac:dyDescent="0.5">
      <c r="A42" s="144"/>
      <c r="B42" s="145"/>
      <c r="C42" s="39" t="s">
        <v>154</v>
      </c>
      <c r="D42" s="39" t="s">
        <v>139</v>
      </c>
      <c r="E42" s="39" t="s">
        <v>200</v>
      </c>
      <c r="F42" s="34" t="s">
        <v>48</v>
      </c>
      <c r="G42" s="39" t="s">
        <v>201</v>
      </c>
      <c r="H42" s="34" t="s">
        <v>216</v>
      </c>
      <c r="I42" s="77" t="s">
        <v>72</v>
      </c>
      <c r="J42" s="54" t="s">
        <v>126</v>
      </c>
      <c r="K42" s="54" t="s">
        <v>127</v>
      </c>
      <c r="L42" s="41">
        <v>0</v>
      </c>
      <c r="M42" s="41">
        <v>0</v>
      </c>
      <c r="N42" s="47" t="e">
        <f t="shared" si="0"/>
        <v>#DIV/0!</v>
      </c>
      <c r="O42" s="41"/>
      <c r="P42" s="41"/>
      <c r="Q42" s="57" t="s">
        <v>260</v>
      </c>
      <c r="R42" s="41">
        <v>1</v>
      </c>
      <c r="S42" s="41">
        <v>0</v>
      </c>
      <c r="T42" s="44">
        <f t="shared" si="1"/>
        <v>0</v>
      </c>
      <c r="U42" s="41"/>
      <c r="V42" s="46">
        <v>0</v>
      </c>
      <c r="W42" s="58" t="s">
        <v>260</v>
      </c>
      <c r="X42" s="41">
        <v>0</v>
      </c>
      <c r="Y42" s="41">
        <v>0</v>
      </c>
      <c r="Z42" s="63" t="s">
        <v>299</v>
      </c>
      <c r="AA42" s="65">
        <v>0</v>
      </c>
      <c r="AB42" s="46">
        <v>0</v>
      </c>
      <c r="AC42" s="59">
        <v>0</v>
      </c>
      <c r="AD42" s="96" t="s">
        <v>306</v>
      </c>
      <c r="AE42" s="41">
        <v>1</v>
      </c>
      <c r="AF42" s="126">
        <v>4</v>
      </c>
      <c r="AG42" s="123">
        <v>1</v>
      </c>
      <c r="AH42" s="70">
        <v>350000000</v>
      </c>
      <c r="AI42" s="70">
        <v>350000000</v>
      </c>
      <c r="AJ42" s="59">
        <v>1</v>
      </c>
      <c r="AK42" s="95" t="s">
        <v>388</v>
      </c>
      <c r="AL42" s="41">
        <v>9</v>
      </c>
      <c r="AM42" s="126">
        <v>4</v>
      </c>
      <c r="AN42" s="68">
        <f t="shared" si="7"/>
        <v>44.444444444444443</v>
      </c>
      <c r="AO42" s="95" t="s">
        <v>388</v>
      </c>
    </row>
    <row r="61" spans="2:5" ht="102.75" customHeight="1" x14ac:dyDescent="0.3">
      <c r="B61" s="26"/>
      <c r="C61" s="26"/>
      <c r="D61" s="27"/>
      <c r="E61" s="28"/>
    </row>
    <row r="62" spans="2:5" ht="102.75" customHeight="1" x14ac:dyDescent="0.3">
      <c r="B62" s="26"/>
      <c r="C62" s="26"/>
      <c r="D62" s="27"/>
      <c r="E62" s="28"/>
    </row>
    <row r="63" spans="2:5" ht="102.75" customHeight="1" x14ac:dyDescent="0.3">
      <c r="B63" s="26"/>
      <c r="C63" s="26"/>
      <c r="D63" s="27"/>
      <c r="E63" s="28"/>
    </row>
    <row r="64" spans="2:5" ht="102.75" customHeight="1" x14ac:dyDescent="0.3">
      <c r="B64" s="26"/>
      <c r="C64" s="26"/>
      <c r="D64" s="27"/>
      <c r="E64" s="28"/>
    </row>
    <row r="65" spans="2:5" ht="102.75" customHeight="1" x14ac:dyDescent="0.3">
      <c r="B65" s="26"/>
      <c r="C65" s="26"/>
      <c r="D65" s="27"/>
      <c r="E65" s="28"/>
    </row>
    <row r="66" spans="2:5" ht="102.75" customHeight="1" x14ac:dyDescent="0.3">
      <c r="B66" s="26"/>
      <c r="C66" s="26"/>
      <c r="D66" s="27"/>
      <c r="E66" s="28"/>
    </row>
    <row r="67" spans="2:5" ht="102.75" customHeight="1" x14ac:dyDescent="0.3">
      <c r="B67" s="26"/>
      <c r="C67" s="26"/>
      <c r="D67" s="27"/>
      <c r="E67" s="28"/>
    </row>
    <row r="68" spans="2:5" ht="102.75" customHeight="1" x14ac:dyDescent="0.3">
      <c r="B68" s="26"/>
      <c r="C68" s="26"/>
      <c r="D68" s="27"/>
      <c r="E68" s="28"/>
    </row>
    <row r="69" spans="2:5" ht="102.75" customHeight="1" x14ac:dyDescent="0.3">
      <c r="B69" s="26"/>
      <c r="C69" s="26"/>
      <c r="D69" s="27"/>
      <c r="E69" s="28"/>
    </row>
    <row r="70" spans="2:5" ht="102.75" customHeight="1" x14ac:dyDescent="0.3">
      <c r="B70" s="26"/>
      <c r="C70" s="26"/>
      <c r="D70" s="27"/>
      <c r="E70" s="28"/>
    </row>
    <row r="72" spans="2:5" ht="102.75" customHeight="1" x14ac:dyDescent="0.3">
      <c r="B72" s="26"/>
      <c r="C72" s="26"/>
      <c r="D72" s="27"/>
      <c r="E72" s="28"/>
    </row>
    <row r="73" spans="2:5" ht="102.75" customHeight="1" x14ac:dyDescent="0.3">
      <c r="B73" s="26"/>
      <c r="C73" s="26"/>
      <c r="D73" s="27"/>
      <c r="E73" s="28"/>
    </row>
    <row r="74" spans="2:5" ht="102.75" customHeight="1" x14ac:dyDescent="0.3">
      <c r="B74" s="26"/>
      <c r="C74" s="26"/>
      <c r="D74" s="27"/>
      <c r="E74" s="28"/>
    </row>
    <row r="75" spans="2:5" ht="102.75" customHeight="1" x14ac:dyDescent="0.3">
      <c r="B75" s="26"/>
      <c r="C75" s="26"/>
      <c r="D75" s="27"/>
      <c r="E75" s="28"/>
    </row>
    <row r="76" spans="2:5" ht="102.75" customHeight="1" x14ac:dyDescent="0.3">
      <c r="B76" s="26"/>
      <c r="C76" s="26"/>
      <c r="D76" s="27"/>
      <c r="E76" s="28"/>
    </row>
  </sheetData>
  <mergeCells count="67">
    <mergeCell ref="AL2:AO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AE2:AK2"/>
    <mergeCell ref="R2:W2"/>
    <mergeCell ref="X2:AD2"/>
    <mergeCell ref="C3:D3"/>
    <mergeCell ref="E3:F3"/>
    <mergeCell ref="H2:K2"/>
    <mergeCell ref="G3:H3"/>
    <mergeCell ref="L2:Q2"/>
  </mergeCells>
  <conditionalFormatting sqref="N4:N24 N26:N42">
    <cfRule type="cellIs" dxfId="34" priority="214" operator="between">
      <formula>0</formula>
      <formula>39</formula>
    </cfRule>
    <cfRule type="cellIs" dxfId="33" priority="212" operator="between">
      <formula>60</formula>
      <formula>69</formula>
    </cfRule>
    <cfRule type="cellIs" dxfId="32" priority="211" operator="between">
      <formula>70</formula>
      <formula>79</formula>
    </cfRule>
    <cfRule type="cellIs" dxfId="31" priority="210" operator="between">
      <formula>80</formula>
      <formula>100</formula>
    </cfRule>
  </conditionalFormatting>
  <conditionalFormatting sqref="N4:N42">
    <cfRule type="cellIs" dxfId="30" priority="209" operator="between">
      <formula>40</formula>
      <formula>59</formula>
    </cfRule>
  </conditionalFormatting>
  <conditionalFormatting sqref="T4:T42">
    <cfRule type="cellIs" dxfId="29" priority="208" operator="between">
      <formula>0</formula>
      <formula>39</formula>
    </cfRule>
    <cfRule type="cellIs" dxfId="28" priority="207" operator="between">
      <formula>40</formula>
      <formula>59</formula>
    </cfRule>
    <cfRule type="cellIs" dxfId="27" priority="206" operator="between">
      <formula>60</formula>
      <formula>69</formula>
    </cfRule>
    <cfRule type="cellIs" dxfId="26" priority="205" operator="between">
      <formula>70</formula>
      <formula>79</formula>
    </cfRule>
    <cfRule type="cellIs" dxfId="25" priority="204" operator="between">
      <formula>80</formula>
      <formula>100</formula>
    </cfRule>
  </conditionalFormatting>
  <conditionalFormatting sqref="Z4:Z42">
    <cfRule type="cellIs" dxfId="24" priority="91" operator="between">
      <formula>80</formula>
      <formula>100</formula>
    </cfRule>
    <cfRule type="cellIs" dxfId="23" priority="92" operator="between">
      <formula>70</formula>
      <formula>79</formula>
    </cfRule>
    <cfRule type="cellIs" dxfId="22" priority="93" operator="between">
      <formula>60</formula>
      <formula>69</formula>
    </cfRule>
    <cfRule type="cellIs" dxfId="21" priority="94" operator="between">
      <formula>40</formula>
      <formula>59</formula>
    </cfRule>
    <cfRule type="cellIs" dxfId="20" priority="95" operator="between">
      <formula>0</formula>
      <formula>39</formula>
    </cfRule>
  </conditionalFormatting>
  <conditionalFormatting sqref="AC4:AC42">
    <cfRule type="cellIs" dxfId="19" priority="116" operator="between">
      <formula>0.8</formula>
      <formula>1</formula>
    </cfRule>
    <cfRule type="cellIs" dxfId="18" priority="117" operator="between">
      <formula>0.7</formula>
      <formula>0.79</formula>
    </cfRule>
    <cfRule type="cellIs" dxfId="17" priority="118" operator="between">
      <formula>0.6</formula>
      <formula>0.69</formula>
    </cfRule>
    <cfRule type="cellIs" dxfId="16" priority="119" operator="between">
      <formula>0.4</formula>
      <formula>0.59</formula>
    </cfRule>
    <cfRule type="cellIs" dxfId="15" priority="120" operator="between">
      <formula>0</formula>
      <formula>0.39</formula>
    </cfRule>
  </conditionalFormatting>
  <conditionalFormatting sqref="AG4:AG41">
    <cfRule type="cellIs" dxfId="14" priority="5" operator="between">
      <formula>0</formula>
      <formula>39</formula>
    </cfRule>
    <cfRule type="cellIs" dxfId="13" priority="4" operator="between">
      <formula>40</formula>
      <formula>59</formula>
    </cfRule>
    <cfRule type="cellIs" dxfId="12" priority="3" operator="between">
      <formula>60</formula>
      <formula>69</formula>
    </cfRule>
    <cfRule type="cellIs" dxfId="11" priority="2" operator="between">
      <formula>70</formula>
      <formula>79</formula>
    </cfRule>
    <cfRule type="cellIs" dxfId="10" priority="1" operator="between">
      <formula>80</formula>
      <formula>100</formula>
    </cfRule>
  </conditionalFormatting>
  <conditionalFormatting sqref="AJ4:AJ42">
    <cfRule type="cellIs" dxfId="9" priority="40" operator="between">
      <formula>0</formula>
      <formula>0.39</formula>
    </cfRule>
    <cfRule type="cellIs" dxfId="8" priority="39" operator="between">
      <formula>0.4</formula>
      <formula>0.59</formula>
    </cfRule>
    <cfRule type="cellIs" dxfId="7" priority="38" operator="between">
      <formula>0.6</formula>
      <formula>0.69</formula>
    </cfRule>
    <cfRule type="cellIs" dxfId="6" priority="37" operator="between">
      <formula>0.7</formula>
      <formula>0.79</formula>
    </cfRule>
    <cfRule type="cellIs" dxfId="5" priority="36" operator="between">
      <formula>0.8</formula>
      <formula>1</formula>
    </cfRule>
  </conditionalFormatting>
  <conditionalFormatting sqref="AN4:AN42">
    <cfRule type="cellIs" dxfId="4" priority="194" operator="between">
      <formula>80</formula>
      <formula>100</formula>
    </cfRule>
    <cfRule type="cellIs" dxfId="3" priority="195" operator="between">
      <formula>70</formula>
      <formula>79</formula>
    </cfRule>
    <cfRule type="cellIs" dxfId="2" priority="196" operator="between">
      <formula>60</formula>
      <formula>69</formula>
    </cfRule>
    <cfRule type="cellIs" dxfId="1" priority="197" operator="between">
      <formula>40</formula>
      <formula>59</formula>
    </cfRule>
    <cfRule type="cellIs" dxfId="0" priority="198" operator="between">
      <formula>0</formula>
      <formula>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4.4" x14ac:dyDescent="0.3"/>
  <cols>
    <col min="2" max="2" width="22.33203125" customWidth="1"/>
    <col min="3" max="4" width="20.44140625" customWidth="1"/>
    <col min="5" max="5" width="18.88671875" customWidth="1"/>
    <col min="6" max="6" width="23.44140625" customWidth="1"/>
    <col min="7" max="7" width="25.109375" customWidth="1"/>
    <col min="8" max="8" width="20.44140625" customWidth="1"/>
    <col min="9" max="9" width="18.88671875" customWidth="1"/>
    <col min="10" max="10" width="22" customWidth="1"/>
    <col min="13" max="13" width="13.44140625" customWidth="1"/>
    <col min="14" max="14" width="23" customWidth="1"/>
    <col min="15" max="15" width="26.33203125" customWidth="1"/>
  </cols>
  <sheetData>
    <row r="1" spans="1:23" ht="15.75" customHeight="1" thickBot="1" x14ac:dyDescent="0.35">
      <c r="A1" s="160" t="s">
        <v>245</v>
      </c>
      <c r="B1" s="162" t="s">
        <v>246</v>
      </c>
      <c r="C1" s="162" t="s">
        <v>292</v>
      </c>
      <c r="D1" s="162" t="s">
        <v>3</v>
      </c>
      <c r="E1" s="164" t="s">
        <v>339</v>
      </c>
      <c r="F1" s="165"/>
      <c r="G1" s="165"/>
      <c r="H1" s="165"/>
      <c r="I1" s="165"/>
      <c r="J1" s="166"/>
    </row>
    <row r="2" spans="1:23" ht="27.75" customHeight="1" thickBot="1" x14ac:dyDescent="0.35">
      <c r="A2" s="161"/>
      <c r="B2" s="163"/>
      <c r="C2" s="163"/>
      <c r="D2" s="163"/>
      <c r="E2" s="10" t="s">
        <v>235</v>
      </c>
      <c r="F2" s="10" t="s">
        <v>236</v>
      </c>
      <c r="G2" s="10" t="s">
        <v>237</v>
      </c>
      <c r="H2" s="10" t="s">
        <v>238</v>
      </c>
      <c r="I2" s="10" t="s">
        <v>239</v>
      </c>
      <c r="J2" s="11" t="s">
        <v>247</v>
      </c>
      <c r="N2" s="2" t="s">
        <v>248</v>
      </c>
      <c r="O2" s="3" t="s">
        <v>249</v>
      </c>
      <c r="Q2" s="159"/>
      <c r="R2" s="159"/>
      <c r="S2" s="159"/>
      <c r="T2" s="159"/>
      <c r="U2" s="159"/>
      <c r="V2" s="159"/>
      <c r="W2" s="159"/>
    </row>
    <row r="3" spans="1:23" ht="60.75" customHeight="1" thickBot="1" x14ac:dyDescent="0.35">
      <c r="A3" s="12">
        <v>1</v>
      </c>
      <c r="B3" s="13" t="s">
        <v>234</v>
      </c>
      <c r="C3" s="14">
        <v>2</v>
      </c>
      <c r="D3" s="51" t="s">
        <v>293</v>
      </c>
      <c r="E3" s="15">
        <v>1</v>
      </c>
      <c r="F3" s="16"/>
      <c r="G3" s="30"/>
      <c r="H3" s="17"/>
      <c r="I3" s="18">
        <v>1</v>
      </c>
      <c r="J3" s="19">
        <f>SUM(E3:I3)</f>
        <v>2</v>
      </c>
      <c r="N3" s="4" t="s">
        <v>250</v>
      </c>
      <c r="O3" s="5">
        <v>18</v>
      </c>
    </row>
    <row r="4" spans="1:23" ht="83.25" customHeight="1" thickBot="1" x14ac:dyDescent="0.35">
      <c r="A4" s="12">
        <v>2</v>
      </c>
      <c r="B4" s="13" t="s">
        <v>14</v>
      </c>
      <c r="C4" s="14">
        <v>11</v>
      </c>
      <c r="D4" s="51" t="s">
        <v>294</v>
      </c>
      <c r="E4" s="15">
        <v>4</v>
      </c>
      <c r="F4" s="16">
        <v>2</v>
      </c>
      <c r="G4" s="30"/>
      <c r="H4" s="17"/>
      <c r="I4" s="18">
        <v>5</v>
      </c>
      <c r="J4" s="19">
        <f t="shared" ref="J4:J7" si="0">SUM(E4:I4)</f>
        <v>11</v>
      </c>
      <c r="N4" s="6" t="s">
        <v>236</v>
      </c>
      <c r="O4" s="5">
        <v>4</v>
      </c>
    </row>
    <row r="5" spans="1:23" ht="60" customHeight="1" thickBot="1" x14ac:dyDescent="0.35">
      <c r="A5" s="12">
        <v>3</v>
      </c>
      <c r="B5" s="13" t="s">
        <v>24</v>
      </c>
      <c r="C5" s="14">
        <v>7</v>
      </c>
      <c r="D5" s="51" t="s">
        <v>295</v>
      </c>
      <c r="E5" s="15">
        <v>3</v>
      </c>
      <c r="F5" s="16">
        <v>2</v>
      </c>
      <c r="G5" s="30"/>
      <c r="H5" s="17">
        <v>1</v>
      </c>
      <c r="I5" s="18">
        <v>1</v>
      </c>
      <c r="J5" s="19">
        <f t="shared" si="0"/>
        <v>7</v>
      </c>
      <c r="N5" s="7" t="s">
        <v>237</v>
      </c>
      <c r="O5" s="5">
        <f>G8</f>
        <v>0</v>
      </c>
    </row>
    <row r="6" spans="1:23" ht="79.5" customHeight="1" thickBot="1" x14ac:dyDescent="0.35">
      <c r="A6" s="12">
        <v>4</v>
      </c>
      <c r="B6" s="13" t="s">
        <v>30</v>
      </c>
      <c r="C6" s="14">
        <v>14</v>
      </c>
      <c r="D6" s="51" t="s">
        <v>296</v>
      </c>
      <c r="E6" s="15">
        <v>6</v>
      </c>
      <c r="F6" s="16"/>
      <c r="G6" s="30"/>
      <c r="H6" s="17"/>
      <c r="I6" s="18">
        <v>8</v>
      </c>
      <c r="J6" s="19">
        <f t="shared" si="0"/>
        <v>14</v>
      </c>
      <c r="N6" s="8" t="s">
        <v>238</v>
      </c>
      <c r="O6" s="5">
        <v>1</v>
      </c>
    </row>
    <row r="7" spans="1:23" ht="107.25" customHeight="1" thickBot="1" x14ac:dyDescent="0.35">
      <c r="A7" s="12">
        <v>5</v>
      </c>
      <c r="B7" s="13" t="s">
        <v>39</v>
      </c>
      <c r="C7" s="14">
        <v>5</v>
      </c>
      <c r="D7" s="51" t="s">
        <v>297</v>
      </c>
      <c r="E7" s="15">
        <v>4</v>
      </c>
      <c r="F7" s="16"/>
      <c r="G7" s="30"/>
      <c r="H7" s="17"/>
      <c r="I7" s="18">
        <v>1</v>
      </c>
      <c r="J7" s="19">
        <f t="shared" si="0"/>
        <v>5</v>
      </c>
      <c r="N7" s="9" t="s">
        <v>239</v>
      </c>
      <c r="O7" s="5">
        <v>16</v>
      </c>
    </row>
    <row r="8" spans="1:23" ht="15" thickBot="1" x14ac:dyDescent="0.35">
      <c r="A8" s="156" t="s">
        <v>292</v>
      </c>
      <c r="B8" s="157"/>
      <c r="C8" s="157"/>
      <c r="D8" s="158"/>
      <c r="E8" s="20">
        <f>SUM(E3:E7)</f>
        <v>18</v>
      </c>
      <c r="F8" s="20">
        <f t="shared" ref="F8:I8" si="1">SUM(F3:F7)</f>
        <v>4</v>
      </c>
      <c r="G8" s="20">
        <f t="shared" si="1"/>
        <v>0</v>
      </c>
      <c r="H8" s="20">
        <f t="shared" si="1"/>
        <v>1</v>
      </c>
      <c r="I8" s="20">
        <f t="shared" si="1"/>
        <v>16</v>
      </c>
      <c r="J8" s="20">
        <f>SUM(J3:J7)</f>
        <v>39</v>
      </c>
      <c r="O8">
        <f>O3+O4+O5+O6+O7</f>
        <v>39</v>
      </c>
    </row>
    <row r="14" spans="1:23" ht="15" thickBot="1" x14ac:dyDescent="0.35"/>
    <row r="15" spans="1:23" ht="24" customHeight="1" x14ac:dyDescent="0.3">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5">
      <c r="B16" s="24" t="s">
        <v>234</v>
      </c>
      <c r="C16" s="15">
        <f>E3</f>
        <v>1</v>
      </c>
      <c r="D16" s="16">
        <f>F3</f>
        <v>0</v>
      </c>
      <c r="E16" s="30">
        <f>G3</f>
        <v>0</v>
      </c>
      <c r="F16" s="17">
        <f>H3</f>
        <v>0</v>
      </c>
      <c r="G16" s="18">
        <f>I3</f>
        <v>1</v>
      </c>
      <c r="J16" s="24" t="s">
        <v>14</v>
      </c>
      <c r="K16" s="15">
        <f>E4</f>
        <v>4</v>
      </c>
      <c r="L16" s="16">
        <f>F4</f>
        <v>2</v>
      </c>
      <c r="M16" s="30">
        <f>G4</f>
        <v>0</v>
      </c>
      <c r="N16" s="17">
        <f>H4</f>
        <v>0</v>
      </c>
      <c r="O16" s="18">
        <f>I4</f>
        <v>5</v>
      </c>
    </row>
    <row r="17" spans="2:30" x14ac:dyDescent="0.3">
      <c r="B17" s="1"/>
    </row>
    <row r="19" spans="2:30" ht="65.25" customHeight="1" x14ac:dyDescent="0.3"/>
    <row r="22" spans="2:30" ht="54.75" customHeight="1" x14ac:dyDescent="0.3"/>
    <row r="24" spans="2:30" x14ac:dyDescent="0.3">
      <c r="AD24" s="1"/>
    </row>
    <row r="25" spans="2:30" ht="80.25" customHeight="1" thickBot="1" x14ac:dyDescent="0.35"/>
    <row r="26" spans="2:30" ht="48" customHeight="1" x14ac:dyDescent="0.3">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5">
      <c r="B27" s="24" t="s">
        <v>24</v>
      </c>
      <c r="C27" s="15">
        <f>E5</f>
        <v>3</v>
      </c>
      <c r="D27" s="16">
        <f>F5</f>
        <v>2</v>
      </c>
      <c r="E27" s="30">
        <f>G5</f>
        <v>0</v>
      </c>
      <c r="F27" s="17">
        <f>H5</f>
        <v>1</v>
      </c>
      <c r="G27" s="18">
        <f>I5</f>
        <v>1</v>
      </c>
      <c r="J27" s="24" t="s">
        <v>30</v>
      </c>
      <c r="K27" s="15">
        <f>E6</f>
        <v>6</v>
      </c>
      <c r="L27" s="16">
        <f>F6</f>
        <v>0</v>
      </c>
      <c r="M27" s="30">
        <f>G6</f>
        <v>0</v>
      </c>
      <c r="N27" s="17">
        <f>H6</f>
        <v>0</v>
      </c>
      <c r="O27" s="18">
        <f>I6</f>
        <v>8</v>
      </c>
      <c r="AD27" s="1"/>
    </row>
    <row r="28" spans="2:30" ht="96.75" customHeight="1" x14ac:dyDescent="0.3"/>
    <row r="30" spans="2:30" x14ac:dyDescent="0.3">
      <c r="AD30" s="1"/>
    </row>
    <row r="44" spans="2:7" ht="15" thickBot="1" x14ac:dyDescent="0.35"/>
    <row r="45" spans="2:7" ht="30" customHeight="1" x14ac:dyDescent="0.3">
      <c r="B45" s="21" t="s">
        <v>244</v>
      </c>
      <c r="C45" s="22" t="s">
        <v>235</v>
      </c>
      <c r="D45" s="22" t="s">
        <v>236</v>
      </c>
      <c r="E45" s="22" t="s">
        <v>237</v>
      </c>
      <c r="F45" s="22" t="s">
        <v>238</v>
      </c>
      <c r="G45" s="23" t="s">
        <v>239</v>
      </c>
    </row>
    <row r="46" spans="2:7" ht="90.75" customHeight="1" thickBot="1" x14ac:dyDescent="0.35">
      <c r="B46" s="24" t="s">
        <v>39</v>
      </c>
      <c r="C46" s="15">
        <f>E7</f>
        <v>4</v>
      </c>
      <c r="D46" s="16">
        <f>F7</f>
        <v>0</v>
      </c>
      <c r="E46" s="30">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sebastian leon herrera</cp:lastModifiedBy>
  <cp:lastPrinted>2021-08-19T15:54:10Z</cp:lastPrinted>
  <dcterms:created xsi:type="dcterms:W3CDTF">2019-05-08T13:38:43Z</dcterms:created>
  <dcterms:modified xsi:type="dcterms:W3CDTF">2024-05-17T15:52:57Z</dcterms:modified>
</cp:coreProperties>
</file>