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Laura\Desktop\LAURA NIETO\1. GOBERNACION SP\2023\3. POLITICAS PUBLICAS CPS 4219 OCT - DIC\3. SGT FAMILIA\III TRIMESTRE\Definitivo\"/>
    </mc:Choice>
  </mc:AlternateContent>
  <xr:revisionPtr revIDLastSave="0" documentId="13_ncr:1_{9E377C35-46ED-4B6D-BC59-3C76E213800D}" xr6:coauthVersionLast="47" xr6:coauthVersionMax="47" xr10:uidLastSave="{00000000-0000-0000-0000-000000000000}"/>
  <bookViews>
    <workbookView xWindow="20370" yWindow="-120" windowWidth="20730" windowHeight="11160" xr2:uid="{00000000-000D-0000-FFFF-FFFF00000000}"/>
  </bookViews>
  <sheets>
    <sheet name="Matriz" sheetId="1" r:id="rId1"/>
    <sheet name="Avance Total" sheetId="9" r:id="rId2"/>
  </sheets>
  <externalReferences>
    <externalReference r:id="rId3"/>
  </externalReferences>
  <definedNames>
    <definedName name="_xlnm._FilterDatabase" localSheetId="0" hidden="1">Matriz!$A$2:$AE$85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13" i="1" l="1"/>
  <c r="Q13" i="1"/>
  <c r="BY13" i="1"/>
  <c r="BZ13" i="1"/>
  <c r="CE13" i="1"/>
  <c r="CG13" i="1"/>
  <c r="CH13" i="1"/>
  <c r="CI13" i="1" s="1"/>
  <c r="CL13" i="1"/>
  <c r="CM13" i="1"/>
  <c r="CN13" i="1" s="1"/>
  <c r="CH42" i="1"/>
  <c r="CG42" i="1"/>
  <c r="CA13" i="1" l="1"/>
  <c r="CH65" i="1"/>
  <c r="CG65" i="1"/>
  <c r="CH21" i="1"/>
  <c r="CG21" i="1"/>
  <c r="CH25" i="1"/>
  <c r="CG25" i="1"/>
  <c r="CH48" i="1" l="1"/>
  <c r="CG48" i="1"/>
  <c r="CG43" i="1"/>
  <c r="CH43" i="1"/>
  <c r="CG41" i="1"/>
  <c r="CH41" i="1"/>
  <c r="CH40" i="1"/>
  <c r="CG40" i="1"/>
  <c r="CI36" i="1"/>
  <c r="CH35" i="1"/>
  <c r="CG35" i="1"/>
  <c r="CI40" i="1" l="1"/>
  <c r="CH80" i="1"/>
  <c r="CH70" i="1" l="1"/>
  <c r="CG70" i="1"/>
  <c r="CH69" i="1"/>
  <c r="CH68" i="1"/>
  <c r="CG68" i="1"/>
  <c r="CH66" i="1"/>
  <c r="CG66" i="1"/>
  <c r="CH64" i="1" l="1"/>
  <c r="CG64" i="1"/>
  <c r="CH62" i="1"/>
  <c r="CG62" i="1"/>
  <c r="CH60" i="1"/>
  <c r="CG60" i="1"/>
  <c r="CH59" i="1"/>
  <c r="CG59" i="1"/>
  <c r="CH37" i="1"/>
  <c r="CG37" i="1"/>
  <c r="CH18" i="1"/>
  <c r="CG18" i="1"/>
  <c r="CH14" i="1"/>
  <c r="CH12" i="1"/>
  <c r="CG12" i="1"/>
  <c r="CH7" i="1"/>
  <c r="CG7" i="1"/>
  <c r="CH5" i="1"/>
  <c r="CG5" i="1"/>
  <c r="CH4" i="1"/>
  <c r="CG4" i="1"/>
  <c r="CI4" i="1" l="1"/>
  <c r="CH75" i="1"/>
  <c r="CG75" i="1"/>
  <c r="CH58" i="1"/>
  <c r="CG58" i="1"/>
  <c r="CI18" i="1"/>
  <c r="CG6" i="1"/>
  <c r="CI7" i="1"/>
  <c r="CH6" i="1"/>
  <c r="CI5" i="1"/>
  <c r="CE59" i="1"/>
  <c r="CI58" i="1" l="1"/>
  <c r="CI6" i="1"/>
  <c r="CF40" i="1"/>
  <c r="CF83" i="1"/>
  <c r="CG83" i="1"/>
  <c r="CF48" i="1"/>
  <c r="CG74" i="1" l="1"/>
  <c r="CH74" i="1" s="1"/>
  <c r="CG84" i="1" l="1"/>
  <c r="CG82" i="1"/>
  <c r="CI12" i="1"/>
  <c r="I31" i="9"/>
  <c r="CF42" i="1"/>
  <c r="CE35" i="1"/>
  <c r="CF4" i="1"/>
  <c r="CH85" i="1"/>
  <c r="CG85" i="1"/>
  <c r="CH84" i="1"/>
  <c r="CH83" i="1"/>
  <c r="CH82" i="1"/>
  <c r="CI74" i="1"/>
  <c r="CI71" i="1"/>
  <c r="CG69" i="1"/>
  <c r="CI65" i="1"/>
  <c r="CI60" i="1"/>
  <c r="CH55" i="1"/>
  <c r="CG55" i="1"/>
  <c r="CH53" i="1"/>
  <c r="CG53" i="1"/>
  <c r="CH51" i="1"/>
  <c r="CH49" i="1"/>
  <c r="CG49" i="1"/>
  <c r="CH46" i="1"/>
  <c r="CG46" i="1"/>
  <c r="CG44" i="1"/>
  <c r="CI44" i="1" s="1"/>
  <c r="CI42" i="1"/>
  <c r="CI41" i="1"/>
  <c r="CI37" i="1"/>
  <c r="CI35" i="1"/>
  <c r="CI34" i="1"/>
  <c r="CH33" i="1"/>
  <c r="CG33" i="1"/>
  <c r="CH31" i="1"/>
  <c r="CG31" i="1"/>
  <c r="CH27" i="1"/>
  <c r="CG27" i="1"/>
  <c r="CI25" i="1"/>
  <c r="CI14" i="1"/>
  <c r="H35" i="9"/>
  <c r="B7" i="9" s="1"/>
  <c r="G35" i="9"/>
  <c r="B6" i="9" s="1"/>
  <c r="F35" i="9"/>
  <c r="B5" i="9" s="1"/>
  <c r="E35" i="9"/>
  <c r="D35" i="9"/>
  <c r="B3" i="9" s="1"/>
  <c r="I34" i="9"/>
  <c r="I33" i="9"/>
  <c r="I32" i="9"/>
  <c r="I30" i="9"/>
  <c r="CN85" i="1"/>
  <c r="CF85" i="1"/>
  <c r="CN84" i="1"/>
  <c r="CF84" i="1"/>
  <c r="CN83" i="1"/>
  <c r="CN82" i="1"/>
  <c r="CF82" i="1"/>
  <c r="CN80" i="1"/>
  <c r="CF80" i="1"/>
  <c r="CN79" i="1"/>
  <c r="CF79" i="1"/>
  <c r="CF75" i="1"/>
  <c r="CN71" i="1"/>
  <c r="CN70" i="1"/>
  <c r="CN69" i="1"/>
  <c r="CF69" i="1"/>
  <c r="CN68" i="1"/>
  <c r="CF68" i="1"/>
  <c r="CN66" i="1"/>
  <c r="CF66" i="1"/>
  <c r="CF65" i="1"/>
  <c r="CF61" i="1"/>
  <c r="CF51" i="1"/>
  <c r="CF49" i="1"/>
  <c r="CN42" i="1"/>
  <c r="CN41" i="1"/>
  <c r="CN40" i="1"/>
  <c r="CM35" i="1"/>
  <c r="CN30" i="1"/>
  <c r="CF30" i="1"/>
  <c r="CN26" i="1"/>
  <c r="CF26" i="1"/>
  <c r="CN25" i="1"/>
  <c r="CN8" i="1"/>
  <c r="CN7" i="1"/>
  <c r="CF7" i="1"/>
  <c r="CN6" i="1"/>
  <c r="CF6" i="1"/>
  <c r="CN5" i="1"/>
  <c r="CF5" i="1"/>
  <c r="CN4" i="1"/>
  <c r="CA55" i="1"/>
  <c r="CI49" i="1" l="1"/>
  <c r="CI33" i="1"/>
  <c r="CI70" i="1"/>
  <c r="CI82" i="1"/>
  <c r="CF87" i="1"/>
  <c r="CI31" i="1"/>
  <c r="CI53" i="1"/>
  <c r="CI64" i="1"/>
  <c r="CI27" i="1"/>
  <c r="CI43" i="1"/>
  <c r="CI55" i="1"/>
  <c r="CI83" i="1"/>
  <c r="CI68" i="1"/>
  <c r="CI84" i="1"/>
  <c r="CI48" i="1"/>
  <c r="CI69" i="1"/>
  <c r="CI80" i="1"/>
  <c r="CI46" i="1"/>
  <c r="CI59" i="1"/>
  <c r="CI62" i="1"/>
  <c r="CI85" i="1"/>
  <c r="I35" i="9"/>
  <c r="CN87" i="1"/>
  <c r="CA35" i="1"/>
  <c r="BW35" i="1"/>
  <c r="CA53" i="1" l="1"/>
  <c r="BY51" i="1"/>
  <c r="BZ49" i="1"/>
  <c r="BY49" i="1"/>
  <c r="BY12" i="1" l="1"/>
  <c r="BX82" i="1"/>
  <c r="BZ51" i="1" l="1"/>
  <c r="BZ43" i="1"/>
  <c r="BY43" i="1"/>
  <c r="CA80" i="1" l="1"/>
  <c r="BZ46" i="1" l="1"/>
  <c r="BY46" i="1"/>
  <c r="BZ69" i="1" l="1"/>
  <c r="BZ70" i="1"/>
  <c r="BY70" i="1"/>
  <c r="BZ68" i="1"/>
  <c r="BZ66" i="1"/>
  <c r="BZ12" i="1" l="1"/>
  <c r="BZ64" i="1" l="1"/>
  <c r="BY64" i="1"/>
  <c r="BZ62" i="1"/>
  <c r="BY62" i="1"/>
  <c r="BZ60" i="1"/>
  <c r="BY60" i="1"/>
  <c r="BZ59" i="1"/>
  <c r="BY59" i="1"/>
  <c r="BZ33" i="1"/>
  <c r="BY33" i="1"/>
  <c r="BZ27" i="1" l="1"/>
  <c r="BY27" i="1"/>
  <c r="BZ5" i="1"/>
  <c r="BY4" i="1"/>
  <c r="BZ85" i="1"/>
  <c r="BY85" i="1"/>
  <c r="BZ58" i="1"/>
  <c r="BY58" i="1"/>
  <c r="BZ37" i="1"/>
  <c r="BY37" i="1"/>
  <c r="CA33" i="1"/>
  <c r="CA84" i="1" l="1"/>
  <c r="CA83" i="1"/>
  <c r="BZ75" i="1"/>
  <c r="BZ74" i="1"/>
  <c r="CA71" i="1"/>
  <c r="CA69" i="1"/>
  <c r="CA68" i="1"/>
  <c r="CA65" i="1"/>
  <c r="CA49" i="1"/>
  <c r="CA48" i="1"/>
  <c r="CA44" i="1"/>
  <c r="CA41" i="1"/>
  <c r="CA27" i="1"/>
  <c r="CA14" i="1"/>
  <c r="CA6" i="1"/>
  <c r="CA4" i="1"/>
  <c r="BX5" i="1"/>
  <c r="CA74" i="1" l="1"/>
  <c r="CA70" i="1"/>
  <c r="BZ21" i="1"/>
  <c r="BY21" i="1"/>
  <c r="BZ82" i="1"/>
  <c r="BY82" i="1"/>
  <c r="CA62" i="1"/>
  <c r="CA59" i="1"/>
  <c r="CA46" i="1"/>
  <c r="BY31" i="1"/>
  <c r="CA31" i="1" s="1"/>
  <c r="BY25" i="1"/>
  <c r="CA25" i="1" s="1"/>
  <c r="BZ18" i="1"/>
  <c r="BY18" i="1"/>
  <c r="BX4" i="1"/>
  <c r="CA82" i="1" l="1"/>
  <c r="CA37" i="1"/>
  <c r="CA12" i="1"/>
  <c r="CA60" i="1"/>
  <c r="CA64" i="1"/>
  <c r="CA85" i="1"/>
  <c r="B9" i="9"/>
  <c r="BC69" i="1"/>
  <c r="BC68" i="1"/>
  <c r="AO66" i="1"/>
  <c r="AH66" i="1"/>
  <c r="BG18" i="1"/>
  <c r="BB61" i="1"/>
  <c r="AP25" i="1"/>
  <c r="AP24" i="1"/>
  <c r="BX85" i="1"/>
  <c r="BX84" i="1"/>
  <c r="BX80" i="1"/>
  <c r="BX79" i="1"/>
  <c r="BX75" i="1"/>
  <c r="BX69" i="1"/>
  <c r="BX68" i="1"/>
  <c r="BX66" i="1"/>
  <c r="BX65" i="1"/>
  <c r="BX61" i="1"/>
  <c r="BX60" i="1"/>
  <c r="BX51" i="1"/>
  <c r="BX49" i="1"/>
  <c r="BX42" i="1"/>
  <c r="CA42" i="1" s="1"/>
  <c r="CA34" i="1"/>
  <c r="BX30" i="1"/>
  <c r="BX26" i="1"/>
  <c r="BX7" i="1"/>
  <c r="BX6" i="1"/>
  <c r="CA87" i="1" l="1"/>
  <c r="BX87" i="1"/>
  <c r="BQ85" i="1"/>
  <c r="BQ84" i="1"/>
  <c r="BQ80" i="1"/>
  <c r="BQ79" i="1"/>
  <c r="BQ75" i="1"/>
  <c r="BQ69" i="1"/>
  <c r="BQ68" i="1"/>
  <c r="BQ66" i="1"/>
  <c r="BQ65" i="1"/>
  <c r="BQ61" i="1"/>
  <c r="BQ60" i="1"/>
  <c r="BQ51" i="1"/>
  <c r="BQ49" i="1"/>
  <c r="BQ42" i="1"/>
  <c r="BQ36" i="1"/>
  <c r="BP35" i="1"/>
  <c r="BQ35" i="1" s="1"/>
  <c r="BQ34" i="1"/>
  <c r="BQ30" i="1"/>
  <c r="BQ28" i="1"/>
  <c r="BQ27" i="1"/>
  <c r="BQ26" i="1"/>
  <c r="BQ17" i="1"/>
  <c r="BQ16" i="1"/>
  <c r="BQ8" i="1"/>
  <c r="BQ7" i="1"/>
  <c r="BQ6" i="1"/>
  <c r="BQ4" i="1"/>
  <c r="BJ85" i="1" l="1"/>
  <c r="BJ84" i="1"/>
  <c r="BJ80" i="1"/>
  <c r="BJ79" i="1"/>
  <c r="BJ75" i="1"/>
  <c r="BJ70" i="1"/>
  <c r="BJ69" i="1"/>
  <c r="BJ68" i="1"/>
  <c r="BJ66" i="1"/>
  <c r="BI60" i="1"/>
  <c r="BJ60" i="1" s="1"/>
  <c r="BJ53" i="1"/>
  <c r="BJ51" i="1"/>
  <c r="BJ42" i="1"/>
  <c r="BJ40" i="1"/>
  <c r="BJ36" i="1"/>
  <c r="BI35" i="1"/>
  <c r="BJ35" i="1" s="1"/>
  <c r="BJ34" i="1"/>
  <c r="BJ30" i="1"/>
  <c r="BJ28" i="1"/>
  <c r="BJ27" i="1"/>
  <c r="BJ26" i="1"/>
  <c r="BJ8" i="1"/>
  <c r="BJ7" i="1"/>
  <c r="BJ6" i="1"/>
  <c r="BJ5" i="1"/>
  <c r="BJ4" i="1"/>
  <c r="T66" i="1" l="1"/>
  <c r="T68" i="1"/>
  <c r="T69" i="1"/>
  <c r="T75" i="1"/>
  <c r="T79" i="1"/>
  <c r="T80" i="1"/>
  <c r="T84" i="1"/>
  <c r="T85" i="1"/>
  <c r="BC85" i="1"/>
  <c r="AV85" i="1"/>
  <c r="BC84" i="1"/>
  <c r="AV84" i="1"/>
  <c r="BC80" i="1"/>
  <c r="AV80" i="1"/>
  <c r="BC79" i="1"/>
  <c r="AV79" i="1"/>
  <c r="BC75" i="1"/>
  <c r="AV75" i="1"/>
  <c r="AV69" i="1"/>
  <c r="AV68" i="1"/>
  <c r="BC66" i="1"/>
  <c r="AV66" i="1"/>
  <c r="BC65" i="1"/>
  <c r="AV65" i="1"/>
  <c r="BC61" i="1"/>
  <c r="AV61" i="1"/>
  <c r="BC60" i="1"/>
  <c r="AV60" i="1"/>
  <c r="BC51" i="1"/>
  <c r="AV51" i="1"/>
  <c r="BC49" i="1"/>
  <c r="AV49" i="1"/>
  <c r="BC42" i="1"/>
  <c r="AV42" i="1"/>
  <c r="BC36" i="1"/>
  <c r="AV36" i="1"/>
  <c r="BC35" i="1"/>
  <c r="AV35" i="1"/>
  <c r="BC34" i="1"/>
  <c r="AV34" i="1"/>
  <c r="BC30" i="1"/>
  <c r="AV30" i="1"/>
  <c r="BC28" i="1"/>
  <c r="AV28" i="1"/>
  <c r="BC27" i="1"/>
  <c r="AV27" i="1"/>
  <c r="BC26" i="1"/>
  <c r="AV26" i="1"/>
  <c r="BC17" i="1"/>
  <c r="AV17" i="1"/>
  <c r="BC16" i="1"/>
  <c r="AV16" i="1"/>
  <c r="BC8" i="1"/>
  <c r="AV8" i="1"/>
  <c r="BC7" i="1"/>
  <c r="AV7" i="1"/>
  <c r="BC6" i="1"/>
  <c r="AV6" i="1"/>
  <c r="BC4" i="1"/>
  <c r="AV4" i="1"/>
  <c r="AO85" i="1"/>
  <c r="AH85" i="1"/>
  <c r="AO84" i="1"/>
  <c r="AH84" i="1"/>
  <c r="AO80" i="1"/>
  <c r="AH80" i="1"/>
  <c r="AO79" i="1"/>
  <c r="AH79" i="1"/>
  <c r="AO75" i="1"/>
  <c r="AH75" i="1"/>
  <c r="AO69" i="1"/>
  <c r="AH69" i="1"/>
  <c r="AO68" i="1"/>
  <c r="AH68" i="1"/>
  <c r="AO65" i="1"/>
  <c r="AH65" i="1"/>
  <c r="AO61" i="1"/>
  <c r="AH61" i="1"/>
  <c r="AO60" i="1"/>
  <c r="AH60" i="1"/>
  <c r="AO51" i="1"/>
  <c r="AH51" i="1"/>
  <c r="AO49" i="1"/>
  <c r="AH49" i="1"/>
  <c r="AO42" i="1"/>
  <c r="AH42" i="1"/>
  <c r="AO36" i="1"/>
  <c r="AH36" i="1"/>
  <c r="AO35" i="1"/>
  <c r="AH35" i="1"/>
  <c r="AO34" i="1"/>
  <c r="AH34" i="1"/>
  <c r="AO30" i="1"/>
  <c r="AH30" i="1"/>
  <c r="AO28" i="1"/>
  <c r="AH28" i="1"/>
  <c r="AO27" i="1"/>
  <c r="AH27" i="1"/>
  <c r="AO26" i="1"/>
  <c r="AH26" i="1"/>
  <c r="AO17" i="1"/>
  <c r="AH17" i="1"/>
  <c r="AO16" i="1"/>
  <c r="AH16" i="1"/>
  <c r="AO8" i="1"/>
  <c r="AH8" i="1"/>
  <c r="AO7" i="1"/>
  <c r="AH7" i="1"/>
  <c r="AO6" i="1"/>
  <c r="AH6" i="1"/>
  <c r="AO4" i="1"/>
  <c r="AH4" i="1"/>
  <c r="AA85" i="1" l="1"/>
  <c r="AA75" i="1"/>
  <c r="AA69" i="1" l="1"/>
  <c r="AA68" i="1"/>
  <c r="AA66" i="1"/>
  <c r="AA28" i="1"/>
  <c r="AA27" i="1"/>
  <c r="AA17" i="1"/>
  <c r="AA16" i="1"/>
  <c r="AA49" i="1" l="1"/>
  <c r="AA65" i="1"/>
  <c r="AA61" i="1"/>
  <c r="AA60" i="1"/>
  <c r="AA4" i="1"/>
  <c r="AA51" i="1" l="1"/>
  <c r="AA42" i="1" l="1"/>
  <c r="AA35" i="1"/>
  <c r="AA8" i="1" l="1"/>
  <c r="AA36" i="1" l="1"/>
  <c r="AA34" i="1"/>
  <c r="AA30" i="1"/>
  <c r="AA26" i="1" l="1"/>
  <c r="AA79" i="1"/>
  <c r="AA80" i="1"/>
  <c r="AA6" i="1"/>
  <c r="AA84" i="1"/>
  <c r="AA7" i="1"/>
  <c r="CI75" i="1"/>
  <c r="CI8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AUXFAMILIA26</author>
    <author>Indeportes0314</author>
  </authors>
  <commentList>
    <comment ref="BA32" authorId="0" shapeId="0" xr:uid="{00000000-0006-0000-0000-000002000000}">
      <text>
        <r>
          <rPr>
            <b/>
            <sz val="9"/>
            <color indexed="81"/>
            <rFont val="Tahoma"/>
            <family val="2"/>
          </rPr>
          <t>AUXFAMILIA26:</t>
        </r>
        <r>
          <rPr>
            <sz val="9"/>
            <color indexed="81"/>
            <rFont val="Tahoma"/>
            <family val="2"/>
          </rPr>
          <t xml:space="preserve">
pendiente respuesta universidades </t>
        </r>
      </text>
    </comment>
    <comment ref="BA49" authorId="0" shapeId="0" xr:uid="{00000000-0006-0000-0000-000003000000}">
      <text>
        <r>
          <rPr>
            <b/>
            <sz val="9"/>
            <color indexed="81"/>
            <rFont val="Tahoma"/>
            <family val="2"/>
          </rPr>
          <t>AUXFAMILIA26:</t>
        </r>
        <r>
          <rPr>
            <sz val="9"/>
            <color indexed="81"/>
            <rFont val="Tahoma"/>
            <family val="2"/>
          </rPr>
          <t xml:space="preserve">
no existen datos sobre la implementación de esta política en el territorio, y tampoco existen reportes sobre la política que haría las veces. Pendiente respuesta Secretaría de Interior</t>
        </r>
      </text>
    </comment>
    <comment ref="BA55" authorId="0" shapeId="0" xr:uid="{00000000-0006-0000-0000-000004000000}">
      <text>
        <r>
          <rPr>
            <b/>
            <sz val="9"/>
            <color indexed="81"/>
            <rFont val="Tahoma"/>
            <family val="2"/>
          </rPr>
          <t>AUXFAMILIA26:</t>
        </r>
        <r>
          <rPr>
            <sz val="9"/>
            <color indexed="81"/>
            <rFont val="Tahoma"/>
            <family val="2"/>
          </rPr>
          <t xml:space="preserve">
no existen reportes sobre prevalencia del consumo. El último estudio se dio en el 2013</t>
        </r>
      </text>
    </comment>
    <comment ref="BY59" authorId="1" shapeId="0" xr:uid="{00000000-0006-0000-0000-000005000000}">
      <text>
        <r>
          <rPr>
            <b/>
            <sz val="9"/>
            <color indexed="81"/>
            <rFont val="Tahoma"/>
            <family val="2"/>
          </rPr>
          <t>Indeportes0314:</t>
        </r>
        <r>
          <rPr>
            <sz val="9"/>
            <color indexed="81"/>
            <rFont val="Tahoma"/>
            <family val="2"/>
          </rPr>
          <t xml:space="preserve">
a la deportista maria yuliet perez bedoya le pago todo el ministerio del deporte, indeportes Quindio no genero inversion economica en este evento deportivo.</t>
        </r>
      </text>
    </comment>
    <comment ref="BB74" authorId="0" shapeId="0" xr:uid="{00000000-0006-0000-0000-000006000000}">
      <text>
        <r>
          <rPr>
            <b/>
            <sz val="9"/>
            <color indexed="81"/>
            <rFont val="Tahoma"/>
            <family val="2"/>
          </rPr>
          <t>AUXFAMILIA26:</t>
        </r>
        <r>
          <rPr>
            <sz val="9"/>
            <color indexed="81"/>
            <rFont val="Tahoma"/>
            <family val="2"/>
          </rPr>
          <t xml:space="preserve">
pendiente respuesta universidades</t>
        </r>
      </text>
    </comment>
    <comment ref="BJ74" authorId="0" shapeId="0" xr:uid="{00000000-0006-0000-0000-000007000000}">
      <text>
        <r>
          <rPr>
            <b/>
            <sz val="9"/>
            <color rgb="FF000000"/>
            <rFont val="Tahoma"/>
            <family val="2"/>
          </rPr>
          <t>AUXFAMILIA26:</t>
        </r>
        <r>
          <rPr>
            <sz val="9"/>
            <color rgb="FF000000"/>
            <rFont val="Tahoma"/>
            <family val="2"/>
          </rPr>
          <t xml:space="preserve">
</t>
        </r>
        <r>
          <rPr>
            <sz val="9"/>
            <color rgb="FF000000"/>
            <rFont val="Tahoma"/>
            <family val="2"/>
          </rPr>
          <t>pendiente respuesta universidades</t>
        </r>
      </text>
    </comment>
  </commentList>
</comments>
</file>

<file path=xl/sharedStrings.xml><?xml version="1.0" encoding="utf-8"?>
<sst xmlns="http://schemas.openxmlformats.org/spreadsheetml/2006/main" count="2201" uniqueCount="1163">
  <si>
    <t>LINEAS ESTRATEGICAS</t>
  </si>
  <si>
    <t>No.</t>
  </si>
  <si>
    <t>ESTRATEGIAS</t>
  </si>
  <si>
    <t>ACCIONES RECOMENDADAS</t>
  </si>
  <si>
    <t>INDICADORES</t>
  </si>
  <si>
    <t>MEDIOS DE VERIFICACIÓN</t>
  </si>
  <si>
    <t>RESPONSABLES.</t>
  </si>
  <si>
    <t>LINEA BASE</t>
  </si>
  <si>
    <t>META 2024</t>
  </si>
  <si>
    <t>ARQUITECTURA INSTITUCIONAL</t>
  </si>
  <si>
    <t>1.1</t>
  </si>
  <si>
    <t xml:space="preserve">Asistencia técnica a los municipios para la conformación de las oficinas de la juventud y la formulación de políticas municipales. *Formación de servidores públicos y contratistas en metodologías para trabajo con jóvenes y dinámicas juveniles, *Articulación con otras políticas sectoriales y poblacionales con el fin de compartir procesos y desarrollar sinergias (LGTB, Indígenas, Género, Jóvenes Rurales, Jóvenes Afrodescendientes, entre otros)
</t>
  </si>
  <si>
    <t>Número de municipios con política pública de juventud formulada y en ejecución</t>
  </si>
  <si>
    <t>Acuerdos municipales
Informes de rendición de cuentas
Informes de ejecución de las políticas</t>
  </si>
  <si>
    <t>tres municipios: Armenia, Quimbaya y Circasia</t>
  </si>
  <si>
    <t>Número de Oficinas de Juventud creadas con capacidad política, técnica y financiera</t>
  </si>
  <si>
    <t>Actas de Consejo de Política Social, Ordenanzas, Informes de Ejecución de Planes y Políticas.</t>
  </si>
  <si>
    <t>1.1.2</t>
  </si>
  <si>
    <t>Sistema Departamental  de Juventud y  Subsistemas Municipales de Juventud creados y operando</t>
  </si>
  <si>
    <t>Número de Sistemas Departamentales de Juventud operando</t>
  </si>
  <si>
    <t>Número de municipios con sistemas municipales de juventud operando</t>
  </si>
  <si>
    <t>Informes de rendición de cuentas
Informes de ejecución de las políticas</t>
  </si>
  <si>
    <t>1.1.3</t>
  </si>
  <si>
    <t>Formación para el trabajo, la asociatividad y el empleo mediante alianzas estratégicas con entes territoriales, fondos de garantías e instituciones de servicio educativo para fomentar la cultura del emprendimiento, organización, innovación y formación del talento profesional.</t>
  </si>
  <si>
    <t>Tasa de participación de Proyectos Juveniles en bolsas, fondos y fuentes de cofinanciación.</t>
  </si>
  <si>
    <t>Informes de Ministerio del Trabajo, Política Generación de Ingresos, Rendición de Cuentas Política de Juventud</t>
  </si>
  <si>
    <t>ATENCION INTEGRAL</t>
  </si>
  <si>
    <t>2.1</t>
  </si>
  <si>
    <t>Garantizar el acceso y sostenibilidad laboral y productiva de las y los jóvenes quindianos</t>
  </si>
  <si>
    <t>2.1.1</t>
  </si>
  <si>
    <t xml:space="preserve">Fortalecimiento de la Educación, la Ciencia y la Tecnología para la población juvenil mediante alianzas estratégicas que generen programas para el fomento de la cultura de la investigación y la CTeI.                                        
</t>
  </si>
  <si>
    <t>Tasa de desempleo juvenil</t>
  </si>
  <si>
    <t>Reportes de la Gran Encuesta Integrada de Hogares - DANE
Reportes de Coyuntura Económica</t>
  </si>
  <si>
    <t xml:space="preserve">25% (2012, Fuente: DANE – GEIH. Cálculos DNP)
</t>
  </si>
  <si>
    <t>&lt;10</t>
  </si>
  <si>
    <t>2.1.2</t>
  </si>
  <si>
    <t>Apoyo a proyectos innovadores y emprendimiento social.</t>
  </si>
  <si>
    <t>ND</t>
  </si>
  <si>
    <t>2.1.3</t>
  </si>
  <si>
    <t>Reconocimiento y promoción de las culturas y expresiones juveniles mediante la institucionalización de eventos anuales o semestrales de apoyo a expresiones culturales, artísticas y empresariales de cualquier tipo de identidad juvenil.</t>
  </si>
  <si>
    <t>Informes de Ruedas de Negocios, Actas del Consejo Regional de Competitividad</t>
  </si>
  <si>
    <t>PD</t>
  </si>
  <si>
    <t>2.1.4</t>
  </si>
  <si>
    <t>Impulso a la Ley del Primer Empleo.</t>
  </si>
  <si>
    <t>No de Empresas que se benefician con la Ley del Primer Empleo</t>
  </si>
  <si>
    <t>Sistema de Información para el Empleo, Bases de Datos de las Empresas beneficiadas.</t>
  </si>
  <si>
    <t>2.1.5</t>
  </si>
  <si>
    <t>Establecimiento de alianzas con actores públicos y privados para la implementación departamental del Documento CONPES 173 del 2014</t>
  </si>
  <si>
    <t>No de empresas públicas y privadas que se benefician con la Ley del Primer Empleo</t>
  </si>
  <si>
    <t>2.1.6</t>
  </si>
  <si>
    <t>Fortalecimiento e implementación en todo el departamento de la Estrategia Nacional de Erradicación del Trabajo Infantil</t>
  </si>
  <si>
    <t>Tasa de trabajo infantil</t>
  </si>
  <si>
    <t>Reporte de la Gran Encuesta Integrada de Hogares-DANE</t>
  </si>
  <si>
    <t>7,1 (2012, Fuente: DANE – GEIH)</t>
  </si>
  <si>
    <t>&lt;3</t>
  </si>
  <si>
    <t>Tasa de trabajo infantil ampliada</t>
  </si>
  <si>
    <t>13 (2012, Fuente: DANE – GEIH)</t>
  </si>
  <si>
    <t>&lt;7</t>
  </si>
  <si>
    <t>2.1.7</t>
  </si>
  <si>
    <t>Promoción de los y las jóvenes rurales e indígenas como actores sociales del territorio mediante la implementación de estrategias de emprendimiento rural.</t>
  </si>
  <si>
    <t>Registros de Programas de Emprendimiento  SENA, Gobernación, Universidades.</t>
  </si>
  <si>
    <t>2.1.8</t>
  </si>
  <si>
    <t xml:space="preserve">Promoción y fomento a los emprendimientos y proyectos productivos juveniles mediante el apoyo en la consecución de recursos para financiación y cofinanciación de ideas de negocio.
</t>
  </si>
  <si>
    <t>Porcentaje de Ideas de Negocio que reciben estimulo financiero</t>
  </si>
  <si>
    <t>2.1.9</t>
  </si>
  <si>
    <t>No.  de Asociaciones vinculadas a la Red Departamental.</t>
  </si>
  <si>
    <t>Registros y Actas de la Red Departamental de Emprendimiento</t>
  </si>
  <si>
    <t>2.2</t>
  </si>
  <si>
    <t>Garantizar una educación de calidad, oportuna y pertinente para la población joven del Quindío</t>
  </si>
  <si>
    <t>2.2.1</t>
  </si>
  <si>
    <t xml:space="preserve">Fortalecimiento de la cobertura educativa y la calidad educativa en básica secundaria y media vocacional. 
</t>
  </si>
  <si>
    <t>Tasa de cobertura neta básica secundaria</t>
  </si>
  <si>
    <t>Reporte Ministerio de Educación SIMAT</t>
  </si>
  <si>
    <t>79,17% (Fuente: MEN Sistema Integrado de Matrícula, SIMAT)</t>
  </si>
  <si>
    <t>&gt;90%</t>
  </si>
  <si>
    <t>Tasa de cobertura neta media vocacional</t>
  </si>
  <si>
    <t>46,59% (Fuente: MEN Sistema Integrado de Matrícula, SIMAT)</t>
  </si>
  <si>
    <t>&gt;55%</t>
  </si>
  <si>
    <t>2.2.2</t>
  </si>
  <si>
    <t>Fortalecimiento de la oferta educativa con metodologías flexibles</t>
  </si>
  <si>
    <t>Tasa de absorción de bachilleres</t>
  </si>
  <si>
    <t>Reporte Ministerio de Educación SNIES</t>
  </si>
  <si>
    <t>30,5% (MEN Fecha de corte: 31 de enero de 2013)</t>
  </si>
  <si>
    <t>&gt;50%</t>
  </si>
  <si>
    <t>2.2.3</t>
  </si>
  <si>
    <t>Desarrollo de acciones encaminadas a la disminución de la deserción escolar</t>
  </si>
  <si>
    <t>Tasa de deserción a largo plazo (semestre 10)</t>
  </si>
  <si>
    <t>54% (MEN, 2014)</t>
  </si>
  <si>
    <t>&lt;45%</t>
  </si>
  <si>
    <t xml:space="preserve">Desarrollar programas de prevención de la deserción universitaria. </t>
  </si>
  <si>
    <t>Tasa de deserción universitaria</t>
  </si>
  <si>
    <t>12,6% (MEN-Fecha de corte: mayo de 2014)</t>
  </si>
  <si>
    <t>&lt;7%</t>
  </si>
  <si>
    <t>2.2.4</t>
  </si>
  <si>
    <t xml:space="preserve"> Promover la apertura de nuevos cupos y programas de educación superior, tanto en Armenia como en el resto de los municipios. </t>
  </si>
  <si>
    <t>Tasa de cobertura Educación Superior</t>
  </si>
  <si>
    <t>61,2%(MEN-Fecha de corte: mayo de 2014)</t>
  </si>
  <si>
    <t>&gt;71%</t>
  </si>
  <si>
    <t>2.3</t>
  </si>
  <si>
    <t>Promoción de la salud física, mental y emocional de las y los Jóvenes Quindianos</t>
  </si>
  <si>
    <t>2.3.1</t>
  </si>
  <si>
    <t xml:space="preserve">Acceso y atención de los y las jóvenes a los servicios de salud pública a nivel local y departamental mediante la efectiva implementación de Programas de Servicios Amigables. </t>
  </si>
  <si>
    <t>Tasa de IPS y ESE que implementan servicios amigables para adolescentes y jóvenes</t>
  </si>
  <si>
    <t>Registros de IPS y EPS</t>
  </si>
  <si>
    <t>No disponible</t>
  </si>
  <si>
    <t>2.3.2</t>
  </si>
  <si>
    <t>Control y seguimiento a los servicios de salud pública local y departamental mediante espacios de participación de jóvenes avalados para ese respecto.</t>
  </si>
  <si>
    <t>Cobertura de aseguramiento de población joven</t>
  </si>
  <si>
    <t>Reporte de la Secretaría de Salud</t>
  </si>
  <si>
    <t>82,59% (Fuente: Elab. Propia. Datos abs. JUACO, 2013. Preliminar)</t>
  </si>
  <si>
    <t>2.3.3</t>
  </si>
  <si>
    <t xml:space="preserve">Promoción de la cultura deportiva para una juventud físicamente sana mediante la realización de torneos deportivos, festivales de visibilización y promoción de campañas de hábitos saludables y Rumba Segura.                                                                                                                                                                                                                                                                                                                                                                                                                                                                                                                                                                                                                                                                                                                                                                                                                                                                                                                                                                                                                                                                                                                                                                                                                                                                                                                                                                                                                                                                                                                                                                                                                                                                                                                                                                                                                                                                                                                                                                                                                                                                                                                                                                                                                                                                                                                                                                                                                                                                                                                                                                                                           </t>
  </si>
  <si>
    <t xml:space="preserve">Registros de participación deportiva y recreativa. </t>
  </si>
  <si>
    <t>2.3.4</t>
  </si>
  <si>
    <t>Las y Los jóvenes asumen responsablemente la salud sexual y reproductiva mediante la ejecución de campañas con enfoque de corresponsabilidad en pares que ellos mismos realizan una vez son capacitados como multiplicadores.</t>
  </si>
  <si>
    <t>12 Municipios del Departamento con capacidad instalada para el desarrollo permanente y continuo de acciones de Promoción en el desarrollo del Plan Nacional de sexualidad, derechos sexuales y reproductivos.</t>
  </si>
  <si>
    <t>2.3.5</t>
  </si>
  <si>
    <t>Ejecución y Fortalecimiento del Eje de Salud Mental en los Planes Territoriales de Salud.</t>
  </si>
  <si>
    <t>Porcentaje de ejecución del Eje de Salud Mental de los Planes Territoriales de Salud Pública,</t>
  </si>
  <si>
    <t>2.3.6</t>
  </si>
  <si>
    <t xml:space="preserve">Fortalecimiento de los programas de convivencia escolar, convivencia ciudadana </t>
  </si>
  <si>
    <t>12 Municipios del Departamento con  Planes de Seguridad y Convivencia Ciudadana.</t>
  </si>
  <si>
    <t>Reporte de Consejo de Seguridad, Policía Nacional, Fiscalía, Comisarías de Familia, ICBF</t>
  </si>
  <si>
    <t>Tasa de violencia interpersonal x 100 mil jóvenes</t>
  </si>
  <si>
    <t>Instituto Nacional de Medicina Legal-Forensis</t>
  </si>
  <si>
    <t>934,82(Fuente: Elab. Propia. Datos abs. JUACO, 2013. Preliminar)</t>
  </si>
  <si>
    <t>Por debajo de la tasa nacional</t>
  </si>
  <si>
    <t>2.3.7</t>
  </si>
  <si>
    <t>Ejecutar y Fortalecer Programas de Resolución Pacífica de Conflictos</t>
  </si>
  <si>
    <t>Tasa de homicidios x100 mil jóvenes</t>
  </si>
  <si>
    <t>77,19 (Fuente: Elab. Propia. Datos abs. JUACO, 2013. Preliminar)</t>
  </si>
  <si>
    <t>2.3.8</t>
  </si>
  <si>
    <t>Implementación de los programas de prevención de la accidentalidad vial</t>
  </si>
  <si>
    <t>Tasa de accidentes fatales viales x 100 mil jóvenes</t>
  </si>
  <si>
    <t>Pendiente por construir</t>
  </si>
  <si>
    <t>2.3.9</t>
  </si>
  <si>
    <t>Ejecutar y Fortalecer Programas de Salud Mental</t>
  </si>
  <si>
    <t>Tasa de suicidios x 100 mil jóvenes</t>
  </si>
  <si>
    <t>8,5 (Fuente: Elab. Propia. Datos abs. JUACO, 2013. Preliminar)</t>
  </si>
  <si>
    <t>2.3.10</t>
  </si>
  <si>
    <t>Ejecución de la política HAZ PAZ o la que haga sus veces</t>
  </si>
  <si>
    <t>Seguimiento a los Planes de Acción,  Informes de Seguimiento a la Política</t>
  </si>
  <si>
    <t>Tasa de violencia intrafamiliar x 100 mil jóvenes</t>
  </si>
  <si>
    <t>308,06 (Fuente: Elab. Propia. Datos abs. JUACO, 2013. Preliminar)</t>
  </si>
  <si>
    <t>2.3.11</t>
  </si>
  <si>
    <t>Implementación en el departamento de los lineamientos establecidos en el Documento CONPES 3673 de 2010</t>
  </si>
  <si>
    <t>2.3.12</t>
  </si>
  <si>
    <t>Fortalecimiento de los proyectos para la educación sexual y construcción de ciudadanía.</t>
  </si>
  <si>
    <t>Porcentaje de Instituciones Educativas con ejecución de proyectos de Educación Sexual y Construcción de Ciudadanía</t>
  </si>
  <si>
    <t>Reportes Secretaría de Educación.</t>
  </si>
  <si>
    <t>2.4</t>
  </si>
  <si>
    <t>2.4.1</t>
  </si>
  <si>
    <t>Prevalencia de consumo de sustancias psicoactivas último año en escolares</t>
  </si>
  <si>
    <t>Estudios Nacionales-ONDSM</t>
  </si>
  <si>
    <t>14,2 (Observatorio Nacional de Salud Mental y Drogas, 2012)</t>
  </si>
  <si>
    <t>Por debajo de la prevalencia nacional</t>
  </si>
  <si>
    <t>Prevalencia de vida consumo de sustancias psicoactivas en escolares</t>
  </si>
  <si>
    <t>18,7 (Observatorio Nacional de Salud Mental y Drogas, 2012)</t>
  </si>
  <si>
    <t>2.4.2</t>
  </si>
  <si>
    <t>Implementación del CONPES 147 de 2012</t>
  </si>
  <si>
    <t>Número de embarazos en menores de 20 años</t>
  </si>
  <si>
    <t>Reportes de Secretaria de Salud</t>
  </si>
  <si>
    <t>1607 (Fuente: Colombia Joven-Juaco. 2012)</t>
  </si>
  <si>
    <t>&lt;1100</t>
  </si>
  <si>
    <t>2.5</t>
  </si>
  <si>
    <t>Promoción del deporte y la recreación en la población joven del Quindío</t>
  </si>
  <si>
    <t>2.5.1</t>
  </si>
  <si>
    <t xml:space="preserve">Realización de torneos, olimpiadas y encuentros deportivos
</t>
  </si>
  <si>
    <t>Total de deportistas jóvenes quindianos con logros deportivos en los eventos internacionales y del ciclo olímpico.</t>
  </si>
  <si>
    <t>Reportes Indeportes</t>
  </si>
  <si>
    <t>Por definir</t>
  </si>
  <si>
    <t>Aumento en un 100% con relación a la línea base</t>
  </si>
  <si>
    <t>2.5.2</t>
  </si>
  <si>
    <t>Formación y apoyo de talentos deportivos</t>
  </si>
  <si>
    <t xml:space="preserve">Total de deportistas participantes jóvenes quindianos en juegos nacionales. </t>
  </si>
  <si>
    <t>Total de deportistas de altos 
logros que se encuentran beneficiados por los programas de apoyo de las categoría deportivas</t>
  </si>
  <si>
    <t>2.5.3</t>
  </si>
  <si>
    <t xml:space="preserve">Promoción de la actividad física, el deporte y la recreación en entornos comunitarios. </t>
  </si>
  <si>
    <t xml:space="preserve">Porcentaje de menores de edad que invierten como mínimo 60 minutos diarios en actividades físicas de intensidad moderada a vigorosa. </t>
  </si>
  <si>
    <t>Reportes Indeportes, Secretaría de Salud, Secretaría de Educación</t>
  </si>
  <si>
    <t>20 puntos por encima de la línea base</t>
  </si>
  <si>
    <t xml:space="preserve">Porcentaje de adultos que  dedican como mínimo 150 minutos semanales a la práctica de actividad física aeróbica, de intensidad moderada, o bien 75 minutos de actividad física aeróbica vigorosa cada semana, o bien una combinación equivalente de actividades moderadas y vigorosas.
</t>
  </si>
  <si>
    <t>98. Realizar programas lúdicos y recreativos de tiempo libre a través de ludotecas, campamentos juveniles para el aprovechamiento y uso adecuado del tiempo libre como medio de prevención para desarrollar el sentido de pertenencia, la confrontación simbólica y la tolerancia beneficiando a 6.500 personas por año.</t>
  </si>
  <si>
    <t>2.5.4</t>
  </si>
  <si>
    <t>Fomento de actividades deportivas y deportes no convencionales</t>
  </si>
  <si>
    <t>Número de modalidades de deporte no convencionales apoyados</t>
  </si>
  <si>
    <t xml:space="preserve">Reportes de INDEPORTES, </t>
  </si>
  <si>
    <t>2.5.5</t>
  </si>
  <si>
    <t xml:space="preserve">Promoción del turismo de naturaleza y de aventura en los y las jóvenes. </t>
  </si>
  <si>
    <t>Alianzas realizadas por Sec Turismo, Industria y Comercio, Registro de CORPOCULTURA y Alcaldías</t>
  </si>
  <si>
    <t>2.6</t>
  </si>
  <si>
    <t xml:space="preserve">Fomento del acceso a la cultura y a las expresiones culturales de la población joven del Quindío. </t>
  </si>
  <si>
    <t>2.6.1</t>
  </si>
  <si>
    <t xml:space="preserve">Promoción de las expresiones artísticas y culturales por enfoque diferencial y de condición especial a través de encuentros, festivales,  ferias, exposiciones, entre otros.  
</t>
  </si>
  <si>
    <t xml:space="preserve">Numero de estímulos otorgados al año a talentos jóvenes </t>
  </si>
  <si>
    <t>Reportes Secretaría de Cultura</t>
  </si>
  <si>
    <t>Aumento del 200%</t>
  </si>
  <si>
    <t>2.6.2</t>
  </si>
  <si>
    <t>Desarrollo de procesos de concertación y estímulos para gestores culturales juveniles y organizaciones juveniles culturales.</t>
  </si>
  <si>
    <t xml:space="preserve">Número de proyectos de concertación al año con organizaciones juveniles culturales apoyados </t>
  </si>
  <si>
    <t xml:space="preserve">Valor de la bolsa de estímulos y concertación para proyectos juveniles. </t>
  </si>
  <si>
    <t>2.6.3</t>
  </si>
  <si>
    <t>Formación artística y cultural de las y los jóvenes. Fortalecimiento de escuelas culturales</t>
  </si>
  <si>
    <t>GENERACION DEL CONOCIMIENTO</t>
  </si>
  <si>
    <t>3.1</t>
  </si>
  <si>
    <t>Desarrollar procesos de divulgación del conocimiento sobre las dinámicas juveniles</t>
  </si>
  <si>
    <t>3.1.1</t>
  </si>
  <si>
    <t>Puesta en marcha de portal web para jóvenes
Realización de publicaciones
Generación de productos comunicativos audiovisuales
Impulso a redes de comunicación comunitaria y procesos de reeditores sociales</t>
  </si>
  <si>
    <t>Porcentaje de implementación de una estrategia de comunicación y divulgación de la política de juventud</t>
  </si>
  <si>
    <t>Reporte de la Secretaría de Familia</t>
  </si>
  <si>
    <t>Realización de investigaciones sobre dinámicas juveniles</t>
  </si>
  <si>
    <t>3.1.2</t>
  </si>
  <si>
    <t>Apoyo a investigaciones
Establecimiento de alianzas con entidades de educación superior para el desarrollo de procesos  investigativos
Diseño y puesta en marcha de un observatorio de Juventud</t>
  </si>
  <si>
    <t>Número de investigaciones sobre dinámicas juveniles realizadas</t>
  </si>
  <si>
    <t>Desarrollar procesos de formación sobre dinámicas juveniles</t>
  </si>
  <si>
    <t>3.1.3</t>
  </si>
  <si>
    <t xml:space="preserve">Realización de cursos, seminarios y diplomados
</t>
  </si>
  <si>
    <t>Número de procesos de formación desarrollados con una intensidad superior a 40 horas</t>
  </si>
  <si>
    <t>3.1.4</t>
  </si>
  <si>
    <t xml:space="preserve">Establecimiento de alianzas con instituciones de educación superior para la oferta de programas relacionados con juventud. </t>
  </si>
  <si>
    <t>SEGUIMIENTO, MONITOREO Y EVALUACION</t>
  </si>
  <si>
    <t>4.1</t>
  </si>
  <si>
    <t>Desarrollar estrategias para el control social, seguimiento, monitoreo de la política</t>
  </si>
  <si>
    <t>4.1.1</t>
  </si>
  <si>
    <t>Desarrollo de procesos de control social al a ejecución de la política</t>
  </si>
  <si>
    <t>Número de veedurías ciudadanas conformadas</t>
  </si>
  <si>
    <t>Reporte de la Secretaría de Familia y Privada</t>
  </si>
  <si>
    <t>Secretaría de Familia</t>
  </si>
  <si>
    <t>4.1.2</t>
  </si>
  <si>
    <t>Diseño y puesta en marcha de sistemas de información de la política</t>
  </si>
  <si>
    <t>Porcentaje de implementación del sistema de información</t>
  </si>
  <si>
    <t>4.1.3</t>
  </si>
  <si>
    <t>Realizar procesos de rendición pública de cuentas de ejecución de la política</t>
  </si>
  <si>
    <t>Número de rendiciones públicas de cuentas realizadas</t>
  </si>
  <si>
    <t>PARTICIPACION Y MOVILIZACION SOCIAL</t>
  </si>
  <si>
    <t>5.1</t>
  </si>
  <si>
    <t>Promover espacios de incidencia y participación social de las y los jóvenes</t>
  </si>
  <si>
    <t>5.1.1</t>
  </si>
  <si>
    <t>Puesta en marcha y fortalecimiento de las casas de la juventud</t>
  </si>
  <si>
    <t>Número de casas de la juventud funcionando</t>
  </si>
  <si>
    <t>5.1.2</t>
  </si>
  <si>
    <t>Fortalecimiento de los Consejos Municipales de la Juventud
Desarrollo de procesos de formación en liderazgo e incidencia a consejeros de juventud</t>
  </si>
  <si>
    <t>Número de consejos  de la juventud funcionando</t>
  </si>
  <si>
    <t>Reporte de la Secretaría de Familia
Actas de posesión
Actas de sesiones de CMJ</t>
  </si>
  <si>
    <t>5.1.3</t>
  </si>
  <si>
    <t>Fortalecimiento de las plataformas juveniles
Desarrollo de procesos de formación en liderazgo e incidencia a animadores y lideres de procesos juveniles</t>
  </si>
  <si>
    <t>Numero de plataformas juveniles funcionando</t>
  </si>
  <si>
    <t>Reporte de la Secretaría de Familia
Actas de sesión</t>
  </si>
  <si>
    <t>5.1.4</t>
  </si>
  <si>
    <t>Fortalecimiento de las asambleas juveniles</t>
  </si>
  <si>
    <t>Número de asambleas juveniles conformadas y funcionando</t>
  </si>
  <si>
    <t>programado $</t>
  </si>
  <si>
    <t>Ejecutado $</t>
  </si>
  <si>
    <t>Responsables</t>
  </si>
  <si>
    <t>OBSERVACIONES</t>
  </si>
  <si>
    <t>Meta 187/Responsable: Secretaría de Familia</t>
  </si>
  <si>
    <t>Responsable: SENA-Unidad de Emprendimiento</t>
  </si>
  <si>
    <t>Metas 65, 66, 67/ Responsable: Secretaría de Educación</t>
  </si>
  <si>
    <t>Meta 73/ Responsable: Secretaría de Educación</t>
  </si>
  <si>
    <t>Metas 105, 106, 107/ Responsable: Secretaría de Educación
Responsable: Universidades</t>
  </si>
  <si>
    <t>Meta 135/ Secretaría de Salud</t>
  </si>
  <si>
    <t>Meta 163/ Secretaría de Salud</t>
  </si>
  <si>
    <t>Meta 205/ Responsable: INDEPORTES</t>
  </si>
  <si>
    <t>Meta 134/ Responsable: Secretaría de Salud</t>
  </si>
  <si>
    <t>Metas 136, 137/ Responsable: Secretaría de Salud</t>
  </si>
  <si>
    <t>Meta 83/ Responsable: Secretaría de Educación
Meta 222/ Responsable: Secretaría del Interior</t>
  </si>
  <si>
    <t xml:space="preserve">Meta 223/ Responsable: IDTQ </t>
  </si>
  <si>
    <t>Meta 197/ Responsable: Secretaría de Familia</t>
  </si>
  <si>
    <t>Meta 226/ Responsable: Secretaría del Interior</t>
  </si>
  <si>
    <t>Metas 202, 203/ Responsable: INDEPORTES</t>
  </si>
  <si>
    <t>Meta 207/ Responsable: INDEPORTES</t>
  </si>
  <si>
    <t>Meta 59/ Responsable: Promotora de Vivienda</t>
  </si>
  <si>
    <t>Meta 115/ Responsable: Secretaría de Cultura</t>
  </si>
  <si>
    <t>Responsables: Universidades</t>
  </si>
  <si>
    <t>Meta 187/ Responsable: Secretaría de Familia</t>
  </si>
  <si>
    <t>Meta 135/ Secretaría de Salud/ ICBF</t>
  </si>
  <si>
    <t xml:space="preserve">EJECUTADO </t>
  </si>
  <si>
    <t xml:space="preserve">PORCENTAJE DE AVANCE </t>
  </si>
  <si>
    <t>Metas 38, 39, / Responsable Secretaría de Turismo, Industria y Comercio
Metas 31/ Responsable: Secretaría de Agricultura</t>
  </si>
  <si>
    <t>Meta  43, 45 , 46/ Responsable: Secretaría de Turismo, Industria y Comercio</t>
  </si>
  <si>
    <t>Meta 184/ Responsable: Secretaría de Familia</t>
  </si>
  <si>
    <t>Meta 43, 45, 46/Responsable: Secretaría de Turismo, Industria y Comercio</t>
  </si>
  <si>
    <t>Meta 138/ Responsable: Secretaría de Salud
Meta 187/ Responsable: Secretaría de Familia</t>
  </si>
  <si>
    <t>Meta 53/ Responsable: Secretaría de Turismo, Industria y Comercio</t>
  </si>
  <si>
    <t>RANGO</t>
  </si>
  <si>
    <t>CANTIDAD</t>
  </si>
  <si>
    <t>Programa Presupuestal</t>
  </si>
  <si>
    <t>Producto</t>
  </si>
  <si>
    <t>Indicador Producto</t>
  </si>
  <si>
    <t>Meta Cuatrenio</t>
  </si>
  <si>
    <t>Armonizacion de Plan de desarollo 2020-2023 "Tu y yo somos Quindio"</t>
  </si>
  <si>
    <t>Inclusión Social y Equidad</t>
  </si>
  <si>
    <t>Programa No. 4102. Desarrollo integral de niños, niñas, adolescentes y sus familias. “Tú y yo niños, niñas y adolescentes con
desarrollo integra</t>
  </si>
  <si>
    <t>N.D</t>
  </si>
  <si>
    <t>187: revisar, ajustar e implementar la política pública de juventud del departamento</t>
  </si>
  <si>
    <t>Productividad y Competitividad</t>
  </si>
  <si>
    <t xml:space="preserve">3502017
</t>
  </si>
  <si>
    <t xml:space="preserve">350201701
</t>
  </si>
  <si>
    <t xml:space="preserve">Programa No. 3602. Generación y formalización del empleo. “Tú y yo con empleo de calidad”. </t>
  </si>
  <si>
    <t>Servicios de apoyo financiero para la creación de empresas</t>
  </si>
  <si>
    <t>Planes de negocio financiados.</t>
  </si>
  <si>
    <t>3604006
4102022</t>
  </si>
  <si>
    <t>360400600
410202200</t>
  </si>
  <si>
    <t>Programa No. 4103. Inclusión social y productiva para la población en situación de vulnerabilidad. “Tú y yo, superamos la vulnerabilidad”</t>
  </si>
  <si>
    <t>Servicio de asistencia técnica para fortalecimiento de unidades productivas colectivas para la generación de ingresos.</t>
  </si>
  <si>
    <t>Unidades productivas colectivas con asistencia técnica.</t>
  </si>
  <si>
    <t>Programa No.3502. Productividad y competitividad de las empresas. “Tú y yo con empresas competitivas</t>
  </si>
  <si>
    <t>Servicio de asistencia técnica para emprendedores y/o empresas en edad temprana</t>
  </si>
  <si>
    <t>Necesidades empresariales atendidas a partir de emprendimientos</t>
  </si>
  <si>
    <t xml:space="preserve">Programa No. 2201. Calidad, cobertura y fortalecimiento de la educación inicial, preescolar, básica y media. “Tú y yo con educación y de calidad”. </t>
  </si>
  <si>
    <t>Servicio educación formal por modelos educativos flexibles.</t>
  </si>
  <si>
    <t>Beneficiarios	atendidos    con    modelos educativos flexibles.</t>
  </si>
  <si>
    <t xml:space="preserve">Programa No. ND. Fortalecimiento de la educación media para la articulación con la educación superior o terciaria.  “Tú y yo
preparados para la educación superior”. </t>
  </si>
  <si>
    <t>Servicio de apoyo para el acceso y la permanencia a la educación superior o terciaria.</t>
  </si>
  <si>
    <t>Estrategias o programas de fomento para acceso y permanencia a la educación superior	o	terciaria implementados.</t>
  </si>
  <si>
    <t>Servicio de fomento para la permanencia en programas de educación formal.</t>
  </si>
  <si>
    <t>Personas  beneficiarias  de  estrategias  de permanencia.</t>
  </si>
  <si>
    <t>Programa No. 1905. Salud Pública. “Tú y yo con salud de calidad”</t>
  </si>
  <si>
    <t>Implementar la estrategia de entornos saludables en articulación intersectorial y sectorial en los entornos de vivienda, educativa, institucional y comunitaria con énfasis en la  Atención Primaria en Salud Ambiental APSA.</t>
  </si>
  <si>
    <t>Estrategia de entornos saludables en articulación intersectorial y sectorial implementada</t>
  </si>
  <si>
    <t xml:space="preserve">Programa No. 1903. Inspección, vigilancia y control. “Tú y yo con salud certificada”. </t>
  </si>
  <si>
    <t>Servicio de inspección, vigilancia y control.</t>
  </si>
  <si>
    <t>Visitas realizadas.</t>
  </si>
  <si>
    <t>Programa No. 4301. Fomento a la recreación, la actividad física y el deporte “Tú y yo en la recreación y el deporte”</t>
  </si>
  <si>
    <t>Servicio de promoción de la actividad física, la recreación y el deporte</t>
  </si>
  <si>
    <t>Municipios	implementando programas de recreación, actividad física y deporte social comunitario</t>
  </si>
  <si>
    <t>1905021
4102022</t>
  </si>
  <si>
    <t>190502100
410202200</t>
  </si>
  <si>
    <t>Programa No. 1905. Salud Pública. “Tú y yo con salud de calidad”.</t>
  </si>
  <si>
    <t>Adaptar e implementar la Política Pública de Salud Mental para el Departamento del Quindío</t>
  </si>
  <si>
    <t>Política   Pública   en   Salud   Mental adaptada e Implementada</t>
  </si>
  <si>
    <t>Programa No. 1203. Promoción de los métodos de resolución de conflictos. “Tú y yo resolvemos los conflictos”</t>
  </si>
  <si>
    <t>Servicio de asistencia técnica para la implementación de los métodos de resolución de conflictos</t>
  </si>
  <si>
    <t>Instituciones públicas y privadas asistidas técnicamente en métodos de resolución de conflictos</t>
  </si>
  <si>
    <t>Territorio, ambiente y desarrollo sostenible</t>
  </si>
  <si>
    <t xml:space="preserve">Programa No. 2409: Seguridad de Transporte. “Tú y yo seguros en la vía”. </t>
  </si>
  <si>
    <t>Formular e implementar un programa de formación en normas de tránsito y fomento de cultura de la seguridad en la vía.</t>
  </si>
  <si>
    <t>Programa de formación cultural de la seguridad en la vía formulada e implementada.</t>
  </si>
  <si>
    <t>Programa No. 4102. Desarrollo integral de niños, niñas, adolescentes y sus familias. “Tú y yo niños, niñas y adolescentes con desarrollo integral</t>
  </si>
  <si>
    <t>Rutas integrales de Atención en Violencia Intrafamiliar y Violencia de Género.</t>
  </si>
  <si>
    <t>4102022
4501024</t>
  </si>
  <si>
    <t>410202200
450102400</t>
  </si>
  <si>
    <t xml:space="preserve">Eventos de divulgación realizados.
Medidas implementadas en cumplimiento de las obligaciones </t>
  </si>
  <si>
    <t>Servicio de gestión del riesgo en temas de salud sexual y reproductiva.</t>
  </si>
  <si>
    <t>Campañas de gestión del riesgo en temas de salud sexual y reproductiva implementadas.</t>
  </si>
  <si>
    <t>Servicio de gestión del riesgo en temas de consumo de sustancias psicoactivas.</t>
  </si>
  <si>
    <t>Campañas de gestión del riesgo en temas de consumo de sustancias psicoactivas implementadas.</t>
  </si>
  <si>
    <t>Programa No. 1905. Salud Pública. “Tú y yo con salud de calidad”.
Programa No. 4102. Desarrollo integral de niños, niñas, adolescentes y sus familias. “Tú y yo niños, niñas y adolescentes con desarrollo integral</t>
  </si>
  <si>
    <t>Programa No. 4302. Formación y preparación de deportistas. “Tú y yo campeones”</t>
  </si>
  <si>
    <t>Servicio de asistencia técnica para la promoción del deporte.</t>
  </si>
  <si>
    <t>Organismos deportivos asistidos</t>
  </si>
  <si>
    <t xml:space="preserve">Programa No.3502. Productividad y competitividad de las empresas. “Tú y yo con empresas competitivas”. </t>
  </si>
  <si>
    <t>Servicio de promoción turística</t>
  </si>
  <si>
    <t>Campañas realizadas</t>
  </si>
  <si>
    <t>Programa No. 3301. Promoción y acceso efectivo a procesos culturales y artísticos. “Tú y yo somos cultura quindiana”.</t>
  </si>
  <si>
    <t>Servicio de circulación artística y cultural</t>
  </si>
  <si>
    <t>Producciones artísticas en circulación</t>
  </si>
  <si>
    <t>Servicio de educación formal al sector artístico y cultural.</t>
  </si>
  <si>
    <t>Cupos    de    educación    formal ofertados.</t>
  </si>
  <si>
    <t>Programa No. 3902: Investigación con calidad e impacto.</t>
  </si>
  <si>
    <t>Infraestructura para la investigación adecuada</t>
  </si>
  <si>
    <t>Liderazgo, Gobernabilidad y transparencia</t>
  </si>
  <si>
    <t>Programa No. 4502: Participación ciudadana, política y respeto por los derechos humanos y diversidad de creencias. “Quindío integrado y participativo</t>
  </si>
  <si>
    <t>Encuentros ciudadanos en el Departamento del Quindío en aplicación de la Política  de Transparencia, Acceso a la Información Pública y Lucha contra la Corrupción.</t>
  </si>
  <si>
    <t>Encuentros ciudadanos realizados.</t>
  </si>
  <si>
    <t>N</t>
  </si>
  <si>
    <t>Programa No. 4102. Desarrollo integral de niños, niñas, adolescentes y sus familias. “Tú y yo niños, niñas y adolescentes con
desarrollo integral"</t>
  </si>
  <si>
    <t xml:space="preserve">3904006
1702011
3602032
</t>
  </si>
  <si>
    <t xml:space="preserve">390400604
170201100
360203201
</t>
  </si>
  <si>
    <t>3602032
3502017
3602032
1702021</t>
  </si>
  <si>
    <t>360203201
350201701
360203201
170202100</t>
  </si>
  <si>
    <t>3301087
1706004</t>
  </si>
  <si>
    <t>330108701
170600400</t>
  </si>
  <si>
    <t>3602018
1702007
1702009</t>
  </si>
  <si>
    <t>360201800
170200700
170200900</t>
  </si>
  <si>
    <t>Servicio de evaluación de la calidad de la educación preescolar, básica o media.
Servicio de fortalecimiento a las capacidades de los docentes de educación preescolar, básica y media.
Servicio de monitoreo y seguimiento a la gestión del sector educativo.
+N30
Servicio	de
acondicionamiento	de ambientes de aprendizaje</t>
  </si>
  <si>
    <t>2201007
2201009
2201015
2201026</t>
  </si>
  <si>
    <t>220100700
220100900
220101500
220102600</t>
  </si>
  <si>
    <t>Estudiantes  evaluados  con  pruebas  de calidad educativa.
Docentes de educación inicial, preescolar, básica y medios beneficiados con estrategias de mejoramiento de sus capacidades.
Entidades territoriales con seguimiento y evaluación a la gestión.
Ambientes	de	aprendizaje	en funcionamiento.</t>
  </si>
  <si>
    <t xml:space="preserve">Programa No. 3904. Generación de una cultura que valora y gestiona el conocimiento y la innovación
Programa No. 1702. Inclusión productiva de pequeños productores rurales. “Tú y yo con oportunidades para el pequeño campesino”.
Programa No. 3602. Generación y formalización del empleo. “Tú y yo con empleo de calidad”.  </t>
  </si>
  <si>
    <t xml:space="preserve">Programa No.3502. Productividad y competitividad de las empresas " Tu y yo con empresas competitivas"
</t>
  </si>
  <si>
    <t>Programa No. 3301. Promoción y acceso efectivo a procesos culturales y artísticos. “Tú y yo somos cultura quindiana”
Programa No. 1706. Aprovechamiento de mercados externos</t>
  </si>
  <si>
    <t xml:space="preserve">11.2.	Programa No. 3604. Derechos fundamentales del trabajo y fortalecimiento del diálogo social “Tú y yo con una niñez protegida”
Programa  No 4102. desarrollo integral de niños, niñas, adolescentes y sus familias " Tu y yo niños niñas y adolescentes con desarrollo integral" </t>
  </si>
  <si>
    <t xml:space="preserve">Programa No. 3602. Generación y formalización del empleo. “Tú y yo con empleo de calidad”. 
Programa No. 1702. inclusión productiva de pequeños productores rurales  " tu y yo con oportunidades para el pequeño campesino"
</t>
  </si>
  <si>
    <t>Programa No. 1905. Salud Pública. “Tú y yo con salud de calidad”.
Programa No.4102. desarrollo integral de niños niñas adolescentes y sus familias " Tu´y yo niños, niñas y adolescentes con desarrollo integral</t>
  </si>
  <si>
    <t>Programa No. 4102. Desarrollo integral de niños, niñas, adolescentes y sus familias. “Tú y yo niños, niñas y adolescentes con desarrollo integral”
Programa No. 4501. fortalecimiento de la convivencia y la seguridad ciudadana "Tú y yo seguros"</t>
  </si>
  <si>
    <t>Servicio   de   educación   informal   en   áreas artísticas y culturales.
Servicio de apoyo financiero para la participación en ferias nacionales e internacionales</t>
  </si>
  <si>
    <t>Servicios de apoyo financiero para la creación de empresas
Servicio de apoyo financiero para proyectos productivos
Servicio de apoyo financiero para el acceso a activos productivos y de comercialización</t>
  </si>
  <si>
    <t>Servicio de gestión del riesgo en temas de salud sexual y reproductiva.
Servicio de divulgación para la promoción y prevención de los derechos de los niños, niñas y adolescentes.</t>
  </si>
  <si>
    <t xml:space="preserve">Planes de negocio financiados.
Proyectos productivos cofinanciados
Productos apoyados con activos productivos y de comercialización </t>
  </si>
  <si>
    <t>Rutas Integrales de Atención en Violencia Intrafamiliar y de Género, a trabajadores de supermercados y tenderos de los municipios realizadas.</t>
  </si>
  <si>
    <t>Campañas de gestión del riesgo en temas de salud sexual y reproductiva implementadas.
Eventos de divulgación realizados.</t>
  </si>
  <si>
    <t>Revisar, ajustar e implementar la política pública de juventud del departamento</t>
  </si>
  <si>
    <t>Servicio	de	asesoría	técnica	para	el emprendimiento
Servicio de asistencia técnica para emprendedores y / o empresas en edad temprana
Servicio de asesoría técnica para el emprendimiento
Servicio de acompañamiento productivo y empresarial
Servicio de asistencia técnica para el fortalecimiento de unidades productivas colectivas para la generación de ingresos</t>
  </si>
  <si>
    <t>Emprendimientos fortalecidos.
Necesidades empresariales atendidas a partir de emprendimientos
Emprendimientos fortalecidos
 Unidades productivas beneficiadas</t>
  </si>
  <si>
    <t>Personas capacitadas.
Participación en ferias nacionales e internacionales</t>
  </si>
  <si>
    <t>Personas capacitadas
Eventos de divulgación realizados</t>
  </si>
  <si>
    <t>Campañas de gestión del riesgo en temas de salud sexual y reproductiva implementadas.
Eventos de divulgación realizados</t>
  </si>
  <si>
    <t>Necesidades empresariales atendidas a partir de emprendimientos
Emprendimientos fortalecidos</t>
  </si>
  <si>
    <t>Instituciones Educativas que participen en programas que fomentan la cultura de la Ciencia, Tecnología e Innovación fortalecidas
Asociaciones fortalecidas
Emprendimientos fortalecidos.</t>
  </si>
  <si>
    <t xml:space="preserve"> Revisar, ajustar e implementar la política pública de juventud del departamento</t>
  </si>
  <si>
    <t>4.64%%</t>
  </si>
  <si>
    <t>1</t>
  </si>
  <si>
    <t>16.5%</t>
  </si>
  <si>
    <t>CRITICO</t>
  </si>
  <si>
    <t>BAJO</t>
  </si>
  <si>
    <t>MEDIO</t>
  </si>
  <si>
    <t>SATISFACTORIO</t>
  </si>
  <si>
    <t>SOBRESALIENTE</t>
  </si>
  <si>
    <t>TOTAL</t>
  </si>
  <si>
    <t>PARTICIPCION Y MOVIIZACION</t>
  </si>
  <si>
    <t>CRÍTICO</t>
  </si>
  <si>
    <t>5.3%</t>
  </si>
  <si>
    <t>LINEAS</t>
  </si>
  <si>
    <t>EJES ESTRATÉGICOS</t>
  </si>
  <si>
    <t>TOTAL, INDICADORES</t>
  </si>
  <si>
    <t>por debajo de la tasa nacional ( 5,81 %)</t>
  </si>
  <si>
    <t>por debajo de la tasa nacional (13,94)</t>
  </si>
  <si>
    <t>por debajo de la tasa nacional ( 24,05%)</t>
  </si>
  <si>
    <t>por debajo de la prevalencia nacional (3,6 %)</t>
  </si>
  <si>
    <t>por debajo de la prevalencia nacional (473647/ 32 dptos = 14801)</t>
  </si>
  <si>
    <t>25.6%</t>
  </si>
  <si>
    <t>11</t>
  </si>
  <si>
    <t>Política Publica de Juventud implementada</t>
  </si>
  <si>
    <t>Acuerdos Municipales Informe de Ejecución de las Políticas</t>
  </si>
  <si>
    <t>Porcentaje de Planes y Políticas armonizadas con la Política Pública de Juventud</t>
  </si>
  <si>
    <t>En el Depto. hay diversos planes y políticas:  HAZ PAZ, Seguridad Alimentaria, Infancia y Adolescencia, estos procesos no están armonizados con el estatuto de ciudadanía juvenil ni con la PPJ</t>
  </si>
  <si>
    <t>Sistemas de Información               Informes Periódicos                              No de Instituciones vinculadas al Sistema</t>
  </si>
  <si>
    <t>Servicio de asistencia técnica para emprendedores y / o empresas en edad temprana</t>
  </si>
  <si>
    <t>No de Jóvenes vinculados a proyectos innovadores y de emprendimiento</t>
  </si>
  <si>
    <t>Actas de constitución de Empresas, No de Proyectos aprobados en Bolsas Concursables, Resoluciones de Adjudicación, por COLCIENCIAS. Actas de Consejo CODECTI y CONDECYT</t>
  </si>
  <si>
    <t>Línea Estratégica</t>
  </si>
  <si>
    <t>Código Producto</t>
  </si>
  <si>
    <t>Código Indicador de Producto</t>
  </si>
  <si>
    <t>Porcentaje  de Emprendimientos que participan en Ruedas de Negocios Regionales y Nacionales que son liderados por Jóvenes</t>
  </si>
  <si>
    <t>6.PP x encima de la Línea construida</t>
  </si>
  <si>
    <t>Productividad y Competitividad
inclusión social y equidad</t>
  </si>
  <si>
    <t>Servicio de educación informal para la prevención integral del trabajo infantil
Servicio de divulgación para la promoción y prevención de los derechos de los niños, niñas y adolescentes</t>
  </si>
  <si>
    <t>Registros Contables de Desembolsos Programas de Emprendimiento  SENA, Gobernación, Universidades, Informes Ejecutivos Cámara de Comercio.</t>
  </si>
  <si>
    <t>Número de metodologías flexibles implementadas</t>
  </si>
  <si>
    <t>Tasa de Jóvenes que participan en actividades recreativas, deportivas y de actividad física</t>
  </si>
  <si>
    <t>30PP x encima de la línea base identificada</t>
  </si>
  <si>
    <t>Servicio de gestión del riesgo en temas de salud sexual y reproductiva.
Servicio de divulgación para promoción y prevención de los derechos de los niños niñas y adolescentes</t>
  </si>
  <si>
    <t>Ejecución de los Planes de Acción Anuales de la Política</t>
  </si>
  <si>
    <t>Porcentaje de jóvenes  víctimas del reclutamiento del total jóvenes víctimas del conflicto armado</t>
  </si>
  <si>
    <t>Reportes Consejos de Seguridad y demás Organismos, Ministerio Público</t>
  </si>
  <si>
    <t>6PP x encima de la línea base identificada</t>
  </si>
  <si>
    <t>Servicio de divulgación para la promoción y prevención de los derechos de los niños, niñas y adolescentes.
Servicio de apoyo para la implementación de medidas en derechos humanos y derecho internacional humanitario</t>
  </si>
  <si>
    <t>Número de alianzas para la promoción del turismo establecidas para Jóvenes</t>
  </si>
  <si>
    <t>Número de proyectos artísticos y culturales apoyados y ejecutados.</t>
  </si>
  <si>
    <t>Servicio para el fortalecimiento de capacidades institucionales para el fomento de vocación científica
Servicio de asesoría para el fortalecimiento de la asociatividad
Servicio	de	asesoría	técnica	para	el emprendimiento</t>
  </si>
  <si>
    <t>Programa No. 3602. Generación y formalización del empleo. “Tú y yo con empleo de calidad”
Programa No. 3502. productividad y competitividad de las empresas "Tú y yo con empresas competitivas"
Programa N0. 3602. generación y formalización del empleo " tu y yo con empleo de calidad "
Programa No. 1702. inclusión productiva de pequeños productores rurales " tu y yo con oportunidades para el pequeño campesino"</t>
  </si>
  <si>
    <t>Responsables: Cajas de compensación familiar/Min trabajo/Alcaldías</t>
  </si>
  <si>
    <t>Porcentaje de Jóvenes que participan en proyectos de innovación y emprendimiento que son de origen rural y étnico</t>
  </si>
  <si>
    <t>Promover y facilitar el acceso a la Educación Superior a estudiantes de grado 11 y educación secundaria</t>
  </si>
  <si>
    <t>Ejecución del Plan Departamental para la Reducción del Consumo de Sustancias Sicoactivas</t>
  </si>
  <si>
    <t>Participación de  las y los Jóvenes ante la  Red Departamental de Emprendimiento.</t>
  </si>
  <si>
    <t>1,1,1</t>
  </si>
  <si>
    <t>Responsable: SENA
Meta 31/ Responsable: Secretaría de Agricultura</t>
  </si>
  <si>
    <t>$ 382,688,000</t>
  </si>
  <si>
    <t>$ 11.540.000
$ 8.655.000</t>
  </si>
  <si>
    <t>$ 0
$ 11.540.000</t>
  </si>
  <si>
    <t>PROGRAMADO 
(Meta al 2022)</t>
  </si>
  <si>
    <t>20.3%</t>
  </si>
  <si>
    <r>
      <t xml:space="preserve">
</t>
    </r>
    <r>
      <rPr>
        <b/>
        <sz val="10"/>
        <rFont val="Calibri"/>
        <family val="2"/>
        <scheme val="minor"/>
      </rPr>
      <t xml:space="preserve">Alcaldía de Buenavista: </t>
    </r>
    <r>
      <rPr>
        <sz val="10"/>
        <rFont val="Calibri"/>
        <family val="2"/>
        <scheme val="minor"/>
      </rPr>
      <t xml:space="preserve">1 Asamblea juvenil realizada en el mes de junio. En la cual quedó pendiente la convocatoria para la creación de la comisión de concertación y decisión.
</t>
    </r>
    <r>
      <rPr>
        <b/>
        <sz val="10"/>
        <rFont val="Calibri"/>
        <family val="2"/>
        <scheme val="minor"/>
      </rPr>
      <t>Alcaldía de Salento:</t>
    </r>
    <r>
      <rPr>
        <sz val="10"/>
        <rFont val="Calibri"/>
        <family val="2"/>
        <scheme val="minor"/>
      </rPr>
      <t xml:space="preserve"> Hasta la fecha se ha realizada la Asamblea Municipal de Juventud, realizada el pasado 11 de Febrero
</t>
    </r>
    <r>
      <rPr>
        <b/>
        <sz val="10"/>
        <rFont val="Calibri"/>
        <family val="2"/>
        <scheme val="minor"/>
      </rPr>
      <t>Alcaldía de Montenegro:</t>
    </r>
    <r>
      <rPr>
        <sz val="10"/>
        <rFont val="Calibri"/>
        <family val="2"/>
        <scheme val="minor"/>
      </rPr>
      <t xml:space="preserve"> Se cumple con la realización de las dos asambleas juveniles anuales establecidas en el estatuto de ciudadanía juvenil no obstante, en el primer trimestre 2022 no se ha realizado ya que se tiene planteado hacer la primera asamblea el próximo 26 de abril del año en curso. 
</t>
    </r>
    <r>
      <rPr>
        <b/>
        <sz val="10"/>
        <rFont val="Calibri"/>
        <family val="2"/>
        <scheme val="minor"/>
      </rPr>
      <t>Alcaldía de Córdoba:</t>
    </r>
    <r>
      <rPr>
        <sz val="10"/>
        <rFont val="Calibri"/>
        <family val="2"/>
        <scheme val="minor"/>
      </rPr>
      <t xml:space="preserve"> La realización de las asambleas juveniles está programada para realizar en el primer semestre del 2022. 
</t>
    </r>
    <r>
      <rPr>
        <b/>
        <sz val="10"/>
        <rFont val="Calibri"/>
        <family val="2"/>
        <scheme val="minor"/>
      </rPr>
      <t>Alcaldía de Calarcá:</t>
    </r>
    <r>
      <rPr>
        <sz val="10"/>
        <rFont val="Calibri"/>
        <family val="2"/>
        <scheme val="minor"/>
      </rPr>
      <t xml:space="preserve"> Desde la Secretaría de Servicios sociales y  Salud se  realizó la primera Asambleas de Juventudes el 18 de febrero de 2022. </t>
    </r>
    <r>
      <rPr>
        <b/>
        <sz val="10"/>
        <rFont val="Calibri"/>
        <family val="2"/>
        <scheme val="minor"/>
      </rPr>
      <t xml:space="preserve">
Alcaldía de la Tebaida: </t>
    </r>
    <r>
      <rPr>
        <sz val="10"/>
        <rFont val="Calibri"/>
        <family val="2"/>
        <scheme val="minor"/>
      </rPr>
      <t xml:space="preserve">el 17 de marzo se realizó la primera asamblea de juventud dándole cumplimiento a la ley 1622 en donde se construyó con los asistentes la agenda de juventud para la vigencia 2022
</t>
    </r>
    <r>
      <rPr>
        <b/>
        <sz val="10"/>
        <rFont val="Calibri"/>
        <family val="2"/>
        <scheme val="minor"/>
      </rPr>
      <t>Alcaldía Armenia:</t>
    </r>
    <r>
      <rPr>
        <sz val="10"/>
        <rFont val="Calibri"/>
        <family val="2"/>
        <scheme val="minor"/>
      </rPr>
      <t xml:space="preserve"> 1 asamblea juvenil realizada en el mes de marzo, pero se realizan dos al año la próxima será el día 27 de julio de 2022 
</t>
    </r>
    <r>
      <rPr>
        <b/>
        <sz val="10"/>
        <rFont val="Calibri"/>
        <family val="2"/>
        <scheme val="minor"/>
      </rPr>
      <t xml:space="preserve">Alcaldía de Filandia: </t>
    </r>
    <r>
      <rPr>
        <sz val="10"/>
        <rFont val="Calibri"/>
        <family val="2"/>
        <scheme val="minor"/>
      </rPr>
      <t xml:space="preserve">para este trimestre no se ha realizado asamblea. </t>
    </r>
    <r>
      <rPr>
        <b/>
        <sz val="10"/>
        <rFont val="Calibri"/>
        <family val="2"/>
        <scheme val="minor"/>
      </rPr>
      <t xml:space="preserve">
Alcaldía Quimbaya:</t>
    </r>
    <r>
      <rPr>
        <sz val="10"/>
        <rFont val="Calibri"/>
        <family val="2"/>
        <scheme val="minor"/>
      </rPr>
      <t xml:space="preserve"> Actualmente no se han convocado asamblea de juventud convocadas por el CMJ
</t>
    </r>
    <r>
      <rPr>
        <b/>
        <sz val="10"/>
        <rFont val="Calibri"/>
        <family val="2"/>
        <scheme val="minor"/>
      </rPr>
      <t>Alcaldía de Génova:</t>
    </r>
    <r>
      <rPr>
        <sz val="10"/>
        <rFont val="Calibri"/>
        <family val="2"/>
        <scheme val="minor"/>
      </rPr>
      <t xml:space="preserve"> 1 asamblea realizada.
</t>
    </r>
    <r>
      <rPr>
        <b/>
        <sz val="10"/>
        <rFont val="Calibri"/>
        <family val="2"/>
        <scheme val="minor"/>
      </rPr>
      <t>Alcaldía de Circasia:</t>
    </r>
    <r>
      <rPr>
        <sz val="10"/>
        <rFont val="Calibri"/>
        <family val="2"/>
        <scheme val="minor"/>
      </rPr>
      <t xml:space="preserve"> No Reporta.
</t>
    </r>
    <r>
      <rPr>
        <b/>
        <sz val="10"/>
        <rFont val="Calibri"/>
        <family val="2"/>
        <scheme val="minor"/>
      </rPr>
      <t>Alcaldía de Pijao:</t>
    </r>
    <r>
      <rPr>
        <sz val="10"/>
        <rFont val="Calibri"/>
        <family val="2"/>
        <scheme val="minor"/>
      </rPr>
      <t xml:space="preserve"> No Reporta.
</t>
    </r>
    <r>
      <rPr>
        <b/>
        <sz val="10"/>
        <rFont val="Calibri"/>
        <family val="2"/>
        <scheme val="minor"/>
      </rPr>
      <t xml:space="preserve">Secretaría de Familia: </t>
    </r>
    <r>
      <rPr>
        <sz val="10"/>
        <rFont val="Calibri"/>
        <family val="2"/>
        <scheme val="minor"/>
      </rPr>
      <t xml:space="preserve">Reporta que diez de los doce municipios del Quindío, han realizado las asambleas juveniles en el primer semestre 2022, a excepción de los municipios de Quimbaya y Filandia. </t>
    </r>
  </si>
  <si>
    <t>$8.900.000
$29.095.000</t>
  </si>
  <si>
    <t>6675000
$14.670.000</t>
  </si>
  <si>
    <t xml:space="preserve">130,000,000
</t>
  </si>
  <si>
    <t xml:space="preserve">
$ 183,000,000
$214.688.145</t>
  </si>
  <si>
    <t xml:space="preserve"> 
$ 183,000,000
$0</t>
  </si>
  <si>
    <t>$ 1,121,944
$ 147.152.160</t>
  </si>
  <si>
    <t>1012000000
$ 1.500.000
$ 9.993.786
$ 11,540,000</t>
  </si>
  <si>
    <t>$ 2. 885.000
$ 1.500.000
$ 9.993.786</t>
  </si>
  <si>
    <t xml:space="preserve">Secretaría de Cultura: Se desarrollaron talleres de lectura y escritura con los jóvenes del CAE de la Primaria del municipio de Montenegro.  
*Se finalizaron los talleres de promoción de lectura sobre el patrimonio arqueológico del Quindío, en la biblioteca Pública de Pijao, Filandia Calarcá, Córdoba, Salento. El taller fue una estrategia de apoyo a las actividades propuestas por la red bibliotecas.               
*Se cumplió a satisfacción las Estrategias de estímulos a talentos y/o expresiones artísticas y culturales juveniles en el departamento del Quindío.                                                       
*Se culminó con la Promoción y acceso efectivo a procesos culturales y artísticos. "Tú y yo somos cultura. Total población atendida 8.290 Jóvenes de 15 a 19 años.          
</t>
  </si>
  <si>
    <t>$ 139.800.000
$ 50.000.000
$ 59,993,786</t>
  </si>
  <si>
    <t>$ 39.975.000
$ 50.000.000</t>
  </si>
  <si>
    <t xml:space="preserve">   
Secretaría de Cultura:   *LA CONVOCATORIA DE ESTÍMULOS (NATALIA MONTENEGRO GIRALDO) GANADORA DE LA " BECA JÓVENES CREADORES"  (CREACIÓN). Desde los proyectos ganadores  de concertación departamental ganaron 3 organizaciones culturales que desarrollaron actividades con población juvenil como " FORMACIÓN INTEGRAL EN ARTES ESCÉNICAS PARA LA COMUNIDAD INFANTIL Y JUVENIL DEL DEPARTAMENTO DEL QUINDÍO 2021" , " EL HIP HOP COMO INSTRUMENTO DE PAZ EN LAS COMUNIDADES VULNERABLES" y "TALLER CREATIVO DE PLATAFORMAS DE CONTENIDOS INFORMATIVOS DIGITALES EN FORMATO AUDIBLE PODCAST, CON JÓVENES PRIVADOS DE LA LIBERTAD DEL SISTEMA DE RESPONSABILIDAD PENAL PARA ADOLESCENTES" </t>
  </si>
  <si>
    <t>$ 54.000.000
$ 7.600.000
$ 11,540,000</t>
  </si>
  <si>
    <t>$ 6.850.000
$ 7.600.000</t>
  </si>
  <si>
    <t xml:space="preserve">Secretaría de Familia: Se actualizó un micro sitio en la página web de la Gobernación orientado a difundir y socializar las actividades realizadas en el marco de la implementación de la Política Pública de Juventud.
Secretaría de Comunicaciones: No reportó información 
</t>
  </si>
  <si>
    <t xml:space="preserve">Universidad La Gran Colombia: Desde el Centro de Ética y Humanidades de la Universidad, se viene adelantando de la mano de un docente investigador, jornadas de reunión con el semillero de ciudadanía, esto en pro de generar las bases para el término de la construcción de la propuesta del observatorio en juventudes la cual en su primera fase será socializada ante las directivas de la universidad al finalizar el mes de mayo, luego de realizar la tabulación y sistematización de la información recolectada durante las vigencias 2020 y 2021. 
Corporación Universitaria Alexander Von Humboldt: La Facultad de Ciencias Humanas -Programa de psicología, realiza prácticas en instituciones públicas y privadas atendiendo población de niños y adolescentes. 
1. Adaptación, prosocialidad y actitudes hacia la justicia restaurativa, en jóvenes adultos vinculados al Sistema de Responsabilidad Penal para Adolescentes del Departamento del Quindío año 2021 - 2022
2. Diseño y validación de una escala para medir capacidades en salud mental positiva para jóvenes universitarios de dos ciudades de Colombia
3. Convivencia, conflicto y violencia en las instituciones educativas públicas y privadas de los sectores urbano y rural en el departamento del Quindío durante los años 2022-2023
4. Barreras de acceso a servicios de salud mental en gestantes con riesgo de depresión, ansiedad y consumo de sustancias psicoactivas en Armenia, Quindío
5. Describir la prevalencia de la depresión posparto, características sociodemográficas y factores asociados de las usuarias del servicio de obstetricia en una institución de tercer nivel de atención durante el año 2022
6. Características de las mujeres emprendedoras sociales de la ciudad de Armenia Q. formalmente registradas ante la CCQ en el año 2021.
7. Análisis de la brecha salarial por género en el mercado laboral informal para las 24 ciudades principales y áreas metropolitanas de Colombia en el año 2019.
La Facultad de Ciencias Sociales y Jurídicas - Programa de Derecho A través del semillero de investigación Sophia ha realizado dos investigaciones relacionadas con dinámicas juveniles: 
1. Procesos de participación política y democrática de movimientos sociales juveniles en el Departamento del Quindío
2. Percepción sobre los procesos de participación política y democrática de jóvenes que hacen parte de movimientos sociales juveniles en el departamento del Quindío.
Universidad San Buenaventura: No reportó Información.
Universidad Antonio Nariño: La Universidad Antonio Nariño Sede Armenia genera convenios interinstitucionales con las Instituciones Educativas, dentro de los cuales se tiene el proyecto "Legos - pequeños investigadores" por medio del cual se incentiva la innovación e investigación en la juventud, también contamos con el programa "La ciencia, la Investigación y la innovación en tu colegio" la cual se articula con otras instituciones de educación superior con el fin de impactar a docentes y estudiantes con estos temas investigativos
EAM: actualmente hay semilleros que manejen la temática de juventudes.
Secretaría de Educación: Este indicador no es competencia de la Secretaría de Educación Departamental del Quindío, ya que dentro de sus competencias está el dirigir, planificar y prestar el servicio educativo en los niveles de preescolar, básica y media en sus distintas modalidades, en condiciones de equidad, eficiencia y calidad.
Secretaría TICS: No reportó información </t>
  </si>
  <si>
    <t xml:space="preserve">Institución Universitaria EAM: Diplomado en docencia universitaria y especialización en analítica de datos para los negocios, además de un nuevo programa en hotelería y turismo
Universidad San Buenaventura: No reportó Información.
Universidad Antonio Nariño: La Universidad Antonio Nariño Sede Armenia desde el departamento de Extensión oferta programas de extensión y proyección social para toda la región, a través de seminarios, talleres, diplomados, entre otros. De igual forma articula con su comunidad académica en general actividades de proyección social en las instituciones educativas y municipios del departamento.
Universidad La Gran Colombia: Se tiene un portafolio de programas de educación continua para aportar a la formación sobre dinámicas juveniles los cuales darán inicio en el segundo trimestre del año 2022, este portafolio consta de: Diplomados, Seminarios, Cursos, Talleres, como el diplomado en cultura de paz para la reconstrucción social, taller de redacción Básica y Comprensión de lectura, seminario en derecho laboral para no abogados, curso y diplomado en liderazgo transformacional, diplomado en negocios internacionales, curso en gestión integral de residuos, diplomado en diseño de servicios y experiencias para la nueva normalidad, entre otros. Semillero de emprendimiento articulado con el Centro de desarrollado Empresarial, el cual se encuentra en alianza con Red Regional de Emprendimiento del Quindío y CE Emprende
Corporación Universitaria Alexander Von Humboldt: La Universidad tiene convenios con la Universidad CES de Medellín para la especialización en  Salud Mental del Niño y del Adolescente y la maestría en Neurodesarrollo y Aprendizaje. Ambos proyectos están en etapa de finalización para su socialización en diciembre.
Secretaría de Educación: Este indicador no es competencia de la Secretaría de Educación Departamental del Quindío, ya que dentro de sus competencias está el dirigir, planificar y prestar el servicio educativo en los niveles de preescolar, básica y media en sus distintas modalidades, en condiciones de equidad, eficiencia y calidad.
Secretaría de Familia: se realizó el curso de "Tú emprendimiento a otro nivel" y una alianza con la Universidad de Manizales para capacitar a los jóvenes en temas orientados a proyecto de vida. Además se encuentra en etapa de convocatoria  para el desarrollo de un diplomado de emprendimiento. 
</t>
  </si>
  <si>
    <t xml:space="preserve">
Secretaría de Familia: La Secretaría de Familia reporta la existencia de 11 espacios de participación los cuales tienen dentro de sus funciones hacer control social a lo público.
Secretaría Planeación: No reportó información
Dirección Privada: No reportó información  
</t>
  </si>
  <si>
    <t xml:space="preserve">Secretaría de Familia: Reporta avance en la implementación del sistema de información por medio de la difusión de las actividades realizadas a través de las redes sociales, además por medio del seguimiento de manera trimestral. </t>
  </si>
  <si>
    <t>Alcaldía de Circasia: Desde la administración municipal se implementa la Política Pública de Juventud del municipio de Circasia, y estamos en proceso de actualización con apoyo de la Gobernación del Quindío por medio de la  Secretaría de Familia.
Alcaldía de Quimbaya: Esta meta no está programada para este trimestre
Alcaldía de Montenegro: No se han realizado rendiciones públicas de cuentas de la Política Pública ya que no se encuentra adoptada la política pública de Juventud
Alcaldía Pijao: Aún no tiene rendición pública.
Alcaldía de Salento: Con previo acuerdo con el Consejo Municipal de Juventud, se buscará realizar las correspondientes revisiones y controles al cumplimiento del plan de acción establecido en la Política Pública de Juventud, para la siguiente Comisión de Concertación y Decisión Juvenil se revisará el nivel de cumplimiento de la PPJM con el apoyo y veeduría del CMJ.
Alcaldía de Calarcá: Se ha realizado una rendición de la Política Pública de Juventudes en Asamblea de Juventudes el 18 de febrero del 2022. 
Alcaldía de Buenavista: No se realizó rendición de cuentas en el primer trimestre del año 2022.     
Alcaldía Córdoba: No cuenta con la Política Pública de Juventud municipal.
Alcaldía de La Tebaida: la administración municipal realizará la información a partir del 2023.
Secretaría de Familia: Se está trabajando en el seguimiento primer trimestre 2022, correspondiente a la implementación de la Política Pública de Juventud.
Secretaría de Planeación: No reportó información. 
Alcaldía Armenia: No Reporta.
Alcaldía Filandia: No Reporta.</t>
  </si>
  <si>
    <t xml:space="preserve">Alcaldía de Salento: Actualmente la casa de la juventud está en proceso de mantenimiento y de adecuación locativa con el fin de que se pueda instalar allí el Consejo Municipal de Juventud (CMJ), quienes compartirán espacio con la Plataforma Municipal de Juventud. Se utiliza para eventos y actividades educativas, deportivas y culturales.
Alcaldía de Buenavista: No se cuenta con espacio de casa de juventud. Se está haciendo uso de otros espacios para los encuentros de jóvenes (Casa de la Cultura, Concha Acústica y Alcaldía municipal).
Alcaldía Quimbaya: No cuenta con casa de la juventud.
Alcaldía de Tebaida: El municipio cuenta con casa de la juventud la cual se le realiza el mantenimiento pertinente.
Alcaldía Circasia: No cuenta con casa de la juventud.
Alcaldía de Armenia: Se viene adelantando a través de la consejería presidencial para la juventud la adecuación de la casa de la juventud para convertirse en centro sacúdete.
Alcaldía Montenegro: La casa de la juventud actualmente está articulada con el proyecto cultivarte.
Alcaldía de Córdoba: Actualmente no se encuentra con la infraestructura de la casa de la Juventud, sin embargo se realizan actividades culturales en la casa de la cultura y deportivas en los escenarios deportivos.
Alcaldía de Filandia: Cuenta con el espacio de la casa de la cultura que maneja diferentes programas y actividades para la población juvenil del municipio.
Secretaría de Familia: Reporta siete municipios del Departamento con casas de la juventud adecuadas y operando.  
Alcaldía Pijao: se cuenta con casa de la juventud, en la que los jóvenes realizan sus distintas actividades, se le han hecho mejoras gracias a la ayuda de la Secretaría de familia y otros entes.
Alcaldía de Calarcá: El municipio cuenta con un espacio designado en la antigua escuela Matilde Burítica, para que los jóvenes del municipio puedan disponer de este.  </t>
  </si>
  <si>
    <t xml:space="preserve">
Alcaldía de Buenavista: En el mes de enero se realizó la instalación y posesión de los Consejeros Municipales de Juventud. A la fecha no se ha llevado a cabo la primera sesión correspondiente para la creación del plan de acción del CMJ. La sesión no ha sido posible llevarse a cabo por la baja participación de los integrantes.
Alcaldía de Montenegro: El municipio cuenta con Plataforma de Juventud, registrada ante la personería municipal.
Alcaldía de Salento: Actualmente la Plataforma Municipal de Juventud está en proceso de reestructuración y actualización de línea base con el fin de que se pueda reactivar a partir de la primera semana de mayo.
Alcaldía Pijao: El Municipio de Pijao cuenta con Plataforma juvenil, la cual está activa.
Alcaldía Quimbaya: Se encuentra funcionando y en proceso de vinculación de nuevos grupos
Alcaldía de Córdoba: Se cuenta con la Plataforma de Juventud la cual se encuentra activa y está en proceso de actualización.          
Alcaldía Calarcá: Acompañamiento a la elaboración del plan de trabajo de la Plataforma de Juventudes,  acompañamiento a las sesiones o actividades de la Plataforma de Juventud, acompañamiento y apoyo en la organización de la Plataforma de Juventud en actividades del plan de trabajo. Realización de Comisión Concertación y Decisión de Juventudes (invitaciones, presentación, acta de reunión)
Alcaldía de La Tebaida: El día 03 de marzo se realizó asamblea con todas las organizaciones, grupos juveniles los cuales actualizaron la plataforma de juventud. El día 15 de marzo, se realizó el registro ante la personera municipal con las respectivas actas y el 23 de marzo se realizó la respectiva resolución expedida por la personería municipal.
Secretaria de Familia: Desde la jefatura de juventud,  se realizaron capacitaciones de promoción del Estatuto de Ciudadanía Juvenil y reuniones de asistencias técnicas a los enlaces municipales de juventud.
Alcaldía armenia: No Reporta.
Alcaldía de Filandia: El municipio está en proceso de constitución de la Plataforma de Juventud.  
</t>
  </si>
  <si>
    <t xml:space="preserve">
Alcaldía de Buenavista: Se realizaron 3 convocatorias para llevar a cabo la primera asamblea para la adopción de los estatutos. Debido a la inasistencia de los integrantes de la plataforma, se procede a realizar la actualización de la línea base, proceso que actualmente se encuentra en ejecución.
Alcaldía de Salento: Hasta el momento se ha realizado el pasado viernes 11 de Febrero de 2022 la primera Asamblea Municipal de Juventud en el municipio de Salento y dirigida por el Consejo Municipal de Juventud (CMJ).
Alcaldía de Montenegro: Se cumple con la realización de las dos asambleas juveniles anuales establecidas en el estatuto de ciudadanía juvenil no obstante, en el primer trimestre 2022 no se ha realizado ya que se tiene planteado hacer la primera asamblea el próximo 26 de abril del año en curso. 
Alcaldía de Córdoba: La realización de las asambleas juveniles está programada para realizar en el primer semestre del 2022. 
Alcaldía de Calarcá: Desde la Secretaría de Servicios sociales y  Salud se  realizó la primera Asambleas de Juventudes el 18 de febrero de 2022. 
Secretaria de Familia: Desde la Jefatura de Juventud se brindó asistencia técnica y /o capacitación sobre Estatuto de Ciudadanía Juvenil a enlaces de juventud y en Instituciones educativas de los municipios del Departamento del Quindío. 
Alcaldía de la Tebaida: el 17 de marzo se realizó la primera asamblea de juventud dándole cumplimiento a la ley 1622 en donde se construyó con los asistentes la agenda de juventud para la vigencia 2022
Alcaldía Armenia: Se realizó el día 10 de marzo de 2022 a la cual asistieron 72 jóvenes del municipio de Armenia.
Alcaldía de Filandia: para este trimestre no se ha realizado asamblea. 
Alcaldía Quimbaya: Durante la vigencia no se han convocado asambleas de juventud 
Alcaldía Pijao: No Reporta 
</t>
  </si>
  <si>
    <r>
      <rPr>
        <sz val="10"/>
        <rFont val="Calibri"/>
        <family val="2"/>
        <scheme val="minor"/>
      </rPr>
      <t>Secretaría de Cultura: se culminó a satisfacción la promoción  en los 12 municipios del departamento las acciones de formación y fomento del arte, la cultura y el patrimonio con jóvenes. Se culminó la realización de seminarios de formación artística en las casas de la cultura de los municipios del departamento, en las áreas de teatro, Danza, Música y artes plásticas. Se logró impactar a un aproximado de 4000 mil jóvenes de 15 a 19 años.</t>
    </r>
    <r>
      <rPr>
        <sz val="10"/>
        <color rgb="FFFF0000"/>
        <rFont val="Calibri"/>
        <family val="2"/>
        <scheme val="minor"/>
      </rPr>
      <t xml:space="preserve">       </t>
    </r>
  </si>
  <si>
    <t xml:space="preserve">Alcaldía de Filandia: el municipio cuenta con  un Consejo Municipal de Juventud posesionado y  funcionando. 
Alcaldía de Buenavista: Se llevó a cabo las elecciones de los Consejeros Municipales de Juventud.
Alcaldía Montenegro: El Consejo de Juventud se compone de 15 consejeros posesionados a los cuales se les ha garantizado su funcionamiento desde la administración municipal.
Alcaldía de Salento: Para este primer trimestre y en cumplimiento de las directrices nacionales sobre los consejos de juventud, se instala y se pone en funcionamiento el Consejo Municipal de Juventud (CMJ). Actualmente ellos se reúnen de manera mensual y realizan sus actividades a través de su Plan de Acción Anual.
Alcaldía Quimbaya: Se encuentra instalado y funcionando el CMJ
Alcaldía Calarcá: 2 Talleres de socialización de la Ley Estatutaria de Juventudes con las modificaciones del año 2018, para promover la participación de los jóvenes en las instancias del sistema de juventudes, incluido entidades, ello con el fin de capacitar a los posibles candidatos y líderes juveniles, además se realizaron talleres en las instituciones educativas del municipio de Calarcá y Corregimiento de Barcelona. El 18 de enero de 2022, se realizó la posesión de los consejeros juveniles, así mismo, dicha instancia se encuentra activa y realizando actividades según su plan de trabajo, además se han realizado acompañamiento a las actividades y en la elaboración del plan de trabajo y en la ejecución del mismo. 
Alcaldía de La Tebaida: el 12 de enero, se realizó convocatoria por medio de la resolución el 17 de enero, se realizó el acto protocolario en donde se posesionó a los 11 consejeros de juventud; el 04 de febrero, se realizó resolución por la cual se reconoce el espacio de operación de los consejos de juventud; 
Alcaldía Pijao: Mesas de socialización y concertación para la creación del Consejo Municipal de Juventud.
Alcaldía Armenia: No Reporta.
Alcaldía de Córdoba: La administración municipal por medio del enlace de juventud realizó apoyo a los consejeros de juventud municipales. 
Secretaría de Familia: Desde la Jefatura de Juventud, se realizaron capacitaciones acerca de la ley estatutaria 1622/2013 con énfasis en los Consejos Municipales de Juventud. Adicionalmente, se realizaron acciones de difusión y promoción del calendario electoral por las redes sociales, medios de comunicación disponibles  y en Instituciones Educativas y Prácticas y Procesos Organizativos juveniles de los doce municipios del Departamento. Adicional a esto, mediante el Decreto 00095 de 2022, se instaló y posesionó el Consejo Departamental de Juventud,  el día 11 de febrero de 2022, al cual se le ha brindado asistencia técnica y acompañamiento en sesiones descentralizadas.  
</t>
  </si>
  <si>
    <t xml:space="preserve">
$ 28,850,000</t>
  </si>
  <si>
    <t xml:space="preserve">
$ 34,620,000</t>
  </si>
  <si>
    <t>INFORMACIÓN MATRIZ PPJ</t>
  </si>
  <si>
    <t>Proyecto 46: 29,790,000</t>
  </si>
  <si>
    <t xml:space="preserve">Los muicipios de Quimbaya y Circasia, establecieron dentro de sus planes de desarrollo la adopción de Políticas Públicas de Juventud, por lo cual formularon sus planes y al finalizar la vigencia 2014 ya contaban con la misma. Armenia traía adoptada una Política Pública de Juventud que fue actualizada en el año 2013. </t>
  </si>
  <si>
    <t>Sólo el Departamento cuenta con oficina de juventud, los planes de desarrollo municipales no lo establecieron la creación de las mismas y la Ley se reglamentó en el 2013 por lo cual se espera que con la adopción de los nuevos planes de desarrollo se incluya este componente.</t>
  </si>
  <si>
    <t>La Política Pública de Juventud se adoptó en el año 2014 cuando los municipios restantes aun no contaban con políticas municipales, se espera adoptar estas a través de una estrategia de despliegue de la oficina departamental a través de la inclusión de sus líneas estratégicas en estas políticas municipales</t>
  </si>
  <si>
    <t xml:space="preserve">Al finalizar la vigencia 2014, todos los municipios contaban con plataformas de juventud, las cuales hacen parte del sistema departamental de juventud, que con la política pública ya cuenta con bases para su ejectivo funcionamiento. El siguiente componente del sistema de juventud son las oficinas municipales, sin embargo este avance queda pendiente para las próximas vigencias. </t>
  </si>
  <si>
    <t xml:space="preserve">Todos los municipios cuentan con plataforma de juventud, los cuales hacen parte del sistema en su eje participativo. Los municipios de Circasia, Armenia y Quimbaya cuentan con política pública, y las oficinas municipales de juventud quedan pendiente para su creación en las próximas vigencias. </t>
  </si>
  <si>
    <t>Se hizo socialización y difusión de la política pública departamental de juventud en todos los municipios del departamento, de igual forma, las plataformas de los municipios hicieron parte de las mesas de participación y validación para la formulación de la política pública</t>
  </si>
  <si>
    <t>Proyecto 47: 89,951,168</t>
  </si>
  <si>
    <t xml:space="preserve">Se hizo acompañamiento a todos los municipios del Quindío en la conforación de espacios de participación para validación de políticas públicas e implementación de agendas juveniles. Los municipios de Armenia y Quimbaya, de igual forma contaron con apoyo y acompañamiento a los consejos de juventud, ya que sólo en estos dos se cuenta con estos espacios, el resto de municipios cuenta con plataformas juveniles. </t>
  </si>
  <si>
    <t>PROGRAMADO 
(Meta al 2020)</t>
  </si>
  <si>
    <t xml:space="preserve">
$6.400.000
</t>
  </si>
  <si>
    <r>
      <rPr>
        <b/>
        <sz val="10"/>
        <color theme="1"/>
        <rFont val="Calibri"/>
        <family val="2"/>
        <scheme val="minor"/>
      </rPr>
      <t xml:space="preserve">Alcaldía de Circasia : </t>
    </r>
    <r>
      <rPr>
        <sz val="10"/>
        <color theme="1"/>
        <rFont val="Calibri"/>
        <family val="2"/>
        <scheme val="minor"/>
      </rPr>
      <t xml:space="preserve"> Cuenta con el Acuerdo Municipal 011 del 29 de mayo de 2015, que expide la Política Pública de Juventud Municipal circasia  para la Juventud" 2015-2024
</t>
    </r>
    <r>
      <rPr>
        <b/>
        <sz val="10"/>
        <color theme="1"/>
        <rFont val="Calibri"/>
        <family val="2"/>
        <scheme val="minor"/>
      </rPr>
      <t>Alcaldía de Salento:</t>
    </r>
    <r>
      <rPr>
        <sz val="10"/>
        <color theme="1"/>
        <rFont val="Calibri"/>
        <family val="2"/>
        <scheme val="minor"/>
      </rPr>
      <t xml:space="preserve"> Salento cuenta con el Acuerdo Municipal 013 del 15 de Noviembre de 2017, que expide la Política Pública de Juventud Municipal "Salento para la Juventud" 2017-2027
</t>
    </r>
    <r>
      <rPr>
        <b/>
        <sz val="10"/>
        <color theme="1"/>
        <rFont val="Calibri"/>
        <family val="2"/>
        <scheme val="minor"/>
      </rPr>
      <t xml:space="preserve">Alcadía de Quimbaya: </t>
    </r>
    <r>
      <rPr>
        <sz val="10"/>
        <color theme="1"/>
        <rFont val="Calibri"/>
        <family val="2"/>
        <scheme val="minor"/>
      </rPr>
      <t>Socializacion y difucion de la politica publica municipal de quimbaya, capacitacion de jovenes en prevencion de embarazos y ruta de atencion de violencia de genero, Capacitacion en relacion familiar y comunicacion asertiva entre padres e hijos. y apoyo como enlace a jovenes en accion.</t>
    </r>
    <r>
      <rPr>
        <b/>
        <sz val="10"/>
        <color theme="1"/>
        <rFont val="Calibri"/>
        <family val="2"/>
        <scheme val="minor"/>
      </rPr>
      <t xml:space="preserve">
</t>
    </r>
    <r>
      <rPr>
        <sz val="10"/>
        <color theme="1"/>
        <rFont val="Calibri"/>
        <family val="2"/>
        <scheme val="minor"/>
      </rPr>
      <t xml:space="preserve">
</t>
    </r>
    <r>
      <rPr>
        <b/>
        <sz val="10"/>
        <color theme="1"/>
        <rFont val="Calibri"/>
        <family val="2"/>
        <scheme val="minor"/>
      </rPr>
      <t xml:space="preserve">Alcaldía de La Tebaida: </t>
    </r>
    <r>
      <rPr>
        <sz val="10"/>
        <color theme="1"/>
        <rFont val="Calibri"/>
        <family val="2"/>
        <scheme val="minor"/>
      </rPr>
      <t xml:space="preserve">Politica publica formalada desde el 2019, actualmente se encuentra en ejecucion
</t>
    </r>
    <r>
      <rPr>
        <b/>
        <sz val="10"/>
        <color theme="1"/>
        <rFont val="Calibri"/>
        <family val="2"/>
        <scheme val="minor"/>
      </rPr>
      <t xml:space="preserve">Alcaldía de Armenia: </t>
    </r>
    <r>
      <rPr>
        <sz val="10"/>
        <color theme="1"/>
        <rFont val="Calibri"/>
        <family val="2"/>
        <scheme val="minor"/>
      </rPr>
      <t xml:space="preserve"> Revisión de la Política Publica de Juventud para la creación del plan de acción  del cuatrienio. (Secretaria de Desarrollo Social-Enlaces de Juventud Alcaldía Municipal Armenia)
1.   Realización del plan de acción de la Política Publica (cuatrenio) en concertación con la Plataforma Municipal de Juventudes.                               
</t>
    </r>
    <r>
      <rPr>
        <b/>
        <sz val="10"/>
        <color theme="1"/>
        <rFont val="Calibri"/>
        <family val="2"/>
        <scheme val="minor"/>
      </rPr>
      <t xml:space="preserve">Alcaldía de Montenegro: </t>
    </r>
    <r>
      <rPr>
        <sz val="10"/>
        <color theme="1"/>
        <rFont val="Calibri"/>
        <family val="2"/>
        <scheme val="minor"/>
      </rPr>
      <t xml:space="preserve">Se incluyo en el plan de Desarrollo "ACTIVOS POR MONTENEGRO" la formulacion e implementacion de la politica publica de juventud del municipio como linea estartegica del mismo. Tambien se realizan alianzas estrategicas con el semillero de investigacion de la universidad la gran colombia para la formulacion de la misma.
</t>
    </r>
    <r>
      <rPr>
        <b/>
        <sz val="10"/>
        <color theme="1"/>
        <rFont val="Calibri"/>
        <family val="2"/>
        <scheme val="minor"/>
      </rPr>
      <t>Alcaldia de Filandia</t>
    </r>
    <r>
      <rPr>
        <sz val="10"/>
        <color theme="1"/>
        <rFont val="Calibri"/>
        <family val="2"/>
        <scheme val="minor"/>
      </rPr>
      <t xml:space="preserve">:  Se obtuvo la primera asistencia técnica el día viernes 12 de marzo  por parte de la contratista de la Gobernación del Quindío, María Camila Moncada Herrera. La segunda asistencia por parte de la misma representante de la Gobernación no se ha establecido fecha. 
</t>
    </r>
    <r>
      <rPr>
        <b/>
        <sz val="10"/>
        <color theme="1"/>
        <rFont val="Calibri"/>
        <family val="2"/>
        <scheme val="minor"/>
      </rPr>
      <t>Alcaldia de Pijao:</t>
    </r>
    <r>
      <rPr>
        <sz val="10"/>
        <color theme="1"/>
        <rFont val="Calibri"/>
        <family val="2"/>
        <scheme val="minor"/>
      </rPr>
      <t xml:space="preserve"> la politica se encuentra en formulacion
Existe el acuerdo 007 de 2009 que crea el consejo municipal de juventud
</t>
    </r>
    <r>
      <rPr>
        <b/>
        <sz val="10"/>
        <color theme="1"/>
        <rFont val="Calibri"/>
        <family val="2"/>
        <scheme val="minor"/>
      </rPr>
      <t>Alcaldía de Córdoba:</t>
    </r>
    <r>
      <rPr>
        <sz val="10"/>
        <color theme="1"/>
        <rFont val="Calibri"/>
        <family val="2"/>
        <scheme val="minor"/>
      </rPr>
      <t xml:space="preserve"> la politica publica de Juventud no se encuentra adoptada por el momento, esta en proceso de formulacion, el municipio se encuentra en el proceso de la formulacion e implementacion de la Politica Pública de Juventud..
</t>
    </r>
    <r>
      <rPr>
        <b/>
        <sz val="10"/>
        <color theme="1"/>
        <rFont val="Calibri"/>
        <family val="2"/>
        <scheme val="minor"/>
      </rPr>
      <t>Alcaldía Calarcá:</t>
    </r>
    <r>
      <rPr>
        <sz val="10"/>
        <color theme="1"/>
        <rFont val="Calibri"/>
        <family val="2"/>
        <scheme val="minor"/>
      </rPr>
      <t xml:space="preserve"> Se Cuenta con una politica publica la cual ya esta siendo implmentada desde enero de 2020,la politica se consolido durante los años de 2017 y 2018 ,siendo aprobada por el acuerdo 019 del 26 de septiembre de 2018,dicha politica cuenta con la participacion en su ejecucion de diferentes de la administracion y en articulacion con otras instituciones con el fin de dar respuesta oportunia e incluyente a las diverdsas necesidades de la poblacion,interes que se tuvo desde su constitucion la cual conto con el acompañamiento de la gobernacion en mesas tematicas que recogieran diversas necesidades en los diferente sectores.
</t>
    </r>
    <r>
      <rPr>
        <b/>
        <sz val="10"/>
        <color theme="1"/>
        <rFont val="Calibri"/>
        <family val="2"/>
        <scheme val="minor"/>
      </rPr>
      <t xml:space="preserve">Secretaría de familia: </t>
    </r>
    <r>
      <rPr>
        <sz val="10"/>
        <color theme="1"/>
        <rFont val="Calibri"/>
        <family val="2"/>
        <scheme val="minor"/>
      </rPr>
      <t xml:space="preserve"> se cuenta con la politica pública de juventud departamental aprobada mediante ordenanza 036 del 2014. </t>
    </r>
  </si>
  <si>
    <r>
      <t xml:space="preserve">$3,600,600
</t>
    </r>
    <r>
      <rPr>
        <b/>
        <sz val="10"/>
        <color theme="1"/>
        <rFont val="Calibri"/>
        <family val="2"/>
        <scheme val="minor"/>
      </rPr>
      <t/>
    </r>
  </si>
  <si>
    <r>
      <rPr>
        <b/>
        <sz val="10"/>
        <color theme="1"/>
        <rFont val="Calibri"/>
        <family val="2"/>
        <scheme val="minor"/>
      </rPr>
      <t xml:space="preserve">$ </t>
    </r>
    <r>
      <rPr>
        <sz val="10"/>
        <color theme="1"/>
        <rFont val="Calibri"/>
        <family val="2"/>
        <scheme val="minor"/>
      </rPr>
      <t>3,600,600</t>
    </r>
  </si>
  <si>
    <r>
      <rPr>
        <b/>
        <sz val="10"/>
        <color theme="1"/>
        <rFont val="Calibri"/>
        <family val="2"/>
        <scheme val="minor"/>
      </rPr>
      <t xml:space="preserve">Alcaldía de Salento: </t>
    </r>
    <r>
      <rPr>
        <sz val="10"/>
        <color theme="1"/>
        <rFont val="Calibri"/>
        <family val="2"/>
        <scheme val="minor"/>
      </rPr>
      <t>En el municipio de Salento, la dependencia responsable del sistema municipal de juventud es la Subsecretaría de Cultura y Deporte. Acompaña el proceso las Secretarías de Gobierno, Administrativa y TICs y la Secretaría de Turismo y Desarrollo Económico, en asuntos de su competencia y con relación en los temas de juventud</t>
    </r>
    <r>
      <rPr>
        <b/>
        <sz val="10"/>
        <color theme="1"/>
        <rFont val="Calibri"/>
        <family val="2"/>
        <scheme val="minor"/>
      </rPr>
      <t xml:space="preserve">
</t>
    </r>
    <r>
      <rPr>
        <sz val="10"/>
        <color theme="1"/>
        <rFont val="Calibri"/>
        <family val="2"/>
        <scheme val="minor"/>
      </rPr>
      <t xml:space="preserve">
</t>
    </r>
    <r>
      <rPr>
        <b/>
        <sz val="10"/>
        <color theme="1"/>
        <rFont val="Calibri"/>
        <family val="2"/>
        <scheme val="minor"/>
      </rPr>
      <t>Alcaldía Calarcá:</t>
    </r>
    <r>
      <rPr>
        <sz val="10"/>
        <color theme="1"/>
        <rFont val="Calibri"/>
        <family val="2"/>
        <scheme val="minor"/>
      </rPr>
      <t xml:space="preserve"> Se cuenta con un programa que cobija la poblacion juvenil el programa es el de Primera infancia, infancia, adolescencia y juventud,adscrito a la secretaria de servicios sociales y salud de la alcaldia municipal,alli se llevan a cabo las acciones que dan cumplimiento a la politica publica de juventud,asi como los espacios,democraticos y participativos como la mesa de comicion y concertacion,las asambleas de juventud municipal,apoyo a la plataforma de juventud municipal en sesiones y plan de trabajo.
</t>
    </r>
    <r>
      <rPr>
        <b/>
        <sz val="10"/>
        <color theme="1"/>
        <rFont val="Calibri"/>
        <family val="2"/>
        <scheme val="minor"/>
      </rPr>
      <t xml:space="preserve">Alcaldía de Montenegro: </t>
    </r>
    <r>
      <rPr>
        <sz val="10"/>
        <color theme="1"/>
        <rFont val="Calibri"/>
        <family val="2"/>
        <scheme val="minor"/>
      </rPr>
      <t xml:space="preserve">Se cuenta actualmente con un enlace de juventud y una contratista para la formulacion de la politica publica de juventud 
</t>
    </r>
    <r>
      <rPr>
        <b/>
        <sz val="10"/>
        <color theme="1"/>
        <rFont val="Calibri"/>
        <family val="2"/>
        <scheme val="minor"/>
      </rPr>
      <t xml:space="preserve">Alcaldía de La Tebaida: </t>
    </r>
    <r>
      <rPr>
        <sz val="10"/>
        <color theme="1"/>
        <rFont val="Calibri"/>
        <family val="2"/>
        <scheme val="minor"/>
      </rPr>
      <t xml:space="preserve">Se  encuentra la dirección administrativa de servicios sociales la cual cuenta con una profesional de población vulnerable la cual se encarga del sistema de juventud de acuerdo a la ley 1622 del 2013 y la 1885 del 2018. Cuenta con rubro para juventud.
</t>
    </r>
    <r>
      <rPr>
        <b/>
        <sz val="10"/>
        <color theme="1"/>
        <rFont val="Calibri"/>
        <family val="2"/>
        <scheme val="minor"/>
      </rPr>
      <t>Alcaldía de Pijao:</t>
    </r>
    <r>
      <rPr>
        <sz val="10"/>
        <color theme="1"/>
        <rFont val="Calibri"/>
        <family val="2"/>
        <scheme val="minor"/>
      </rPr>
      <t xml:space="preserve"> Cuenta con la plataforma de juventud, se actualiza el 03 de diciembre de 2020
</t>
    </r>
    <r>
      <rPr>
        <b/>
        <sz val="10"/>
        <color theme="1"/>
        <rFont val="Calibri"/>
        <family val="2"/>
        <scheme val="minor"/>
      </rPr>
      <t xml:space="preserve">Alcaldia de Filandía: </t>
    </r>
    <r>
      <rPr>
        <sz val="10"/>
        <color theme="1"/>
        <rFont val="Calibri"/>
        <family val="2"/>
        <scheme val="minor"/>
      </rPr>
      <t xml:space="preserve">Contratación por prestación de servicios de la Trabajadora Social, Luz Angela Castro Arias, quien desde el 05de abril y hasta el 04 de junio se desempeñará como Enlace Municipal de Juventud de la Alcaldía de Filandia
</t>
    </r>
    <r>
      <rPr>
        <b/>
        <sz val="10"/>
        <color theme="1"/>
        <rFont val="Calibri"/>
        <family val="2"/>
        <scheme val="minor"/>
      </rPr>
      <t xml:space="preserve">Alcaldía de Armenia: </t>
    </r>
    <r>
      <rPr>
        <sz val="10"/>
        <color theme="1"/>
        <rFont val="Calibri"/>
        <family val="2"/>
        <scheme val="minor"/>
      </rPr>
      <t xml:space="preserve">Se tiene previsto la creación de la oficina de secretaria de familia para el año 2021 donde se tiene establecido la oficina correspondiente de juventudes.
</t>
    </r>
    <r>
      <rPr>
        <b/>
        <sz val="10"/>
        <color theme="1"/>
        <rFont val="Calibri"/>
        <family val="2"/>
        <scheme val="minor"/>
      </rPr>
      <t xml:space="preserve">Secretaría de familia:  </t>
    </r>
    <r>
      <rPr>
        <sz val="10"/>
        <color theme="1"/>
        <rFont val="Calibri"/>
        <family val="2"/>
        <scheme val="minor"/>
      </rPr>
      <t>La administracion departamental cuenta con una jefatura de juventud  adscrita a la Secretaría de Familia con capacidad técnica y financiera</t>
    </r>
  </si>
  <si>
    <r>
      <t xml:space="preserve">
</t>
    </r>
    <r>
      <rPr>
        <b/>
        <sz val="10"/>
        <color theme="1"/>
        <rFont val="Calibri"/>
        <family val="2"/>
        <scheme val="minor"/>
      </rPr>
      <t xml:space="preserve">Alcaldía de Circasia: </t>
    </r>
    <r>
      <rPr>
        <sz val="10"/>
        <color theme="1"/>
        <rFont val="Calibri"/>
        <family val="2"/>
        <scheme val="minor"/>
      </rPr>
      <t xml:space="preserve">La Política Pública de Juventud Municipal está articulada con la Política de Juventud Departamental, en este trimestre se encunetra en actulaizacion la PPJM Circasia cuales se contextulizo los planes de accion de cada poblacion, se esta realizando el acto administrativo para dar valides a estas reunion segun la ley 1622 del 2013
</t>
    </r>
    <r>
      <rPr>
        <b/>
        <sz val="10"/>
        <color theme="1"/>
        <rFont val="Calibri"/>
        <family val="2"/>
        <scheme val="minor"/>
      </rPr>
      <t xml:space="preserve">Alcaldía de Salento: </t>
    </r>
    <r>
      <rPr>
        <sz val="10"/>
        <color theme="1"/>
        <rFont val="Calibri"/>
        <family val="2"/>
        <scheme val="minor"/>
      </rPr>
      <t xml:space="preserve">La Política Pública de Juventud Municipal está articulada con la Política de Juventud Departamental y con la normativa juvenil vigente.
</t>
    </r>
    <r>
      <rPr>
        <b/>
        <sz val="10"/>
        <color theme="1"/>
        <rFont val="Calibri"/>
        <family val="2"/>
        <scheme val="minor"/>
      </rPr>
      <t xml:space="preserve">Alcaldía de La Tebaida: </t>
    </r>
    <r>
      <rPr>
        <sz val="10"/>
        <color theme="1"/>
        <rFont val="Calibri"/>
        <family val="2"/>
        <scheme val="minor"/>
      </rPr>
      <t xml:space="preserve">En este trimestre se realizo un consejo de politica social y un consejo extraordinario en los cuales se contextulizo los planes de accion de cada poblacion, la matriz de seguimiento de la politica publica de juventud.  
</t>
    </r>
    <r>
      <rPr>
        <b/>
        <sz val="10"/>
        <color theme="1"/>
        <rFont val="Calibri"/>
        <family val="2"/>
        <scheme val="minor"/>
      </rPr>
      <t xml:space="preserve">Alcaldía de Armenia: </t>
    </r>
    <r>
      <rPr>
        <sz val="10"/>
        <color theme="1"/>
        <rFont val="Calibri"/>
        <family val="2"/>
        <scheme val="minor"/>
      </rPr>
      <t xml:space="preserve">DEBIDO A LA CONTIGENCIA PRESENTADA POR EL COVID-19 NO SE PUDO PROGRAMAR REUNION DE CONSEJO DE POLITICA SOCIAL.
</t>
    </r>
    <r>
      <rPr>
        <b/>
        <sz val="10"/>
        <color theme="1"/>
        <rFont val="Calibri"/>
        <family val="2"/>
        <scheme val="minor"/>
      </rPr>
      <t>Alcaldía Montenegro:</t>
    </r>
    <r>
      <rPr>
        <sz val="10"/>
        <color theme="1"/>
        <rFont val="Calibri"/>
        <family val="2"/>
        <scheme val="minor"/>
      </rPr>
      <t xml:space="preserve"> se esta trabajando en la formulacion de la PPJ la cual se esta armonizando con la PPJ departamental 
</t>
    </r>
    <r>
      <rPr>
        <b/>
        <sz val="10"/>
        <color theme="1"/>
        <rFont val="Calibri"/>
        <family val="2"/>
        <scheme val="minor"/>
      </rPr>
      <t>Alcaldía Calarcá:</t>
    </r>
    <r>
      <rPr>
        <sz val="10"/>
        <color theme="1"/>
        <rFont val="Calibri"/>
        <family val="2"/>
        <scheme val="minor"/>
      </rPr>
      <t xml:space="preserve"> El municipio de calarca cuenta a la fecha con un plan de trabajo de politica publica en el cual se rrelacioan los ejes estrategicos,lineas de accion y las acciones y dependencias desde sus programas que daran cumplimiento a la politica de juventud,al plan de accion se le realiza seguimiento trimestral o cuatrimeestral y cuenta con acciones articuladas y claras segun lo consolidado en la politica publica.
</t>
    </r>
    <r>
      <rPr>
        <b/>
        <sz val="10"/>
        <color theme="1"/>
        <rFont val="Calibri"/>
        <family val="2"/>
        <scheme val="minor"/>
      </rPr>
      <t xml:space="preserve">Secretaría de familia: </t>
    </r>
    <r>
      <rPr>
        <sz val="10"/>
        <color theme="1"/>
        <rFont val="Calibri"/>
        <family val="2"/>
        <scheme val="minor"/>
      </rPr>
      <t>la politica pública de juventud departamental se encuentra armonizada.</t>
    </r>
  </si>
  <si>
    <r>
      <rPr>
        <b/>
        <sz val="10"/>
        <color theme="1"/>
        <rFont val="Calibri"/>
        <family val="2"/>
        <scheme val="minor"/>
      </rPr>
      <t xml:space="preserve">Alcaldía dePijao: </t>
    </r>
    <r>
      <rPr>
        <sz val="10"/>
        <color theme="1"/>
        <rFont val="Calibri"/>
        <family val="2"/>
        <scheme val="minor"/>
      </rPr>
      <t xml:space="preserve">El Municipio de pijao, cuenta con plataforma de Juventudes. Por reacctivarla, en la conformacion del 2020 se vincularon 16 jovenes
</t>
    </r>
    <r>
      <rPr>
        <b/>
        <sz val="10"/>
        <color theme="1"/>
        <rFont val="Calibri"/>
        <family val="2"/>
        <scheme val="minor"/>
      </rPr>
      <t xml:space="preserve">Alcaldía de Montenegro: </t>
    </r>
    <r>
      <rPr>
        <sz val="10"/>
        <color theme="1"/>
        <rFont val="Calibri"/>
        <family val="2"/>
        <scheme val="minor"/>
      </rPr>
      <t xml:space="preserve">en el municipio hay plataforma activa de juventud, se le da cumplimiento a la realizacion de las asambleas juveniles, se tiene CCYD reglamentada resolucion 1548 del 2018
</t>
    </r>
    <r>
      <rPr>
        <b/>
        <sz val="10"/>
        <color theme="1"/>
        <rFont val="Calibri"/>
        <family val="2"/>
        <scheme val="minor"/>
      </rPr>
      <t xml:space="preserve">Alcaldia de Circasia: </t>
    </r>
    <r>
      <rPr>
        <sz val="10"/>
        <color theme="1"/>
        <rFont val="Calibri"/>
        <family val="2"/>
        <scheme val="minor"/>
      </rPr>
      <t xml:space="preserve">Esta en proceso el acto administrativo para las  Comisión de Concertación y Decisión Juvenil que canaliza la gestión municipal en materia de juventud, platafroma de juvnentud y asambleas
</t>
    </r>
    <r>
      <rPr>
        <b/>
        <sz val="10"/>
        <color theme="1"/>
        <rFont val="Calibri"/>
        <family val="2"/>
        <scheme val="minor"/>
      </rPr>
      <t xml:space="preserve">Alcaldía La Tebaida: </t>
    </r>
    <r>
      <rPr>
        <sz val="10"/>
        <color theme="1"/>
        <rFont val="Calibri"/>
        <family val="2"/>
        <scheme val="minor"/>
      </rPr>
      <t xml:space="preserve">se encuentra en funcionamiento la platafortma municpal de juventud. Se activo el comité de concertacion y decisión Y se aprobó la agenda de juventud. 
</t>
    </r>
    <r>
      <rPr>
        <b/>
        <sz val="10"/>
        <color theme="1"/>
        <rFont val="Calibri"/>
        <family val="2"/>
        <scheme val="minor"/>
      </rPr>
      <t xml:space="preserve">Alcaldía de Armenia: </t>
    </r>
    <r>
      <rPr>
        <sz val="10"/>
        <color theme="1"/>
        <rFont val="Calibri"/>
        <family val="2"/>
        <scheme val="minor"/>
      </rPr>
      <t xml:space="preserve">Se realizó el decreto para la creación del sistema municipal de juventudes. fase de creación el decreto está en proceso de revisión desde el área jurídica de la secretaria de desarrollo social y posteriormente a la aprobación y firma del alcalde.
</t>
    </r>
    <r>
      <rPr>
        <b/>
        <sz val="10"/>
        <color theme="1"/>
        <rFont val="Calibri"/>
        <family val="2"/>
        <scheme val="minor"/>
      </rPr>
      <t xml:space="preserve">Alcaldía de Filandia: </t>
    </r>
    <r>
      <rPr>
        <sz val="10"/>
        <color theme="1"/>
        <rFont val="Calibri"/>
        <family val="2"/>
        <scheme val="minor"/>
      </rPr>
      <t xml:space="preserve">Este subsistema aún no se ha conformado pero se han contactado líderes juveniles para su conformación
</t>
    </r>
    <r>
      <rPr>
        <b/>
        <sz val="10"/>
        <color theme="1"/>
        <rFont val="Calibri"/>
        <family val="2"/>
        <scheme val="minor"/>
      </rPr>
      <t xml:space="preserve">Secretaría defamilia: </t>
    </r>
    <r>
      <rPr>
        <sz val="10"/>
        <color theme="1"/>
        <rFont val="Calibri"/>
        <family val="2"/>
        <scheme val="minor"/>
      </rPr>
      <t xml:space="preserve"> Se cuenta con un sistema departamental de juventud conformado y operando.</t>
    </r>
  </si>
  <si>
    <r>
      <rPr>
        <b/>
        <sz val="10"/>
        <color theme="1"/>
        <rFont val="Calibri"/>
        <family val="2"/>
        <scheme val="minor"/>
      </rPr>
      <t xml:space="preserve">SecretarÍa de Turismo Industria y Comercio: </t>
    </r>
    <r>
      <rPr>
        <sz val="10"/>
        <color theme="1"/>
        <rFont val="Calibri"/>
        <family val="2"/>
        <scheme val="minor"/>
      </rPr>
      <t xml:space="preserve">No Reportó información.
</t>
    </r>
    <r>
      <rPr>
        <b/>
        <sz val="10"/>
        <color theme="1"/>
        <rFont val="Calibri"/>
        <family val="2"/>
        <scheme val="minor"/>
      </rPr>
      <t xml:space="preserve">
Secretaría TICS:</t>
    </r>
    <r>
      <rPr>
        <sz val="10"/>
        <color theme="1"/>
        <rFont val="Calibri"/>
        <family val="2"/>
        <scheme val="minor"/>
      </rPr>
      <t xml:space="preserve"> No Reportó información.
</t>
    </r>
    <r>
      <rPr>
        <b/>
        <sz val="10"/>
        <color theme="1"/>
        <rFont val="Calibri"/>
        <family val="2"/>
        <scheme val="minor"/>
      </rPr>
      <t xml:space="preserve">SENA:  </t>
    </r>
    <r>
      <rPr>
        <sz val="10"/>
        <color theme="1"/>
        <rFont val="Calibri"/>
        <family val="2"/>
        <scheme val="minor"/>
      </rPr>
      <t>No Reportó información.</t>
    </r>
  </si>
  <si>
    <r>
      <rPr>
        <b/>
        <sz val="10"/>
        <color theme="1"/>
        <rFont val="Calibri"/>
        <family val="2"/>
        <scheme val="minor"/>
      </rPr>
      <t>Sena:</t>
    </r>
    <r>
      <rPr>
        <sz val="10"/>
        <color theme="1"/>
        <rFont val="Calibri"/>
        <family val="2"/>
        <scheme val="minor"/>
      </rPr>
      <t xml:space="preserve"> El programa SENNOVA tiene por objetivo fortalecer las competencias orientadas al uso, aplicación y desarrollo de tecnologías avanzadas a través de semilleros de investigación, grupos de investigación aplicada y desarrollo tecnológico por redes de conocimiento, en los centros de formación. Pero no determina un rango de edad entre los aprendices.
</t>
    </r>
    <r>
      <rPr>
        <b/>
        <sz val="10"/>
        <color theme="1"/>
        <rFont val="Calibri"/>
        <family val="2"/>
        <scheme val="minor"/>
      </rPr>
      <t xml:space="preserve">Cámara de Comercio de Armenia y del Quindío: </t>
    </r>
    <r>
      <rPr>
        <sz val="10"/>
        <color theme="1"/>
        <rFont val="Calibri"/>
        <family val="2"/>
        <scheme val="minor"/>
      </rPr>
      <t xml:space="preserve"> La Cámara a través del área de INNOVACION (Proyecto EMPRÉNDELO) y a través de su CENTRO DE TRANSFORMACIÓN DIGITAL, ha cumplido con el presente indicador, ya que son programas encaminados a la atención e impulso de emprendedores (nuevas ideas de empresas y proyectos) con herramientas tecnológicas y de medición de impacto en la comunidad en general; no obstante esto, esta especialmente dirigido a emprendedores jóvenes (18 a 35 años) etc. 
</t>
    </r>
    <r>
      <rPr>
        <b/>
        <sz val="10"/>
        <color theme="1"/>
        <rFont val="Calibri"/>
        <family val="2"/>
        <scheme val="minor"/>
      </rPr>
      <t xml:space="preserve">Secretaría de Agricultura </t>
    </r>
    <r>
      <rPr>
        <sz val="10"/>
        <color theme="1"/>
        <rFont val="Calibri"/>
        <family val="2"/>
        <scheme val="minor"/>
      </rPr>
      <t xml:space="preserve">: No Reportó información.
</t>
    </r>
    <r>
      <rPr>
        <b/>
        <sz val="10"/>
        <color theme="1"/>
        <rFont val="Calibri"/>
        <family val="2"/>
        <scheme val="minor"/>
      </rPr>
      <t>SecretarÍa de Turismo Industria y Comercio:</t>
    </r>
    <r>
      <rPr>
        <sz val="10"/>
        <color theme="1"/>
        <rFont val="Calibri"/>
        <family val="2"/>
        <scheme val="minor"/>
      </rPr>
      <t xml:space="preserve"> No Reportó información.</t>
    </r>
  </si>
  <si>
    <r>
      <rPr>
        <b/>
        <sz val="10"/>
        <color theme="1"/>
        <rFont val="Calibri"/>
        <family val="2"/>
        <scheme val="minor"/>
      </rPr>
      <t>Sena</t>
    </r>
    <r>
      <rPr>
        <sz val="10"/>
        <color theme="1"/>
        <rFont val="Calibri"/>
        <family val="2"/>
        <scheme val="minor"/>
      </rPr>
      <t xml:space="preserve">: En este punto el Sena apoya y asesora proyectos productivos a la Población Vulnerable, por medio del programa de atención a POBLACIÓN VICTIMA Y VULNERABLE; con un gestor de emprendimiento el cual atendió 9 proyectos, en diferentes áreas económicas.
</t>
    </r>
    <r>
      <rPr>
        <b/>
        <sz val="10"/>
        <color theme="1"/>
        <rFont val="Calibri"/>
        <family val="2"/>
        <scheme val="minor"/>
      </rPr>
      <t>SecretarÍa de Turismo Industria y Comercio</t>
    </r>
    <r>
      <rPr>
        <sz val="10"/>
        <color theme="1"/>
        <rFont val="Calibri"/>
        <family val="2"/>
        <scheme val="minor"/>
      </rPr>
      <t xml:space="preserve">: No Reportó información.
</t>
    </r>
    <r>
      <rPr>
        <b/>
        <sz val="10"/>
        <color theme="1"/>
        <rFont val="Calibri"/>
        <family val="2"/>
        <scheme val="minor"/>
      </rPr>
      <t xml:space="preserve">Secretaría TICS: </t>
    </r>
    <r>
      <rPr>
        <sz val="10"/>
        <color theme="1"/>
        <rFont val="Calibri"/>
        <family val="2"/>
        <scheme val="minor"/>
      </rPr>
      <t xml:space="preserve">No Reportó información.
</t>
    </r>
    <r>
      <rPr>
        <b/>
        <sz val="10"/>
        <color theme="1"/>
        <rFont val="Calibri"/>
        <family val="2"/>
        <scheme val="minor"/>
      </rPr>
      <t>Secretaría de Agricultura :</t>
    </r>
    <r>
      <rPr>
        <sz val="10"/>
        <color theme="1"/>
        <rFont val="Calibri"/>
        <family val="2"/>
        <scheme val="minor"/>
      </rPr>
      <t xml:space="preserve"> No Reportó información.
</t>
    </r>
    <r>
      <rPr>
        <b/>
        <sz val="10"/>
        <color theme="1"/>
        <rFont val="Calibri"/>
        <family val="2"/>
        <scheme val="minor"/>
      </rPr>
      <t>Secretaría Familia</t>
    </r>
    <r>
      <rPr>
        <sz val="10"/>
        <color theme="1"/>
        <rFont val="Calibri"/>
        <family val="2"/>
        <scheme val="minor"/>
      </rPr>
      <t>:  No Reportó información.</t>
    </r>
  </si>
  <si>
    <r>
      <t xml:space="preserve">
</t>
    </r>
    <r>
      <rPr>
        <b/>
        <sz val="10"/>
        <color theme="1"/>
        <rFont val="Calibri"/>
        <family val="2"/>
        <scheme val="minor"/>
      </rPr>
      <t xml:space="preserve">Secretaría de Agricultura </t>
    </r>
    <r>
      <rPr>
        <sz val="10"/>
        <color theme="1"/>
        <rFont val="Calibri"/>
        <family val="2"/>
        <scheme val="minor"/>
      </rPr>
      <t xml:space="preserve">: No Reportó información.
</t>
    </r>
    <r>
      <rPr>
        <b/>
        <sz val="10"/>
        <color theme="1"/>
        <rFont val="Calibri"/>
        <family val="2"/>
        <scheme val="minor"/>
      </rPr>
      <t xml:space="preserve">Secretaría Cultura:  </t>
    </r>
    <r>
      <rPr>
        <sz val="10"/>
        <color theme="1"/>
        <rFont val="Calibri"/>
        <family val="2"/>
        <scheme val="minor"/>
      </rPr>
      <t>No Reportó información.</t>
    </r>
  </si>
  <si>
    <t>Responsables: Cajas de compensación familiar/Mintrabajo/Alcaldías</t>
  </si>
  <si>
    <r>
      <rPr>
        <b/>
        <sz val="10"/>
        <color theme="1"/>
        <rFont val="Calibri"/>
        <family val="2"/>
        <scheme val="minor"/>
      </rPr>
      <t xml:space="preserve">
SecretarÍa de Turismo Industria y Comercio:</t>
    </r>
    <r>
      <rPr>
        <sz val="10"/>
        <color theme="1"/>
        <rFont val="Calibri"/>
        <family val="2"/>
        <scheme val="minor"/>
      </rPr>
      <t xml:space="preserve"> No Reportó información.</t>
    </r>
    <r>
      <rPr>
        <b/>
        <sz val="10"/>
        <color theme="1"/>
        <rFont val="Calibri"/>
        <family val="2"/>
        <scheme val="minor"/>
      </rPr>
      <t xml:space="preserve">
Cámara de Comercio de Armenia y del Quindío</t>
    </r>
    <r>
      <rPr>
        <sz val="10"/>
        <color theme="1"/>
        <rFont val="Calibri"/>
        <family val="2"/>
        <scheme val="minor"/>
      </rPr>
      <t xml:space="preserve">:  Este indicador no es pertinente predicarlo respecto de empresas públicas, ya que el beneficio de la ley 1780/2016 está encaminado a atender emprendimientos de índole PRIVADO. Para lo corrido del año 2020, se han registrado 1.741 empresas con beneficio de ley 1780, es decir, empresas que pagaron $0 pesos por concepto de matrícula de empresario en el registro mercantil. 
</t>
    </r>
  </si>
  <si>
    <t xml:space="preserve">
$1.980.000</t>
  </si>
  <si>
    <r>
      <t xml:space="preserve">OBSERVACIONES: </t>
    </r>
    <r>
      <rPr>
        <sz val="10"/>
        <color theme="1"/>
        <rFont val="Calibri"/>
        <family val="2"/>
        <scheme val="minor"/>
      </rPr>
      <t>El ultimo reportepor el SIRITI es del 2019 según lo reportado en el DANE, por lo cual la información reportada no corresponde al año 2020</t>
    </r>
  </si>
  <si>
    <t>Meta 31/ Responsable: Secretaría de Agricultura
Responsable: SENA</t>
  </si>
  <si>
    <r>
      <t xml:space="preserve">
</t>
    </r>
    <r>
      <rPr>
        <b/>
        <sz val="10"/>
        <color theme="1"/>
        <rFont val="Calibri"/>
        <family val="2"/>
        <scheme val="minor"/>
      </rPr>
      <t xml:space="preserve">Sena: </t>
    </r>
    <r>
      <rPr>
        <sz val="10"/>
        <color theme="1"/>
        <rFont val="Calibri"/>
        <family val="2"/>
        <scheme val="minor"/>
      </rPr>
      <t xml:space="preserve">Esta actividad es atendida por el programa SENA EMPRENDE RURAL el cual busca promover la generación de ingresos para la población rural a través de acciones de formación para el desarrollo y fortalecimiento de capacidades y competencias, así como el acompañamiento de las iniciativas productivas rurales orientadas al autoconsumo, los negocios rurales y/o la creación empresa. Por la misión del programa no distingue en personas atendidas por edad.
</t>
    </r>
    <r>
      <rPr>
        <b/>
        <sz val="10"/>
        <color theme="1"/>
        <rFont val="Calibri"/>
        <family val="2"/>
        <scheme val="minor"/>
      </rPr>
      <t xml:space="preserve">Secretaría de Agricultura:  </t>
    </r>
    <r>
      <rPr>
        <sz val="10"/>
        <color theme="1"/>
        <rFont val="Calibri"/>
        <family val="2"/>
        <scheme val="minor"/>
      </rPr>
      <t xml:space="preserve">Las acciones desarrolladas durante el segundo semestre fueron: 
- Legalización de 6 alianzas productivas para el departamento del Quindío con el MADR. 
- Convocatoria para la segunda fase de Alianzas para la vida, con enfoque preferencial hacia jóvenes (51%), máximo 40 personas. - en la convocatoria se presentaron 10 Jovenes los cuales fueron beneficiados.
- Socialización, vinculación y capacitación de los beneficiarios del proyecto de regalías denominado "Fortalecimiento de un centro de innovación y productividad agraria, adecuando una infraestructura tecnológica para sofisticar el negocio cafetero del Quindío", brindando el servicio de apoyo para la transferencia de conocimiento y tecnología.
Se han  realizado gestiones pertinentes para la estructuración de los perfiles de alianzas productivas del ministerio de agricultura y en el acompañamiento técnico y diagnóstico a las organizaciones rurales apoyadas por la secretaría de Agricultura, con recursos de la meta formalización de empresas, meta que se armonizó en el nuevo plan de desarrollo, lográndose la estructuración de 17 perfiles de alianzas productivas en 8 municipios del departamento, y de los cuales 7 fueron priorizados por la dependencia para aprobación del MADR, con la gestión de aproximadamente 3.729.864.656 millones de pesos y la posibilidad de beneficiar a 263 productores rurales a través de acuerdos comerciales y de agricultura por contrato. 
Actualmente se está perfeccionando con el Ministerio de Agricultura el convenio interinstitucional de Alianzas productivas, para proceder a desembolsos de los recursos.
</t>
    </r>
    <r>
      <rPr>
        <b/>
        <sz val="10"/>
        <color theme="1"/>
        <rFont val="Calibri"/>
        <family val="2"/>
        <scheme val="minor"/>
      </rPr>
      <t xml:space="preserve">
Secretaría Familia:</t>
    </r>
    <r>
      <rPr>
        <sz val="10"/>
        <color theme="1"/>
        <rFont val="Calibri"/>
        <family val="2"/>
        <scheme val="minor"/>
      </rPr>
      <t xml:space="preserve">  No Reportó información.
</t>
    </r>
    <r>
      <rPr>
        <b/>
        <sz val="10"/>
        <color theme="1"/>
        <rFont val="Calibri"/>
        <family val="2"/>
        <scheme val="minor"/>
      </rPr>
      <t xml:space="preserve">Observación: </t>
    </r>
    <r>
      <rPr>
        <sz val="10"/>
        <color theme="1"/>
        <rFont val="Calibri"/>
        <family val="2"/>
        <scheme val="minor"/>
      </rPr>
      <t>Se reporta información de la secretaría de agricultura por que en la propuesta de ajuste se le asigno competencia en el indicador asociado.</t>
    </r>
  </si>
  <si>
    <r>
      <rPr>
        <b/>
        <sz val="10"/>
        <color theme="1"/>
        <rFont val="Calibri"/>
        <family val="2"/>
        <scheme val="minor"/>
      </rPr>
      <t>Sena:</t>
    </r>
    <r>
      <rPr>
        <sz val="10"/>
        <color theme="1"/>
        <rFont val="Calibri"/>
        <family val="2"/>
        <scheme val="minor"/>
      </rPr>
      <t xml:space="preserve"> EL FONDO EMPRENDER esta constituido como una cuenta independiente y especial adscrita al Servicio Nacional de Aprendizaje, SENA, y cuyo objeto exclusivo será financiar iniciativas empresariales, en este sentido se están apoyando 36 proyectos juveniles para la consecución de recursos.
</t>
    </r>
    <r>
      <rPr>
        <b/>
        <sz val="10"/>
        <color theme="1"/>
        <rFont val="Calibri"/>
        <family val="2"/>
        <scheme val="minor"/>
      </rPr>
      <t xml:space="preserve">Secretaría de Agricultura: </t>
    </r>
    <r>
      <rPr>
        <sz val="10"/>
        <color theme="1"/>
        <rFont val="Calibri"/>
        <family val="2"/>
        <scheme val="minor"/>
      </rPr>
      <t xml:space="preserve">No Reportó información
</t>
    </r>
    <r>
      <rPr>
        <b/>
        <sz val="10"/>
        <color theme="1"/>
        <rFont val="Calibri"/>
        <family val="2"/>
        <scheme val="minor"/>
      </rPr>
      <t>SecretarÍa de Turismo Industria y Comercio</t>
    </r>
    <r>
      <rPr>
        <sz val="10"/>
        <color theme="1"/>
        <rFont val="Calibri"/>
        <family val="2"/>
        <scheme val="minor"/>
      </rPr>
      <t>: No Reportó información.</t>
    </r>
  </si>
  <si>
    <r>
      <t>SecretarÍa de Turismo Industria y Comercio:</t>
    </r>
    <r>
      <rPr>
        <sz val="10"/>
        <color theme="1"/>
        <rFont val="Calibri"/>
        <family val="2"/>
        <scheme val="minor"/>
      </rPr>
      <t xml:space="preserve"> No Reportó información.</t>
    </r>
  </si>
  <si>
    <r>
      <rPr>
        <b/>
        <sz val="10"/>
        <color theme="1"/>
        <rFont val="Calibri"/>
        <family val="2"/>
        <scheme val="minor"/>
      </rPr>
      <t>Observación:</t>
    </r>
    <r>
      <rPr>
        <sz val="10"/>
        <color theme="1"/>
        <rFont val="Calibri"/>
        <family val="2"/>
        <scheme val="minor"/>
      </rPr>
      <t xml:space="preserve"> Se verifica en la pagina de la gobernación en la secretaria de educacion departamental y se encuentran datos corresondientes al 2019.
</t>
    </r>
    <r>
      <rPr>
        <b/>
        <sz val="10"/>
        <color theme="1"/>
        <rFont val="Calibri"/>
        <family val="2"/>
        <scheme val="minor"/>
      </rPr>
      <t>SecretarÍa de Educación:</t>
    </r>
    <r>
      <rPr>
        <sz val="10"/>
        <color theme="1"/>
        <rFont val="Calibri"/>
        <family val="2"/>
        <scheme val="minor"/>
      </rPr>
      <t xml:space="preserve"> No Reportó información.</t>
    </r>
  </si>
  <si>
    <r>
      <rPr>
        <b/>
        <sz val="10"/>
        <color theme="1"/>
        <rFont val="Calibri"/>
        <family val="2"/>
        <scheme val="minor"/>
      </rPr>
      <t>Observación:</t>
    </r>
    <r>
      <rPr>
        <sz val="10"/>
        <color theme="1"/>
        <rFont val="Calibri"/>
        <family val="2"/>
        <scheme val="minor"/>
      </rPr>
      <t xml:space="preserve"> Se verifica en la pagina de la gobernación en la secretaria de educacion departamental y se encuentran datos corresondientes al 2019.
</t>
    </r>
    <r>
      <rPr>
        <b/>
        <sz val="10"/>
        <color theme="1"/>
        <rFont val="Calibri"/>
        <family val="2"/>
        <scheme val="minor"/>
      </rPr>
      <t>SecretarÍa de Educación</t>
    </r>
    <r>
      <rPr>
        <sz val="10"/>
        <color theme="1"/>
        <rFont val="Calibri"/>
        <family val="2"/>
        <scheme val="minor"/>
      </rPr>
      <t>: No Reportó información.</t>
    </r>
  </si>
  <si>
    <r>
      <t>Observación:</t>
    </r>
    <r>
      <rPr>
        <sz val="10"/>
        <color theme="1"/>
        <rFont val="Calibri"/>
        <family val="2"/>
        <scheme val="minor"/>
      </rPr>
      <t xml:space="preserve"> Se verifica en la pagina del ministerio de educación nacional 8 metodologías flexibles.</t>
    </r>
    <r>
      <rPr>
        <b/>
        <sz val="10"/>
        <color theme="1"/>
        <rFont val="Calibri"/>
        <family val="2"/>
        <scheme val="minor"/>
      </rPr>
      <t xml:space="preserve">
SecretarÍa de Educación:</t>
    </r>
    <r>
      <rPr>
        <sz val="10"/>
        <color theme="1"/>
        <rFont val="Calibri"/>
        <family val="2"/>
        <scheme val="minor"/>
      </rPr>
      <t xml:space="preserve"> No Reportó información.</t>
    </r>
  </si>
  <si>
    <t xml:space="preserve">
183,000,000</t>
  </si>
  <si>
    <t xml:space="preserve"> 183,000,000</t>
  </si>
  <si>
    <r>
      <t xml:space="preserve">Universidad San Buenaventura: </t>
    </r>
    <r>
      <rPr>
        <sz val="10"/>
        <color theme="1"/>
        <rFont val="Calibri"/>
        <family val="2"/>
        <scheme val="minor"/>
      </rPr>
      <t>Programa de Becas y/o descuentos: La Universidad de San Buenaventura cuenta con el programa de Becas y/o descuentos donde se otorga descuentos a estudiantes de bachillerato que cumplen con los requisitos exigidos por la Resolución de Rectoria 129 del 6 de dicembre de 2019. Además se cuenta con convenios especifico de descuento para algunas instituciones. 
La Universidad de San Buenaventura cuenta con el programa de Plan de acompañamiento y orientación estudiantil, En el programa de acompañamiento y éxito estudiantil liderado por Bienestar Institucional, se llevan a cabo diferentes prácticas en conjunto con las facultades y unidades académicas, para detectar y hacer seguimiento a los estudiantes que, por condiciones económicas, académicas, físicas, y/o psicológicas, entre otras, pueden afectar de manera negativa su proceso de aprendizaje y por ende la culminación exitosa de su carrera profesional.</t>
    </r>
    <r>
      <rPr>
        <b/>
        <sz val="10"/>
        <color theme="1"/>
        <rFont val="Calibri"/>
        <family val="2"/>
        <scheme val="minor"/>
      </rPr>
      <t xml:space="preserve">
EAM: </t>
    </r>
    <r>
      <rPr>
        <sz val="10"/>
        <color theme="1"/>
        <rFont val="Calibri"/>
        <family val="2"/>
        <scheme val="minor"/>
      </rPr>
      <t>Para el cuato trimestre del 2020 la EAM otorgo incentivo del 30% en la matricula para estudiantes nuevos.</t>
    </r>
  </si>
  <si>
    <r>
      <rPr>
        <b/>
        <sz val="10"/>
        <color theme="1"/>
        <rFont val="Calibri"/>
        <family val="2"/>
        <scheme val="minor"/>
      </rPr>
      <t>Observación</t>
    </r>
    <r>
      <rPr>
        <sz val="10"/>
        <color theme="1"/>
        <rFont val="Calibri"/>
        <family val="2"/>
        <scheme val="minor"/>
      </rPr>
      <t xml:space="preserve">: Se verifica en la pagina del ministerio de educación y se encuentran datos correspondeintes al año 2009 los cuales estan por encima de la meta establecida.
</t>
    </r>
    <r>
      <rPr>
        <b/>
        <sz val="10"/>
        <color theme="1"/>
        <rFont val="Calibri"/>
        <family val="2"/>
        <scheme val="minor"/>
      </rPr>
      <t xml:space="preserve">SecretarÍa de Educación: </t>
    </r>
    <r>
      <rPr>
        <sz val="10"/>
        <color theme="1"/>
        <rFont val="Calibri"/>
        <family val="2"/>
        <scheme val="minor"/>
      </rPr>
      <t xml:space="preserve">No Reportó información.
</t>
    </r>
  </si>
  <si>
    <t>6,700,000</t>
  </si>
  <si>
    <r>
      <rPr>
        <b/>
        <sz val="10"/>
        <color theme="1"/>
        <rFont val="Calibri"/>
        <family val="2"/>
        <scheme val="minor"/>
      </rPr>
      <t>EAM:</t>
    </r>
    <r>
      <rPr>
        <sz val="10"/>
        <color theme="1"/>
        <rFont val="Calibri"/>
        <family val="2"/>
        <scheme val="minor"/>
      </rPr>
      <t xml:space="preserve"> 6.3%
</t>
    </r>
    <r>
      <rPr>
        <b/>
        <sz val="10"/>
        <color theme="1"/>
        <rFont val="Calibri"/>
        <family val="2"/>
        <scheme val="minor"/>
      </rPr>
      <t>SecretarÍa de Educación:</t>
    </r>
    <r>
      <rPr>
        <sz val="10"/>
        <color theme="1"/>
        <rFont val="Calibri"/>
        <family val="2"/>
        <scheme val="minor"/>
      </rPr>
      <t xml:space="preserve"> No Reportó información.
</t>
    </r>
    <r>
      <rPr>
        <b/>
        <sz val="10"/>
        <color theme="1"/>
        <rFont val="Calibri"/>
        <family val="2"/>
        <scheme val="minor"/>
      </rPr>
      <t xml:space="preserve">Observación: </t>
    </r>
    <r>
      <rPr>
        <sz val="10"/>
        <color theme="1"/>
        <rFont val="Calibri"/>
        <family val="2"/>
        <scheme val="minor"/>
      </rPr>
      <t>Se verifica en la pagina SNIES y se encuentran datos corresondientes al 2019.</t>
    </r>
  </si>
  <si>
    <r>
      <rPr>
        <b/>
        <sz val="10"/>
        <color theme="1"/>
        <rFont val="Calibri"/>
        <family val="2"/>
        <scheme val="minor"/>
      </rPr>
      <t>SecretarÍa de Educación:</t>
    </r>
    <r>
      <rPr>
        <sz val="10"/>
        <color theme="1"/>
        <rFont val="Calibri"/>
        <family val="2"/>
        <scheme val="minor"/>
      </rPr>
      <t xml:space="preserve"> No Reportó información.
</t>
    </r>
    <r>
      <rPr>
        <b/>
        <sz val="10"/>
        <color theme="1"/>
        <rFont val="Calibri"/>
        <family val="2"/>
        <scheme val="minor"/>
      </rPr>
      <t>Escuela de Administración y mercadotecnia del Quindío:</t>
    </r>
    <r>
      <rPr>
        <sz val="10"/>
        <color theme="1"/>
        <rFont val="Calibri"/>
        <family val="2"/>
        <scheme val="minor"/>
      </rPr>
      <t xml:space="preserve"> Actulmente no se cuenta con la informacion solicitada ya que no se maneja directamente 
</t>
    </r>
    <r>
      <rPr>
        <b/>
        <sz val="10"/>
        <color theme="1"/>
        <rFont val="Calibri"/>
        <family val="2"/>
        <scheme val="minor"/>
      </rPr>
      <t xml:space="preserve">Observación: </t>
    </r>
    <r>
      <rPr>
        <sz val="10"/>
        <color theme="1"/>
        <rFont val="Calibri"/>
        <family val="2"/>
        <scheme val="minor"/>
      </rPr>
      <t>Se verifica en la pagina SNIES y se encuentran datos corresondientes al 2019.</t>
    </r>
  </si>
  <si>
    <t xml:space="preserve">
$900,000</t>
  </si>
  <si>
    <r>
      <rPr>
        <b/>
        <sz val="10"/>
        <color theme="1"/>
        <rFont val="Calibri"/>
        <family val="2"/>
        <scheme val="minor"/>
      </rPr>
      <t>Alcaldía de Cordoba:</t>
    </r>
    <r>
      <rPr>
        <sz val="10"/>
        <color theme="1"/>
        <rFont val="Calibri"/>
        <family val="2"/>
        <scheme val="minor"/>
      </rPr>
      <t xml:space="preserve"> El hospital san roque e.s.e. cuenta con el programa de Control del Joven y la Planificación Familiar para la etención a los jovenes del municipio; la Administracion municipal cuenta con los servicios amigables para los jovenes encuanto al Plan de Accion de Salud, equipo interdisciplinario de la comisaria de familia y por parte del E.S.E hospital san roque con el programa de Control del Joven y la Planificación Familiar.
</t>
    </r>
    <r>
      <rPr>
        <b/>
        <sz val="10"/>
        <color theme="1"/>
        <rFont val="Calibri"/>
        <family val="2"/>
        <scheme val="minor"/>
      </rPr>
      <t>Alcaldía de Salento:</t>
    </r>
    <r>
      <rPr>
        <sz val="10"/>
        <color theme="1"/>
        <rFont val="Calibri"/>
        <family val="2"/>
        <scheme val="minor"/>
      </rPr>
      <t xml:space="preserve"> El Hospital San Vicente de Paul continua con el proceso de atención a los jóvenes, a través del programa de Servicios Amigables.</t>
    </r>
    <r>
      <rPr>
        <b/>
        <sz val="10"/>
        <color theme="1"/>
        <rFont val="Calibri"/>
        <family val="2"/>
        <scheme val="minor"/>
      </rPr>
      <t xml:space="preserve">
Alcaldía de Quimbaya: </t>
    </r>
    <r>
      <rPr>
        <sz val="10"/>
        <color theme="1"/>
        <rFont val="Calibri"/>
        <family val="2"/>
        <scheme val="minor"/>
      </rPr>
      <t>HOSPITAL SAGRADO CORAZON DE JESUS: Proceso atencion  a los jovenesdel programa programa de adulto joven, y planificaccion familiar A traves del programa Servicios Amigables</t>
    </r>
    <r>
      <rPr>
        <b/>
        <sz val="10"/>
        <color theme="1"/>
        <rFont val="Calibri"/>
        <family val="2"/>
        <scheme val="minor"/>
      </rPr>
      <t xml:space="preserve">
</t>
    </r>
    <r>
      <rPr>
        <sz val="10"/>
        <color theme="1"/>
        <rFont val="Calibri"/>
        <family val="2"/>
        <scheme val="minor"/>
      </rPr>
      <t xml:space="preserve">
</t>
    </r>
    <r>
      <rPr>
        <b/>
        <sz val="10"/>
        <color theme="1"/>
        <rFont val="Calibri"/>
        <family val="2"/>
        <scheme val="minor"/>
      </rPr>
      <t>Alcaldia de Montenegro:</t>
    </r>
    <r>
      <rPr>
        <sz val="10"/>
        <color theme="1"/>
        <rFont val="Calibri"/>
        <family val="2"/>
        <scheme val="minor"/>
      </rPr>
      <t xml:space="preserve"> no se presta este servicio en el municipio 
</t>
    </r>
    <r>
      <rPr>
        <b/>
        <sz val="10"/>
        <color theme="1"/>
        <rFont val="Calibri"/>
        <family val="2"/>
        <scheme val="minor"/>
      </rPr>
      <t>Alcaldía Calarcá:</t>
    </r>
    <r>
      <rPr>
        <sz val="10"/>
        <color theme="1"/>
        <rFont val="Calibri"/>
        <family val="2"/>
        <scheme val="minor"/>
      </rPr>
      <t xml:space="preserve">  Los servicios amigables se implementan desde el hospital la misericordia como oficina,desde la secretaria de salud se ejercen acciones y estrategias para la salud sexual y reproductiva,se cuenta a la fecha con estrategia de prevencion del embrazo. Se promueve el aseguramiento en salud de la población juvenil en el Municipio mediante 2 jornadas al año de afiliación a salud y sensibilización de deberes y derechos en salud. ademas de li anterior, se han realizado 2751 planificacion familiar; 8 examen de mama-578 toma de citologias-257 valoracion por psioclogia y 492 de valoracion integral ( el valor depende la contratcion por la EAPB ).
</t>
    </r>
    <r>
      <rPr>
        <b/>
        <sz val="10"/>
        <color theme="1"/>
        <rFont val="Calibri"/>
        <family val="2"/>
        <scheme val="minor"/>
      </rPr>
      <t xml:space="preserve">Secretaría de Salud: </t>
    </r>
    <r>
      <rPr>
        <sz val="10"/>
        <color theme="1"/>
        <rFont val="Calibri"/>
        <family val="2"/>
        <scheme val="minor"/>
      </rPr>
      <t>No reportó información.</t>
    </r>
  </si>
  <si>
    <r>
      <rPr>
        <b/>
        <sz val="10"/>
        <color theme="1"/>
        <rFont val="Calibri"/>
        <family val="2"/>
        <scheme val="minor"/>
      </rPr>
      <t xml:space="preserve">Alcaldíade Salento: </t>
    </r>
    <r>
      <rPr>
        <sz val="10"/>
        <color theme="1"/>
        <rFont val="Calibri"/>
        <family val="2"/>
        <scheme val="minor"/>
      </rPr>
      <t xml:space="preserve">SEGUIMIENTO A LAS POLÍTICAS DE SALUD DADAS POR EL CONSEJO MUNICIPAL DE POLÍTICA SOCIAL (COMPOS)
</t>
    </r>
    <r>
      <rPr>
        <b/>
        <sz val="10"/>
        <color theme="1"/>
        <rFont val="Calibri"/>
        <family val="2"/>
        <scheme val="minor"/>
      </rPr>
      <t>Alcaldia de Montenegro:</t>
    </r>
    <r>
      <rPr>
        <sz val="10"/>
        <color theme="1"/>
        <rFont val="Calibri"/>
        <family val="2"/>
        <scheme val="minor"/>
      </rPr>
      <t xml:space="preserve"> No se cuenta con la informacion solicitada
</t>
    </r>
    <r>
      <rPr>
        <b/>
        <sz val="10"/>
        <color theme="1"/>
        <rFont val="Calibri"/>
        <family val="2"/>
        <scheme val="minor"/>
      </rPr>
      <t xml:space="preserve">
Alcaldia de Pijao: </t>
    </r>
    <r>
      <rPr>
        <sz val="10"/>
        <color theme="1"/>
        <rFont val="Calibri"/>
        <family val="2"/>
        <scheme val="minor"/>
      </rPr>
      <t xml:space="preserve">Los representantes de los jovenes son miembros activos y participan en el comitè de salud municipal.
</t>
    </r>
    <r>
      <rPr>
        <b/>
        <sz val="10"/>
        <color theme="1"/>
        <rFont val="Calibri"/>
        <family val="2"/>
        <scheme val="minor"/>
      </rPr>
      <t>Alcaldía Calarcá</t>
    </r>
    <r>
      <rPr>
        <sz val="10"/>
        <color theme="1"/>
        <rFont val="Calibri"/>
        <family val="2"/>
        <scheme val="minor"/>
      </rPr>
      <t xml:space="preserve">: SE REFIERE AL ASEGURAMIENTO EN REGIMEN SUBSIDIADO D ELOS JÓVENES QUE CUMPLEN CON LOS REQUISITOS.  Cada tres meses se deben realizar encuestas a los jóvenes en calidad del servicio, cabe mencionar que de forma mensual se realizan 150 encuentras en la poblacion calarqueña.
</t>
    </r>
    <r>
      <rPr>
        <b/>
        <sz val="10"/>
        <color theme="1"/>
        <rFont val="Calibri"/>
        <family val="2"/>
        <scheme val="minor"/>
      </rPr>
      <t>Observación:</t>
    </r>
    <r>
      <rPr>
        <sz val="10"/>
        <color theme="1"/>
        <rFont val="Calibri"/>
        <family val="2"/>
        <scheme val="minor"/>
      </rPr>
      <t xml:space="preserve"> No se cuenta con información para verificar el cumplimineto de indcador, por consiguiente se conservaigual a reporte de trimestres anteriores.
</t>
    </r>
    <r>
      <rPr>
        <b/>
        <sz val="10"/>
        <color theme="1"/>
        <rFont val="Calibri"/>
        <family val="2"/>
        <scheme val="minor"/>
      </rPr>
      <t>Secretaría de Salud:</t>
    </r>
    <r>
      <rPr>
        <sz val="10"/>
        <color theme="1"/>
        <rFont val="Calibri"/>
        <family val="2"/>
        <scheme val="minor"/>
      </rPr>
      <t xml:space="preserve"> No reportó información</t>
    </r>
  </si>
  <si>
    <t xml:space="preserve">
$5.400.000</t>
  </si>
  <si>
    <r>
      <rPr>
        <sz val="10"/>
        <color theme="1"/>
        <rFont val="Calibri"/>
        <family val="2"/>
        <scheme val="minor"/>
      </rPr>
      <t>$37.600.000</t>
    </r>
    <r>
      <rPr>
        <b/>
        <sz val="10"/>
        <color theme="1"/>
        <rFont val="Calibri"/>
        <family val="2"/>
        <scheme val="minor"/>
      </rPr>
      <t xml:space="preserve">
$ </t>
    </r>
    <r>
      <rPr>
        <sz val="10"/>
        <color theme="1"/>
        <rFont val="Calibri"/>
        <family val="2"/>
        <scheme val="minor"/>
      </rPr>
      <t>5.400.000</t>
    </r>
  </si>
  <si>
    <r>
      <rPr>
        <b/>
        <sz val="10"/>
        <color theme="1"/>
        <rFont val="Calibri"/>
        <family val="2"/>
        <scheme val="minor"/>
      </rPr>
      <t xml:space="preserve">Alcaldía Filandia: </t>
    </r>
    <r>
      <rPr>
        <sz val="10"/>
        <color theme="1"/>
        <rFont val="Calibri"/>
        <family val="2"/>
        <scheme val="minor"/>
      </rPr>
      <t xml:space="preserve">Fomento del uso del Centro de Integración Ciudadana, en el cual un instructor de deportes realiza una clase de actividad física dirigida musicalizada
</t>
    </r>
    <r>
      <rPr>
        <b/>
        <sz val="10"/>
        <color theme="1"/>
        <rFont val="Calibri"/>
        <family val="2"/>
        <scheme val="minor"/>
      </rPr>
      <t>Alcaldía Circasia:</t>
    </r>
    <r>
      <rPr>
        <sz val="10"/>
        <color theme="1"/>
        <rFont val="Calibri"/>
        <family val="2"/>
        <scheme val="minor"/>
      </rPr>
      <t xml:space="preserve"> En la secretaria de gobierno y desarrollo social,con el coordinador de deportes se atendieron 900 mil jovenes, durante estos dos ultimos tres meses en los siguientes progremas: Voleibol-fulbol, torneo de voleibol, ciclimo y fulbol de salon garantizando los espacios de recreacion para la juventud.
</t>
    </r>
    <r>
      <rPr>
        <b/>
        <sz val="10"/>
        <color theme="1"/>
        <rFont val="Calibri"/>
        <family val="2"/>
        <scheme val="minor"/>
      </rPr>
      <t>Alcaldía Salento</t>
    </r>
    <r>
      <rPr>
        <sz val="10"/>
        <color theme="1"/>
        <rFont val="Calibri"/>
        <family val="2"/>
        <scheme val="minor"/>
      </rPr>
      <t xml:space="preserve">: La Subsecretaría de Cultura y Deporte reactivo las Escuelas de Formación Culturales y Deportivas a partir del mes de Septiembre de 2020.
</t>
    </r>
    <r>
      <rPr>
        <b/>
        <sz val="10"/>
        <color theme="1"/>
        <rFont val="Calibri"/>
        <family val="2"/>
        <scheme val="minor"/>
      </rPr>
      <t xml:space="preserve">Alcaldia de cordoba: </t>
    </r>
    <r>
      <rPr>
        <sz val="10"/>
        <color theme="1"/>
        <rFont val="Calibri"/>
        <family val="2"/>
        <scheme val="minor"/>
      </rPr>
      <t xml:space="preserve">se encuentran participando 20 jovenes en la modalidad de patinaje y 110 que participan en actividades fisicas como son: rumba terapia, musculación, aerobicos, gimnasia aeróbica,  participaron 33 jovenes en la modalidad de actividad fisica; ejecutando ejercicios aerobicos, musculacion, cardio y funcionales y 276 jovenes participaron en la modalidad de patinaje, ciclismo, natacion, microfutbol y futbol. 
</t>
    </r>
    <r>
      <rPr>
        <b/>
        <sz val="10"/>
        <color theme="1"/>
        <rFont val="Calibri"/>
        <family val="2"/>
        <scheme val="minor"/>
      </rPr>
      <t>Alcaldía de La Tebaida:</t>
    </r>
    <r>
      <rPr>
        <sz val="10"/>
        <color theme="1"/>
        <rFont val="Calibri"/>
        <family val="2"/>
        <scheme val="minor"/>
      </rPr>
      <t xml:space="preserve"> Para habitos de vida saludable se realizo talleres de motivacion en 5 barrios del municipio, tambiense realizaron presentaciones en danza y musica en el tetro y recorrido en los barrios. 
</t>
    </r>
    <r>
      <rPr>
        <b/>
        <sz val="10"/>
        <color theme="1"/>
        <rFont val="Calibri"/>
        <family val="2"/>
        <scheme val="minor"/>
      </rPr>
      <t>Alcaldía Quimbaya:</t>
    </r>
    <r>
      <rPr>
        <sz val="10"/>
        <color theme="1"/>
        <rFont val="Calibri"/>
        <family val="2"/>
        <scheme val="minor"/>
      </rPr>
      <t xml:space="preserve"> MONITORIA DE ACTIVIDAD FISICA PARA JOVENES Y MONITORIA DE RECREACION PARA JOVENES.
</t>
    </r>
    <r>
      <rPr>
        <b/>
        <sz val="10"/>
        <color theme="1"/>
        <rFont val="Calibri"/>
        <family val="2"/>
        <scheme val="minor"/>
      </rPr>
      <t>Alcaldía Montenegro</t>
    </r>
    <r>
      <rPr>
        <sz val="10"/>
        <color theme="1"/>
        <rFont val="Calibri"/>
        <family val="2"/>
        <scheme val="minor"/>
      </rPr>
      <t xml:space="preserve">: Se implementa por temas de pandemia la estrategia cuadras activas fortaleciendo los hevs.
</t>
    </r>
    <r>
      <rPr>
        <b/>
        <sz val="10"/>
        <color theme="1"/>
        <rFont val="Calibri"/>
        <family val="2"/>
        <scheme val="minor"/>
      </rPr>
      <t>Alcaldia de Pijao:</t>
    </r>
    <r>
      <rPr>
        <sz val="10"/>
        <color theme="1"/>
        <rFont val="Calibri"/>
        <family val="2"/>
        <scheme val="minor"/>
      </rPr>
      <t xml:space="preserve">  Implementacion y desarrollo del proyecto HABITOS Y ESTILOS DE VIDA SALUDABLES PARA EL BUEN USO DEL TIEMPO LIBRE con el acompañamiento del equipo interdisciplinario, con escuelas o clases de formacion, en Patinaje, futbol, basquetball, natacion.
</t>
    </r>
    <r>
      <rPr>
        <b/>
        <sz val="10"/>
        <color theme="1"/>
        <rFont val="Calibri"/>
        <family val="2"/>
        <scheme val="minor"/>
      </rPr>
      <t>Alcaldía Calarcá:</t>
    </r>
    <r>
      <rPr>
        <sz val="10"/>
        <color theme="1"/>
        <rFont val="Calibri"/>
        <family val="2"/>
        <scheme val="minor"/>
      </rPr>
      <t xml:space="preserve">  lo anterior se realiza mediante el fortalecimiento de escuelas de formación deportiva para la ocupación del tiempo libre de los y las jóvenes entre 14 hasta 28 años en el Municipio donde se ejetuto un presupuesto de 4.498.957, se beneficiaron 20 personas en actividades como futbol, patinaje, 1 ciclismo, 1 balonsesto, 1 futbol de salon, 1 atletismo, hay que dejar la salvedad que estas escuelas son para niños entrev 5 y 18 años. 
</t>
    </r>
    <r>
      <rPr>
        <b/>
        <sz val="10"/>
        <color theme="1"/>
        <rFont val="Calibri"/>
        <family val="2"/>
        <scheme val="minor"/>
      </rPr>
      <t xml:space="preserve">
Indeprotes</t>
    </r>
    <r>
      <rPr>
        <sz val="10"/>
        <color theme="1"/>
        <rFont val="Calibri"/>
        <family val="2"/>
        <scheme val="minor"/>
      </rPr>
      <t xml:space="preserve">: No Reportó información información asociada.
</t>
    </r>
  </si>
  <si>
    <r>
      <rPr>
        <b/>
        <sz val="10"/>
        <color theme="1"/>
        <rFont val="Calibri"/>
        <family val="2"/>
        <scheme val="minor"/>
      </rPr>
      <t xml:space="preserve">Observación: </t>
    </r>
    <r>
      <rPr>
        <sz val="10"/>
        <color theme="1"/>
        <rFont val="Calibri"/>
        <family val="2"/>
        <scheme val="minor"/>
      </rPr>
      <t xml:space="preserve">La secretaría de Salud no reporto información referente a este indicador.
</t>
    </r>
    <r>
      <rPr>
        <b/>
        <sz val="10"/>
        <color theme="1"/>
        <rFont val="Calibri"/>
        <family val="2"/>
        <scheme val="minor"/>
      </rPr>
      <t>Secretaría de Salud:</t>
    </r>
    <r>
      <rPr>
        <sz val="10"/>
        <color theme="1"/>
        <rFont val="Calibri"/>
        <family val="2"/>
        <scheme val="minor"/>
      </rPr>
      <t xml:space="preserve"> No reportó información.
</t>
    </r>
    <r>
      <rPr>
        <b/>
        <sz val="10"/>
        <color theme="1"/>
        <rFont val="Calibri"/>
        <family val="2"/>
        <scheme val="minor"/>
      </rPr>
      <t xml:space="preserve">Secretaría deFamilia: </t>
    </r>
    <r>
      <rPr>
        <sz val="10"/>
        <color theme="1"/>
        <rFont val="Calibri"/>
        <family val="2"/>
        <scheme val="minor"/>
      </rPr>
      <t>No reportó información.</t>
    </r>
  </si>
  <si>
    <r>
      <rPr>
        <b/>
        <sz val="10"/>
        <color theme="1"/>
        <rFont val="Calibri"/>
        <family val="2"/>
        <scheme val="minor"/>
      </rPr>
      <t xml:space="preserve">Observación: </t>
    </r>
    <r>
      <rPr>
        <sz val="10"/>
        <color theme="1"/>
        <rFont val="Calibri"/>
        <family val="2"/>
        <scheme val="minor"/>
      </rPr>
      <t xml:space="preserve">La secretaría de Salud no reporto información referente a este indicador.
</t>
    </r>
    <r>
      <rPr>
        <b/>
        <sz val="10"/>
        <color theme="1"/>
        <rFont val="Calibri"/>
        <family val="2"/>
        <scheme val="minor"/>
      </rPr>
      <t>Secretaría de Salud:</t>
    </r>
    <r>
      <rPr>
        <sz val="10"/>
        <color theme="1"/>
        <rFont val="Calibri"/>
        <family val="2"/>
        <scheme val="minor"/>
      </rPr>
      <t xml:space="preserve"> No reportó información.</t>
    </r>
  </si>
  <si>
    <r>
      <t xml:space="preserve">
</t>
    </r>
    <r>
      <rPr>
        <b/>
        <sz val="10"/>
        <color theme="1"/>
        <rFont val="Calibri"/>
        <family val="2"/>
        <scheme val="minor"/>
      </rPr>
      <t xml:space="preserve">Secretaría del Interior: </t>
    </r>
    <r>
      <rPr>
        <sz val="10"/>
        <color theme="1"/>
        <rFont val="Calibri"/>
        <family val="2"/>
        <scheme val="minor"/>
      </rPr>
      <t xml:space="preserve">Se actualizó e implementó el Plan Integral de Seguridad y Convivencia Ciudadana (PISCC).
 </t>
    </r>
  </si>
  <si>
    <r>
      <rPr>
        <b/>
        <sz val="10"/>
        <color theme="1"/>
        <rFont val="Calibri"/>
        <family val="2"/>
        <scheme val="minor"/>
      </rPr>
      <t xml:space="preserve">Secretaría del Interior: </t>
    </r>
    <r>
      <rPr>
        <sz val="10"/>
        <color theme="1"/>
        <rFont val="Calibri"/>
        <family val="2"/>
        <scheme val="minor"/>
      </rPr>
      <t>Se brindó Asistencia a las Instituciones del orden municipal, como Inspecciones Municipales y comisarías de Familia (Operadores de Servicios de Justicia), en total fueron ocho (08) Municipios asistidos (Calarcá, Quimbaya, Filandia, Tebaida, Génova, Pijao, Córdoba y Buenavista).</t>
    </r>
  </si>
  <si>
    <r>
      <rPr>
        <b/>
        <sz val="10"/>
        <color theme="1"/>
        <rFont val="Calibri"/>
        <family val="2"/>
        <scheme val="minor"/>
      </rPr>
      <t>Secretaría del Interior:</t>
    </r>
    <r>
      <rPr>
        <sz val="10"/>
        <color theme="1"/>
        <rFont val="Calibri"/>
        <family val="2"/>
        <scheme val="minor"/>
      </rPr>
      <t xml:space="preserve">  Durante el periodo comprendido entre los meses de Octubre y Diciembre se brindó servicio de asistencia técnica para la implementación de los métodos de resolución de conflictos a diez (10)  instituciones educativas públicas de departamento, mediante el acompañamiento en  la actualización de los manuales de convivencia de las instituciones educativas  :  Colegio Hojas Anchas (Circasia), Jhon F Kennedy (Calarcá), Liseo Andino de la Santísima trinidad ( Filandia), Policarpa Salavarrieta (Quimbaya), Segundo Henao (Calarcá), María Goreti (Montenegro), Colegio Francisco Mirando (Filandia), Colegio Libre (Circasia), Instituto Génova (Génova), Ramon Mesa Londoño (Quimbaya)  
</t>
    </r>
    <r>
      <rPr>
        <b/>
        <sz val="10"/>
        <color theme="1"/>
        <rFont val="Calibri"/>
        <family val="2"/>
        <scheme val="minor"/>
      </rPr>
      <t>Observación</t>
    </r>
    <r>
      <rPr>
        <sz val="10"/>
        <color theme="1"/>
        <rFont val="Calibri"/>
        <family val="2"/>
        <scheme val="minor"/>
      </rPr>
      <t>: en la pagina de Forensis de medicina legal se reportan datos solamente hasta el 2019. SE PONE EL INDICADOR EN CERO POR QUE LA TASA ESTA POR ENCIMA DE LA MEDIA NACIONAL</t>
    </r>
  </si>
  <si>
    <r>
      <t xml:space="preserve">
</t>
    </r>
    <r>
      <rPr>
        <b/>
        <sz val="10"/>
        <color theme="1"/>
        <rFont val="Calibri"/>
        <family val="2"/>
        <scheme val="minor"/>
      </rPr>
      <t xml:space="preserve">Instituto departamental de Tránsito Quindío "IDTQ":  </t>
    </r>
    <r>
      <rPr>
        <sz val="10"/>
        <color theme="1"/>
        <rFont val="Calibri"/>
        <family val="2"/>
        <scheme val="minor"/>
      </rPr>
      <t xml:space="preserve">Se formuló un programa de señalización y demarcación en la vigencia 2020 basado en un diagnostico y aforo de la demarcacion y señalizacion en el departamento en las vias de jurisdiccion del IDTQ con el ánimo de reducir la siniestralidad de tránsito y las muertes de jóvenes por esta causa. Asi mismo se adelantaron acciones de demarcación, control del transito y educación vial.
</t>
    </r>
    <r>
      <rPr>
        <b/>
        <sz val="10"/>
        <color theme="1"/>
        <rFont val="Calibri"/>
        <family val="2"/>
        <scheme val="minor"/>
      </rPr>
      <t>Secretaria de Transito  y Transporte de Armenia "SETTA"</t>
    </r>
    <r>
      <rPr>
        <sz val="10"/>
        <color theme="1"/>
        <rFont val="Calibri"/>
        <family val="2"/>
        <scheme val="minor"/>
      </rPr>
      <t xml:space="preserve">:  en contribucion a  disminuir la accidentalidad en el Municipio de Armenia ha desarrollado las siguientes actividadesentre el 1 de enero y el 31 de Diciembre de 2020  (se anexa informe detallado) . En su programa de cultura vial y Educacion Ciudadana ha realizado 245 intervenciones que han beneficiado a 45063 personas (peatones, motociclistas, conductores de vehiculos,, ciclistas, estudiantes y pasajeros) del Municipio de Armenia..  En su programa de Operativos realizados por los Agentes de Transito se han realizado 477 operativos relacionados con documentos, piques ilegales, transporte informal, estacionamiento, servicio publico escolar y fuera de horario. En cuanto al programa de señalizacion se han señalizado  aproximadamente 1610 metros cuadrados  en : Barrio Galan, calle 50 desde la glorieta puerto espejo hasta la fachada, Sector Parque Valencia, Sector Fudanza, entre otros.  En todas las actividades se recomiendan las medidas de bioseguridad que se deben tener en cuenta para  contrarestar la expansion del COVID-19.   Cabe anotar que estas mismas actividades contribuyen  a la Potica Publica Publica Juventud de Armenia "jovenes construyendo ciudad 2014-2023" del Municipio de Armenia.
</t>
    </r>
    <r>
      <rPr>
        <b/>
        <sz val="10"/>
        <color theme="1"/>
        <rFont val="Calibri"/>
        <family val="2"/>
        <scheme val="minor"/>
      </rPr>
      <t xml:space="preserve">
Observación: </t>
    </r>
    <r>
      <rPr>
        <sz val="10"/>
        <color theme="1"/>
        <rFont val="Calibri"/>
        <family val="2"/>
        <scheme val="minor"/>
      </rPr>
      <t xml:space="preserve">en la pagina de Forensis de medicina legal se reportan datos solamente hasta el 2019. SE PONE EL INDICADOR EN CERO POR QUE LA TASA ESTA POR ENCIMA DE LA MEDIA NACIONAL
</t>
    </r>
  </si>
  <si>
    <r>
      <rPr>
        <b/>
        <sz val="10"/>
        <color theme="1"/>
        <rFont val="Calibri"/>
        <family val="2"/>
        <scheme val="minor"/>
      </rPr>
      <t>Secretaría del Interior:</t>
    </r>
    <r>
      <rPr>
        <sz val="10"/>
        <color theme="1"/>
        <rFont val="Calibri"/>
        <family val="2"/>
        <scheme val="minor"/>
      </rPr>
      <t xml:space="preserve"> No Reportó información.
Observación: en la pagina de Forensis de medicina legal se reportan datos solamente hasta el 2019. SE PONE EL INDICADOR EN CERO POR QUE LA TASA ESTA POR ENCIMA DE LA MEDIA NACIONAL</t>
    </r>
  </si>
  <si>
    <t>0 %</t>
  </si>
  <si>
    <r>
      <rPr>
        <b/>
        <sz val="10"/>
        <color theme="1"/>
        <rFont val="Calibri"/>
        <family val="2"/>
        <scheme val="minor"/>
      </rPr>
      <t xml:space="preserve">Observación: </t>
    </r>
    <r>
      <rPr>
        <sz val="10"/>
        <color theme="1"/>
        <rFont val="Calibri"/>
        <family val="2"/>
        <scheme val="minor"/>
      </rPr>
      <t xml:space="preserve">La secretaria de familia no reporto información al respecto, ademas la política HAZ PAZ ya no esta vigente.
</t>
    </r>
    <r>
      <rPr>
        <b/>
        <sz val="10"/>
        <color theme="1"/>
        <rFont val="Calibri"/>
        <family val="2"/>
        <scheme val="minor"/>
      </rPr>
      <t>Secretaría deFamilia:</t>
    </r>
    <r>
      <rPr>
        <sz val="10"/>
        <color theme="1"/>
        <rFont val="Calibri"/>
        <family val="2"/>
        <scheme val="minor"/>
      </rPr>
      <t xml:space="preserve"> No reportó información.</t>
    </r>
  </si>
  <si>
    <r>
      <rPr>
        <b/>
        <sz val="10"/>
        <color theme="1"/>
        <rFont val="Calibri"/>
        <family val="2"/>
        <scheme val="minor"/>
      </rPr>
      <t xml:space="preserve">Secretaría del Interior: </t>
    </r>
    <r>
      <rPr>
        <sz val="10"/>
        <color theme="1"/>
        <rFont val="Calibri"/>
        <family val="2"/>
        <scheme val="minor"/>
      </rPr>
      <t xml:space="preserve">No Reportó información.
</t>
    </r>
    <r>
      <rPr>
        <b/>
        <sz val="10"/>
        <color theme="1"/>
        <rFont val="Calibri"/>
        <family val="2"/>
        <scheme val="minor"/>
      </rPr>
      <t>Secretaría Familia:</t>
    </r>
    <r>
      <rPr>
        <sz val="10"/>
        <color theme="1"/>
        <rFont val="Calibri"/>
        <family val="2"/>
        <scheme val="minor"/>
      </rPr>
      <t xml:space="preserve"> No Reportó información.
</t>
    </r>
    <r>
      <rPr>
        <b/>
        <sz val="10"/>
        <color theme="1"/>
        <rFont val="Calibri"/>
        <family val="2"/>
        <scheme val="minor"/>
      </rPr>
      <t xml:space="preserve">Observación: </t>
    </r>
    <r>
      <rPr>
        <sz val="10"/>
        <color theme="1"/>
        <rFont val="Calibri"/>
        <family val="2"/>
        <scheme val="minor"/>
      </rPr>
      <t>Se verfica en Forensis que el indicador esta por debajo de la media nacional, por tanto el indicador se cumple.</t>
    </r>
  </si>
  <si>
    <r>
      <rPr>
        <b/>
        <sz val="10"/>
        <color theme="1"/>
        <rFont val="Calibri"/>
        <family val="2"/>
        <scheme val="minor"/>
      </rPr>
      <t xml:space="preserve">Secretaría de Salud: </t>
    </r>
    <r>
      <rPr>
        <sz val="10"/>
        <color theme="1"/>
        <rFont val="Calibri"/>
        <family val="2"/>
        <scheme val="minor"/>
      </rPr>
      <t xml:space="preserve">No Reportó información.
</t>
    </r>
    <r>
      <rPr>
        <b/>
        <sz val="10"/>
        <color theme="1"/>
        <rFont val="Calibri"/>
        <family val="2"/>
        <scheme val="minor"/>
      </rPr>
      <t>Secretaría Familia</t>
    </r>
    <r>
      <rPr>
        <sz val="10"/>
        <color theme="1"/>
        <rFont val="Calibri"/>
        <family val="2"/>
        <scheme val="minor"/>
      </rPr>
      <t xml:space="preserve">: No Reportó información.
</t>
    </r>
    <r>
      <rPr>
        <b/>
        <sz val="10"/>
        <color theme="1"/>
        <rFont val="Calibri"/>
        <family val="2"/>
        <scheme val="minor"/>
      </rPr>
      <t>Observación:</t>
    </r>
    <r>
      <rPr>
        <sz val="10"/>
        <color theme="1"/>
        <rFont val="Calibri"/>
        <family val="2"/>
        <scheme val="minor"/>
      </rPr>
      <t xml:space="preserve"> La secretaría de educación no entrego el reporte correspondiente al segundo semestre de 2020</t>
    </r>
  </si>
  <si>
    <r>
      <rPr>
        <b/>
        <sz val="10"/>
        <color theme="1"/>
        <rFont val="Calibri"/>
        <family val="2"/>
        <scheme val="minor"/>
      </rPr>
      <t>Observación:</t>
    </r>
    <r>
      <rPr>
        <sz val="10"/>
        <color theme="1"/>
        <rFont val="Calibri"/>
        <family val="2"/>
        <scheme val="minor"/>
      </rPr>
      <t xml:space="preserve"> Según el observatorio de Drogas los ultimos datos corresponden al año 2013 y el quindio se situa por encima de la media nacional.
</t>
    </r>
    <r>
      <rPr>
        <b/>
        <sz val="10"/>
        <color theme="1"/>
        <rFont val="Calibri"/>
        <family val="2"/>
        <scheme val="minor"/>
      </rPr>
      <t xml:space="preserve">
Secretaría del Familia:</t>
    </r>
    <r>
      <rPr>
        <sz val="10"/>
        <color theme="1"/>
        <rFont val="Calibri"/>
        <family val="2"/>
        <scheme val="minor"/>
      </rPr>
      <t xml:space="preserve"> No Reportó información.
</t>
    </r>
    <r>
      <rPr>
        <b/>
        <sz val="10"/>
        <color theme="1"/>
        <rFont val="Calibri"/>
        <family val="2"/>
        <scheme val="minor"/>
      </rPr>
      <t>Secretaría Familia:</t>
    </r>
    <r>
      <rPr>
        <sz val="10"/>
        <color theme="1"/>
        <rFont val="Calibri"/>
        <family val="2"/>
        <scheme val="minor"/>
      </rPr>
      <t xml:space="preserve"> No Reportó información.</t>
    </r>
  </si>
  <si>
    <r>
      <t xml:space="preserve">Secretaría de Salud: </t>
    </r>
    <r>
      <rPr>
        <sz val="10"/>
        <color theme="1"/>
        <rFont val="Calibri"/>
        <family val="2"/>
        <scheme val="minor"/>
      </rPr>
      <t>No Reportó información.</t>
    </r>
    <r>
      <rPr>
        <b/>
        <sz val="10"/>
        <color theme="1"/>
        <rFont val="Calibri"/>
        <family val="2"/>
        <scheme val="minor"/>
      </rPr>
      <t xml:space="preserve">
Secretaría Familia: </t>
    </r>
    <r>
      <rPr>
        <sz val="10"/>
        <color theme="1"/>
        <rFont val="Calibri"/>
        <family val="2"/>
        <scheme val="minor"/>
      </rPr>
      <t>No Reportó información.</t>
    </r>
    <r>
      <rPr>
        <b/>
        <sz val="10"/>
        <color theme="1"/>
        <rFont val="Calibri"/>
        <family val="2"/>
        <scheme val="minor"/>
      </rPr>
      <t xml:space="preserve">
Observación: </t>
    </r>
    <r>
      <rPr>
        <sz val="10"/>
        <color theme="1"/>
        <rFont val="Calibri"/>
        <family val="2"/>
        <scheme val="minor"/>
      </rPr>
      <t>Se verifica en la plataforma JUACO los datos correspondientes al año 2017 y se observa al quindio por debajo de la media nacional.</t>
    </r>
  </si>
  <si>
    <t xml:space="preserve">
$17.050.000
 $4.000.000
$87.000.000
</t>
  </si>
  <si>
    <t xml:space="preserve">
 $10.125.000
 $87.000.000</t>
  </si>
  <si>
    <r>
      <rPr>
        <b/>
        <sz val="10"/>
        <color theme="1"/>
        <rFont val="Calibri"/>
        <family val="2"/>
        <scheme val="minor"/>
      </rPr>
      <t xml:space="preserve">Alcaldía de La Tebaida: </t>
    </r>
    <r>
      <rPr>
        <sz val="10"/>
        <color theme="1"/>
        <rFont val="Calibri"/>
        <family val="2"/>
        <scheme val="minor"/>
      </rPr>
      <t xml:space="preserve">Teniendo en cuenta la emergencia sanitaria que se registró en todo el país por el COVID-19 no se realizaron para este trimestre encuentros deportivos teniendo en cuenta que no se puede realizar a conglomeraciones. 
</t>
    </r>
    <r>
      <rPr>
        <b/>
        <sz val="10"/>
        <color theme="1"/>
        <rFont val="Calibri"/>
        <family val="2"/>
        <scheme val="minor"/>
      </rPr>
      <t>Alcaldía Salento:</t>
    </r>
    <r>
      <rPr>
        <sz val="10"/>
        <color theme="1"/>
        <rFont val="Calibri"/>
        <family val="2"/>
        <scheme val="minor"/>
      </rPr>
      <t xml:space="preserve"> Están suspendidos por emergencia sanitaria COVID-19.
</t>
    </r>
    <r>
      <rPr>
        <b/>
        <sz val="10"/>
        <color theme="1"/>
        <rFont val="Calibri"/>
        <family val="2"/>
        <scheme val="minor"/>
      </rPr>
      <t>Alcaldia de Montenegro:</t>
    </r>
    <r>
      <rPr>
        <sz val="10"/>
        <color theme="1"/>
        <rFont val="Calibri"/>
        <family val="2"/>
        <scheme val="minor"/>
      </rPr>
      <t xml:space="preserve"> se han realizado campeonatos de futbol sala, baloncesto y patinaje 
</t>
    </r>
    <r>
      <rPr>
        <b/>
        <sz val="10"/>
        <color theme="1"/>
        <rFont val="Calibri"/>
        <family val="2"/>
        <scheme val="minor"/>
      </rPr>
      <t xml:space="preserve">
Alcaldía de Circasia:</t>
    </r>
    <r>
      <rPr>
        <sz val="10"/>
        <color theme="1"/>
        <rFont val="Calibri"/>
        <family val="2"/>
        <scheme val="minor"/>
      </rPr>
      <t xml:space="preserve"> En el momento en la administracion Municipal se encuentra en procesos de planificacion y armonizacion del plan de desarrollo 
</t>
    </r>
    <r>
      <rPr>
        <b/>
        <sz val="10"/>
        <color theme="1"/>
        <rFont val="Calibri"/>
        <family val="2"/>
        <scheme val="minor"/>
      </rPr>
      <t xml:space="preserve">
Alcaldía de Pijao: </t>
    </r>
    <r>
      <rPr>
        <sz val="10"/>
        <color theme="1"/>
        <rFont val="Calibri"/>
        <family val="2"/>
        <scheme val="minor"/>
      </rPr>
      <t xml:space="preserve">al momento por temas de cuidados y protocolos, no se tiene torneos, pero se programan según el tiempo (torneos)
</t>
    </r>
    <r>
      <rPr>
        <b/>
        <sz val="10"/>
        <color theme="1"/>
        <rFont val="Calibri"/>
        <family val="2"/>
        <scheme val="minor"/>
      </rPr>
      <t xml:space="preserve">
Alcaldía Filandia: </t>
    </r>
    <r>
      <rPr>
        <sz val="10"/>
        <color theme="1"/>
        <rFont val="Calibri"/>
        <family val="2"/>
        <scheme val="minor"/>
      </rPr>
      <t xml:space="preserve">Realización de torneos deportivos que iniciaron en el mes de marzo pero que, debido a la emergencia sanitaria, debieron ser postergados
</t>
    </r>
    <r>
      <rPr>
        <b/>
        <sz val="10"/>
        <color theme="1"/>
        <rFont val="Calibri"/>
        <family val="2"/>
        <scheme val="minor"/>
      </rPr>
      <t xml:space="preserve">Alcaldía Quimbaya: </t>
    </r>
    <r>
      <rPr>
        <sz val="10"/>
        <color theme="1"/>
        <rFont val="Calibri"/>
        <family val="2"/>
        <scheme val="minor"/>
      </rPr>
      <t xml:space="preserve">MONITORIA DE ACTIVIDAD FISICA Y MONITORIA ATLETISMO AL IGUAL QUE EL ACOMPAÑAMIENTO DE LA GOBERNACION POR CAMPAMENTOS JUVENILES 
</t>
    </r>
    <r>
      <rPr>
        <b/>
        <sz val="10"/>
        <color theme="1"/>
        <rFont val="Calibri"/>
        <family val="2"/>
        <scheme val="minor"/>
      </rPr>
      <t xml:space="preserve">Alcaldía de Armenia: </t>
    </r>
    <r>
      <rPr>
        <sz val="10"/>
        <color theme="1"/>
        <rFont val="Calibri"/>
        <family val="2"/>
        <scheme val="minor"/>
      </rPr>
      <t xml:space="preserve">EN RELACION A LOS JUEGOS INTERCOLEGIADOS SE REALIZO DE MANERA VIRTUAL LA FASE MUNICIPAL TENIENDO UNA PARTICIPACION DE 387 JOVENES .  EN CUANTO A LOS JUEGOS COMUNALES COMUNITARIOS Y VEREDALES SE LLEVARON A CABO EN LOS BARRIOS DE LAS DIFERENTES COMUNAS DE ARMENIA EN CADA CASA DONDE LAS PERSONAS DESDE EL JARDIN PARTICIPARON DE LAS ACTIVIDADES RECREODEPORTIVAS Y DESDE EL MES DE NOVIEMBRE SE REALIZARON ADEMAS EN LAS PLACAS DEPORTIVAS, PRUEBAS DE HABILIDADES DEPORTIVAS EN BALONCESTO, VOLEIBOL Y FUTBOL CON LAS MEDIDAS DE BIOSEGURIDAD, SE  ATENDIERON 522 JOVENES.
SE OBSERVA QUE NO HAY UNA COHERENCIA ENTRE LAS COLUMNAS DENOMINADAS: ACCIONES RECOMENDADAS - INDICADORES Y LA META PUES NO CORRESPONDE EL UNO CON EL OTRO, SUGERIMOS DESDE EL IMDERA QUE SE DEBE REESTRUCTURAR ESTE PLAN DE ACCION PARA QUE SE DE LA CORRELACION ENTRE LAS COLUMNAS MENCIONADAS.  SIN EMBARGO LES ENVIAMOS LA INFORMACION QUE DESDE EL INSTITUTO TENEMOS PARA ESAS ACCIONES.
</t>
    </r>
    <r>
      <rPr>
        <b/>
        <sz val="10"/>
        <color theme="1"/>
        <rFont val="Calibri"/>
        <family val="2"/>
        <scheme val="minor"/>
      </rPr>
      <t xml:space="preserve">Alcaldia de Córdoba: </t>
    </r>
    <r>
      <rPr>
        <sz val="10"/>
        <color theme="1"/>
        <rFont val="Calibri"/>
        <family val="2"/>
        <scheme val="minor"/>
      </rPr>
      <t xml:space="preserve">no realizo eventos deportivos o festivales debido a la actual pandemia que sobrepasa el mundo y el pais el virus COVID-1;  La Administracion municipal no realizo torneos, olimpiadas y encuentros deportivos con los jovenes debido a la emergencia sanirtaria COVID-19. Mas sinembargo se realizaron entrenamientos y practica deportiva mediante las escuelas de formacion.  
</t>
    </r>
    <r>
      <rPr>
        <b/>
        <sz val="10"/>
        <color theme="1"/>
        <rFont val="Calibri"/>
        <family val="2"/>
        <scheme val="minor"/>
      </rPr>
      <t xml:space="preserve">
Indeportes: </t>
    </r>
    <r>
      <rPr>
        <sz val="10"/>
        <color theme="1"/>
        <rFont val="Calibri"/>
        <family val="2"/>
        <scheme val="minor"/>
      </rPr>
      <t>No Reportó información.</t>
    </r>
    <r>
      <rPr>
        <b/>
        <sz val="10"/>
        <color theme="1"/>
        <rFont val="Calibri"/>
        <family val="2"/>
        <scheme val="minor"/>
      </rPr>
      <t xml:space="preserve">
Observación:</t>
    </r>
    <r>
      <rPr>
        <sz val="10"/>
        <color theme="1"/>
        <rFont val="Calibri"/>
        <family val="2"/>
        <scheme val="minor"/>
      </rPr>
      <t xml:space="preserve"> No se puede determinar el porcentaje de avance del indicador por que no tiene meta para el 2020.</t>
    </r>
  </si>
  <si>
    <t xml:space="preserve">
 $80.000.000
</t>
  </si>
  <si>
    <t>$1,817,200</t>
  </si>
  <si>
    <r>
      <rPr>
        <b/>
        <sz val="10"/>
        <color theme="1"/>
        <rFont val="Calibri"/>
        <family val="2"/>
        <scheme val="minor"/>
      </rPr>
      <t>Alcaldía de La Tebaida:</t>
    </r>
    <r>
      <rPr>
        <sz val="10"/>
        <color theme="1"/>
        <rFont val="Calibri"/>
        <family val="2"/>
        <scheme val="minor"/>
      </rPr>
      <t xml:space="preserve"> Alcaldía de La Tebaida: se contó con dos representantes en  zonal Nacional en simultanea virtual de pesas en categoría pre juvenil. Se han apoyado 35 deportistas entre nadadores, tenis de campo, levantamiento de pesas, bádminton y hapquido. Con apoyo en infraestructura deportiva.
</t>
    </r>
    <r>
      <rPr>
        <b/>
        <sz val="10"/>
        <color theme="1"/>
        <rFont val="Calibri"/>
        <family val="2"/>
        <scheme val="minor"/>
      </rPr>
      <t>Alcaldía Salento:</t>
    </r>
    <r>
      <rPr>
        <sz val="10"/>
        <color theme="1"/>
        <rFont val="Calibri"/>
        <family val="2"/>
        <scheme val="minor"/>
      </rPr>
      <t xml:space="preserve"> Actividades realizadas por escuelas de formación deportiva del municipio.
</t>
    </r>
    <r>
      <rPr>
        <b/>
        <sz val="10"/>
        <color theme="1"/>
        <rFont val="Calibri"/>
        <family val="2"/>
        <scheme val="minor"/>
      </rPr>
      <t>Alcaldia de Córdoba:</t>
    </r>
    <r>
      <rPr>
        <sz val="10"/>
        <color theme="1"/>
        <rFont val="Calibri"/>
        <family val="2"/>
        <scheme val="minor"/>
      </rPr>
      <t xml:space="preserve"> por causa de la emergencia sanitaria COVID-19 se encuentran suspendidos y por lo tanto no hay participantes. 
</t>
    </r>
    <r>
      <rPr>
        <b/>
        <sz val="10"/>
        <color theme="1"/>
        <rFont val="Calibri"/>
        <family val="2"/>
        <scheme val="minor"/>
      </rPr>
      <t>Alcaldía de Circasia:</t>
    </r>
    <r>
      <rPr>
        <sz val="10"/>
        <color theme="1"/>
        <rFont val="Calibri"/>
        <family val="2"/>
        <scheme val="minor"/>
      </rPr>
      <t xml:space="preserve"> No aplica ya que en el municipio de encuentra en la elaboracion del plan deportivo para  la comunidad.
</t>
    </r>
    <r>
      <rPr>
        <b/>
        <sz val="10"/>
        <color theme="1"/>
        <rFont val="Calibri"/>
        <family val="2"/>
        <scheme val="minor"/>
      </rPr>
      <t>Alcaldía de Pijao:</t>
    </r>
    <r>
      <rPr>
        <sz val="10"/>
        <color theme="1"/>
        <rFont val="Calibri"/>
        <family val="2"/>
        <scheme val="minor"/>
      </rPr>
      <t xml:space="preserve"> 2 deportistas de alto rendimiento apoyados.
</t>
    </r>
    <r>
      <rPr>
        <b/>
        <sz val="10"/>
        <color theme="1"/>
        <rFont val="Calibri"/>
        <family val="2"/>
        <scheme val="minor"/>
      </rPr>
      <t xml:space="preserve">Alcaldía Filandia: </t>
    </r>
    <r>
      <rPr>
        <sz val="10"/>
        <color theme="1"/>
        <rFont val="Calibri"/>
        <family val="2"/>
        <scheme val="minor"/>
      </rPr>
      <t xml:space="preserve">Se ha promovido el apoyo con transporte a deportistas de alto renndimiento
</t>
    </r>
    <r>
      <rPr>
        <b/>
        <sz val="10"/>
        <color theme="1"/>
        <rFont val="Calibri"/>
        <family val="2"/>
        <scheme val="minor"/>
      </rPr>
      <t>Alcaldía Quimbaya:</t>
    </r>
    <r>
      <rPr>
        <sz val="10"/>
        <color theme="1"/>
        <rFont val="Calibri"/>
        <family val="2"/>
        <scheme val="minor"/>
      </rPr>
      <t xml:space="preserve"> ESTA EN PROCESO DE COMPRA DE IMPLEMENTOS PARA DEPORTISTAS DE ALTO RENDIMIENTO QUE SE ENCUENTRAN PREPARANDOSE PARA ENCUENTROS NACIONALES 2023
</t>
    </r>
    <r>
      <rPr>
        <b/>
        <sz val="10"/>
        <color theme="1"/>
        <rFont val="Calibri"/>
        <family val="2"/>
        <scheme val="minor"/>
      </rPr>
      <t>Alcaldía de Armenia:</t>
    </r>
    <r>
      <rPr>
        <sz val="10"/>
        <color theme="1"/>
        <rFont val="Calibri"/>
        <family val="2"/>
        <scheme val="minor"/>
      </rPr>
      <t xml:space="preserve"> EL IMDERA HA REALIZADO CONVENIOS DE ASOCIACION CON LA LIGA DE FUTBOL DEL QUINDIO, ACORD Y LA LIGA DE VOLEIBOL DEL QUINDIO PARA APOYOS ECONOMICOS, CON LO CUAL SE HAN BENEFICIADO APROXIMADAMENTEV90 DEPORTISTAS  DE ESTOS ENTES PARA LA PARTICIPACION EN DIFERENTES TORNEOS Y COMPETENCIAS Y EVENTOS.  Este año ha sido complejo el apoyo a los clubes deportivos por la situacion de salud que vive el pais, ya que el deporte competitivo aun no se ha reactivado completamente.
</t>
    </r>
    <r>
      <rPr>
        <b/>
        <sz val="10"/>
        <color theme="1"/>
        <rFont val="Calibri"/>
        <family val="2"/>
        <scheme val="minor"/>
      </rPr>
      <t>Indeportes:</t>
    </r>
    <r>
      <rPr>
        <sz val="10"/>
        <color theme="1"/>
        <rFont val="Calibri"/>
        <family val="2"/>
        <scheme val="minor"/>
      </rPr>
      <t xml:space="preserve"> No Reportó información.</t>
    </r>
  </si>
  <si>
    <r>
      <rPr>
        <b/>
        <sz val="10"/>
        <color theme="1"/>
        <rFont val="Calibri"/>
        <family val="2"/>
        <scheme val="minor"/>
      </rPr>
      <t xml:space="preserve">Indeportes: </t>
    </r>
    <r>
      <rPr>
        <sz val="10"/>
        <color theme="1"/>
        <rFont val="Calibri"/>
        <family val="2"/>
        <scheme val="minor"/>
      </rPr>
      <t>No Reportó información.</t>
    </r>
  </si>
  <si>
    <r>
      <rPr>
        <b/>
        <sz val="10"/>
        <color theme="1"/>
        <rFont val="Calibri"/>
        <family val="2"/>
        <scheme val="minor"/>
      </rPr>
      <t>Alcaldía de Circasia:</t>
    </r>
    <r>
      <rPr>
        <sz val="10"/>
        <color theme="1"/>
        <rFont val="Calibri"/>
        <family val="2"/>
        <scheme val="minor"/>
      </rPr>
      <t xml:space="preserve"> En la secretaria de gobierno y desarrollo social,con el coordinador de deportes se atendieron 900  jovenes, durante estos dos ultimos tres meses en los siguientes progremas: Voleibol-fulbol, torneo de voleibol, ciclimo y fulbol de salon garantizando los espacios de recreacion para la juventud.
</t>
    </r>
    <r>
      <rPr>
        <b/>
        <sz val="10"/>
        <color theme="1"/>
        <rFont val="Calibri"/>
        <family val="2"/>
        <scheme val="minor"/>
      </rPr>
      <t xml:space="preserve">
Alcaldía Salento: </t>
    </r>
    <r>
      <rPr>
        <sz val="10"/>
        <color theme="1"/>
        <rFont val="Calibri"/>
        <family val="2"/>
        <scheme val="minor"/>
      </rPr>
      <t xml:space="preserve">La subsecretaría de cultura y deporte ha reactivado, en el mes de septiembre, las Escuelas de Formación Culturales y Deportivas.
</t>
    </r>
    <r>
      <rPr>
        <b/>
        <sz val="10"/>
        <color theme="1"/>
        <rFont val="Calibri"/>
        <family val="2"/>
        <scheme val="minor"/>
      </rPr>
      <t>Alcaldía de Pijao:</t>
    </r>
    <r>
      <rPr>
        <sz val="10"/>
        <color theme="1"/>
        <rFont val="Calibri"/>
        <family val="2"/>
        <scheme val="minor"/>
      </rPr>
      <t xml:space="preserve"> 110 NNA que desarrollaron minimo 60 minutos de actividad fisica con el acompañamiento de monitor deportivo
</t>
    </r>
    <r>
      <rPr>
        <b/>
        <sz val="10"/>
        <color theme="1"/>
        <rFont val="Calibri"/>
        <family val="2"/>
        <scheme val="minor"/>
      </rPr>
      <t>Alcaldía de La Tebaida:</t>
    </r>
    <r>
      <rPr>
        <sz val="10"/>
        <color theme="1"/>
        <rFont val="Calibri"/>
        <family val="2"/>
        <scheme val="minor"/>
      </rPr>
      <t xml:space="preserve"> La administración municipal para este trimestre conto con 3  contratistas delos cuales realizan baloncesto, patinaje y aeróbicos en los barrios nueva tebiada, Anapoima, cantarito, pisamos coliseo. Impactando a la población infantil y juvenil de estas áreas. Además, se articuló con Indeportes Quindío se llevó a sectores como la Silvia, nueva tebaida segunda etapa y al sector rural.
</t>
    </r>
    <r>
      <rPr>
        <b/>
        <sz val="10"/>
        <color theme="1"/>
        <rFont val="Calibri"/>
        <family val="2"/>
        <scheme val="minor"/>
      </rPr>
      <t xml:space="preserve">Alcaldía Quimbaya: </t>
    </r>
    <r>
      <rPr>
        <sz val="10"/>
        <color theme="1"/>
        <rFont val="Calibri"/>
        <family val="2"/>
        <scheme val="minor"/>
      </rPr>
      <t xml:space="preserve"> CONTAMOS CON APOYO DE LA GOBERNACION CON EL PROGRAMA DEPORTE SOCIAL COMUNITARIO . CON UN MONITOR QUE REALIZA LAS ACTIVIDADES.
</t>
    </r>
    <r>
      <rPr>
        <b/>
        <sz val="10"/>
        <color theme="1"/>
        <rFont val="Calibri"/>
        <family val="2"/>
        <scheme val="minor"/>
      </rPr>
      <t xml:space="preserve">Alcaldía Córdoba: </t>
    </r>
    <r>
      <rPr>
        <sz val="10"/>
        <color theme="1"/>
        <rFont val="Calibri"/>
        <family val="2"/>
        <scheme val="minor"/>
      </rPr>
      <t xml:space="preserve">se reporta 60 niños menores de edad que intervienen como minimo 60 minutos diarios de actividad fisica de intensidad moderada a vigorosa; participaron 276 niños que practican actividad fisica y deporte en el municipio mediante las escuelas de formacion.  
</t>
    </r>
    <r>
      <rPr>
        <b/>
        <sz val="10"/>
        <color theme="1"/>
        <rFont val="Calibri"/>
        <family val="2"/>
        <scheme val="minor"/>
      </rPr>
      <t xml:space="preserve">
Alcaldía de Calarca:</t>
    </r>
    <r>
      <rPr>
        <sz val="10"/>
        <color theme="1"/>
        <rFont val="Calibri"/>
        <family val="2"/>
        <scheme val="minor"/>
      </rPr>
      <t xml:space="preserve"> Fortalecimiento de escuelas de formación deportiva para la ocupación del tiempo libre de los y las jóvenes entre 14 hasta 28 años en el Municipio donde se ejetuto un presupuesto de 4.498.957, se beneficiaron 20 personas en actividades como futbol, patinaje, 1 ciclismo, 1 balonsesto, 1 futbol de salon, 1 atletismo, hay que dejar la salvedad que estas escuelas son para niños entrev 5 y 18 años. 
</t>
    </r>
    <r>
      <rPr>
        <b/>
        <sz val="10"/>
        <color theme="1"/>
        <rFont val="Calibri"/>
        <family val="2"/>
        <scheme val="minor"/>
      </rPr>
      <t>Alcaldía de Filandia:</t>
    </r>
    <r>
      <rPr>
        <sz val="10"/>
        <color theme="1"/>
        <rFont val="Calibri"/>
        <family val="2"/>
        <scheme val="minor"/>
      </rPr>
      <t xml:space="preserve"> Cuadras activas: esta propuesta está enfocada en visitar las cuadras de los diferentes barrios del municipio de Filandia para dar clases de actividad física dirigida musicalizada
</t>
    </r>
    <r>
      <rPr>
        <b/>
        <sz val="10"/>
        <color theme="1"/>
        <rFont val="Calibri"/>
        <family val="2"/>
        <scheme val="minor"/>
      </rPr>
      <t>Indeportes:</t>
    </r>
    <r>
      <rPr>
        <sz val="10"/>
        <color theme="1"/>
        <rFont val="Calibri"/>
        <family val="2"/>
        <scheme val="minor"/>
      </rPr>
      <t xml:space="preserve"> No Reportó información.
</t>
    </r>
    <r>
      <rPr>
        <b/>
        <sz val="10"/>
        <color theme="1"/>
        <rFont val="Calibri"/>
        <family val="2"/>
        <scheme val="minor"/>
      </rPr>
      <t>Secretaría de educación:</t>
    </r>
    <r>
      <rPr>
        <sz val="10"/>
        <color theme="1"/>
        <rFont val="Calibri"/>
        <family val="2"/>
        <scheme val="minor"/>
      </rPr>
      <t xml:space="preserve"> No Reportó información.
</t>
    </r>
    <r>
      <rPr>
        <b/>
        <sz val="10"/>
        <color theme="1"/>
        <rFont val="Calibri"/>
        <family val="2"/>
        <scheme val="minor"/>
      </rPr>
      <t>Observación:</t>
    </r>
    <r>
      <rPr>
        <sz val="10"/>
        <color theme="1"/>
        <rFont val="Calibri"/>
        <family val="2"/>
        <scheme val="minor"/>
      </rPr>
      <t xml:space="preserve"> No se pueden medir el porcentaje de avance de los indicadores., ya que la información suministrada por los responsables no se presenta en la variable adecuada.
</t>
    </r>
  </si>
  <si>
    <r>
      <rPr>
        <b/>
        <sz val="10"/>
        <color theme="1"/>
        <rFont val="Calibri"/>
        <family val="2"/>
        <scheme val="minor"/>
      </rPr>
      <t>Alcaldía de La Tebaida</t>
    </r>
    <r>
      <rPr>
        <sz val="10"/>
        <color theme="1"/>
        <rFont val="Calibri"/>
        <family val="2"/>
        <scheme val="minor"/>
      </rPr>
      <t xml:space="preserve">: Se realizo atencion comuntaria con una participacion de 139 personas y escuelas depòrtivas con 115 personas. 
</t>
    </r>
    <r>
      <rPr>
        <b/>
        <sz val="10"/>
        <color theme="1"/>
        <rFont val="Calibri"/>
        <family val="2"/>
        <scheme val="minor"/>
      </rPr>
      <t>Alcaldía de Circasia:</t>
    </r>
    <r>
      <rPr>
        <sz val="10"/>
        <color theme="1"/>
        <rFont val="Calibri"/>
        <family val="2"/>
        <scheme val="minor"/>
      </rPr>
      <t xml:space="preserve"> En la secretaria de gobierno y desarrollo social,con el coordinador de deportes se atendieron 900  jovenes, durante estos dos ultimos tres meses en los siguientes progremas: Voleibol-fulbol, torneo de voleibol, ciclismo y futbol de salon garantizando los espacios de recreacion para la juventud,domingo activo.
</t>
    </r>
    <r>
      <rPr>
        <b/>
        <sz val="10"/>
        <color theme="1"/>
        <rFont val="Calibri"/>
        <family val="2"/>
        <scheme val="minor"/>
      </rPr>
      <t>Alcaldía de Armenia:</t>
    </r>
    <r>
      <rPr>
        <sz val="10"/>
        <color theme="1"/>
        <rFont val="Calibri"/>
        <family val="2"/>
        <scheme val="minor"/>
      </rPr>
      <t xml:space="preserve"> EN CUANTO A LA EJECUCION DE LAS ACCIONES, HASTA EL MES DE AGOSTO LAS ACCIONES SE LLEVARON A CABO DE MANERA VIRTUAL EN DONDE LOS ENTRENADORES DE CADA DISCIPLINA ENVIABAN VIDEOS O HACIAN CLASES EN VIVO CON LAS ACTIVIDADES A LOS GRUPOS QUE SE TIENEN CONSOLIDADOS POR MEDIO DE WHATSAPP Y ASI MISMO SE  PUBLICARON SEMANALMENTE VIDEOS CON ACTIVIDADES DEPORTIVAS EN EL FACEBOOK DEL IMDERA.  LO ANTERIOR DEBIDO A LA SITUACION DE SALUD QUE HA VIVIDO EL PAIS,  TAN PRONTO EL GOBIERNO HA AUTORIZADO LA PRACTICA DEPORTIVA, SE HAN IDO MODIFICANDO LAS ACCIONES CONTINUANDO SOLO EN LO VIRTUAL PARA LOS DEPORTISTAS EN SITUACION EN DISCAPACIDAD, LO CONVENCIONAL YA SE ESTA  DESARROLLANDO  DE MANERA PRESENCIAL CON LOS PARAMETROS ESTABLECIDOS, EN ESTE CASO YA DESDE EL MES DE SEPTIEMBRE SE RETOMARON LAS CLASES PRESENCIALES CON TODAS LAS MEDIDAS DE BIOSEGURIDAD Y SIGUIENDO LOS PROTOCOLOS DETERMINADOS POR EL GOBIERNO.  HASTA EL MES DE DICIEMBRE EL IMDERA ATENDIO 700  JOVENES EN ESCUELAS DEPORTIVAS CONTANDO CON 18 DISCIPLINAS DEPORTIVAS.
31 entrenadores contratados
</t>
    </r>
    <r>
      <rPr>
        <b/>
        <sz val="10"/>
        <color theme="1"/>
        <rFont val="Calibri"/>
        <family val="2"/>
        <scheme val="minor"/>
      </rPr>
      <t>Alcaldía Pijao:</t>
    </r>
    <r>
      <rPr>
        <sz val="10"/>
        <color theme="1"/>
        <rFont val="Calibri"/>
        <family val="2"/>
        <scheme val="minor"/>
      </rPr>
      <t xml:space="preserve"> 25  practican juegos no convencionales con el acompañamiento monitorial.
</t>
    </r>
    <r>
      <rPr>
        <b/>
        <sz val="10"/>
        <color theme="1"/>
        <rFont val="Calibri"/>
        <family val="2"/>
        <scheme val="minor"/>
      </rPr>
      <t xml:space="preserve">Alcaldía Quimbaya: </t>
    </r>
    <r>
      <rPr>
        <sz val="10"/>
        <color theme="1"/>
        <rFont val="Calibri"/>
        <family val="2"/>
        <scheme val="minor"/>
      </rPr>
      <t xml:space="preserve">APOYO MEDIANTE MONITORIA DE BMX.
</t>
    </r>
    <r>
      <rPr>
        <b/>
        <sz val="10"/>
        <color theme="1"/>
        <rFont val="Calibri"/>
        <family val="2"/>
        <scheme val="minor"/>
      </rPr>
      <t xml:space="preserve">ALcaldía Salento: </t>
    </r>
    <r>
      <rPr>
        <sz val="10"/>
        <color theme="1"/>
        <rFont val="Calibri"/>
        <family val="2"/>
        <scheme val="minor"/>
      </rPr>
      <t xml:space="preserve">La Subsecretaría de Cultura y Deporte están realizando actividades enmarcadas en apoyar los deportes no convencionales, en la cuales se trabaja en el mantenimiento preventivo del "Skate Park".
</t>
    </r>
    <r>
      <rPr>
        <b/>
        <sz val="10"/>
        <color theme="1"/>
        <rFont val="Calibri"/>
        <family val="2"/>
        <scheme val="minor"/>
      </rPr>
      <t>Alcaldia de Córdoba:</t>
    </r>
    <r>
      <rPr>
        <sz val="10"/>
        <color theme="1"/>
        <rFont val="Calibri"/>
        <family val="2"/>
        <scheme val="minor"/>
      </rPr>
      <t xml:space="preserve"> tiene como deporte no convencional el patinaje el cual se encarga de atender 30 niños que realizan dicha disciplina; se continua con como deporte no convencional el patinaje el cual se encarga de atender 30 niños que realizan dicha disciplina.
</t>
    </r>
    <r>
      <rPr>
        <b/>
        <sz val="10"/>
        <color theme="1"/>
        <rFont val="Calibri"/>
        <family val="2"/>
        <scheme val="minor"/>
      </rPr>
      <t>Alcaldía de Filandia:</t>
    </r>
    <r>
      <rPr>
        <sz val="10"/>
        <color theme="1"/>
        <rFont val="Calibri"/>
        <family val="2"/>
        <scheme val="minor"/>
      </rPr>
      <t xml:space="preserve"> En este punto se destaca la atención al grupo de población en situación de discapacidad, con quien se practica diferentes deportes, promoviendo su autoexploración y el mejoramiento de sus capacidades excepcionales.
</t>
    </r>
    <r>
      <rPr>
        <b/>
        <sz val="10"/>
        <color theme="1"/>
        <rFont val="Calibri"/>
        <family val="2"/>
        <scheme val="minor"/>
      </rPr>
      <t xml:space="preserve">Indeportes: </t>
    </r>
    <r>
      <rPr>
        <sz val="10"/>
        <color theme="1"/>
        <rFont val="Calibri"/>
        <family val="2"/>
        <scheme val="minor"/>
      </rPr>
      <t>No Reportó información.</t>
    </r>
  </si>
  <si>
    <r>
      <t xml:space="preserve">Secretaria de turismo, industria y comercio: </t>
    </r>
    <r>
      <rPr>
        <sz val="10"/>
        <color theme="1"/>
        <rFont val="Calibri"/>
        <family val="2"/>
        <scheme val="minor"/>
      </rPr>
      <t>No Reportó información</t>
    </r>
  </si>
  <si>
    <r>
      <t xml:space="preserve">Secretaría de Cultura: </t>
    </r>
    <r>
      <rPr>
        <sz val="10"/>
        <color theme="1"/>
        <rFont val="Calibri"/>
        <family val="2"/>
        <scheme val="minor"/>
      </rPr>
      <t xml:space="preserve"> Se realizo la convocatoria de estimulos 2020, en cual se logro entregar dos estimulos a jovenes y se logro impactar  5 jovenes. 
</t>
    </r>
    <r>
      <rPr>
        <b/>
        <sz val="10"/>
        <color theme="1"/>
        <rFont val="Calibri"/>
        <family val="2"/>
        <scheme val="minor"/>
      </rPr>
      <t xml:space="preserve">
</t>
    </r>
  </si>
  <si>
    <r>
      <t xml:space="preserve">Secretaría de Cultura:  </t>
    </r>
    <r>
      <rPr>
        <sz val="10"/>
        <color theme="1"/>
        <rFont val="Calibri"/>
        <family val="2"/>
        <scheme val="minor"/>
      </rPr>
      <t xml:space="preserve">54 Organizaciónes participaron y desarrollaron susu proyectos dentro de la convocaoria de concertacion departamental 2020, de los cuales, el  porcetaje total de participacion de jovenes  fue de un 27%    </t>
    </r>
  </si>
  <si>
    <r>
      <t xml:space="preserve">Secretaría de Cultura: * </t>
    </r>
    <r>
      <rPr>
        <sz val="10"/>
        <color theme="1"/>
        <rFont val="Calibri"/>
        <family val="2"/>
        <scheme val="minor"/>
      </rPr>
      <t>Se elimino ese indicador</t>
    </r>
    <r>
      <rPr>
        <b/>
        <sz val="10"/>
        <color theme="1"/>
        <rFont val="Calibri"/>
        <family val="2"/>
        <scheme val="minor"/>
      </rPr>
      <t xml:space="preserve">
</t>
    </r>
  </si>
  <si>
    <r>
      <t xml:space="preserve">Secretaría de Cultura:  </t>
    </r>
    <r>
      <rPr>
        <sz val="10"/>
        <color theme="1"/>
        <rFont val="Calibri"/>
        <family val="2"/>
        <scheme val="minor"/>
      </rPr>
      <t xml:space="preserve">Se apoyo la ONG semillitas para el fortalecimiento de la poblacion infantil  diferencial con un impacto a 300 jovenes  con el  "Festival 12 concetados con el arte especial   en condicion especial" </t>
    </r>
  </si>
  <si>
    <r>
      <rPr>
        <b/>
        <sz val="10"/>
        <color theme="1"/>
        <rFont val="Calibri"/>
        <family val="2"/>
        <scheme val="minor"/>
      </rPr>
      <t xml:space="preserve">Secretaría de Familia: </t>
    </r>
    <r>
      <rPr>
        <sz val="10"/>
        <color theme="1"/>
        <rFont val="Calibri"/>
        <family val="2"/>
        <scheme val="minor"/>
      </rPr>
      <t xml:space="preserve">No Reportó información.
</t>
    </r>
    <r>
      <rPr>
        <b/>
        <sz val="10"/>
        <color theme="1"/>
        <rFont val="Calibri"/>
        <family val="2"/>
        <scheme val="minor"/>
      </rPr>
      <t xml:space="preserve">Secretaría de Comunicaciones: </t>
    </r>
    <r>
      <rPr>
        <sz val="10"/>
        <color theme="1"/>
        <rFont val="Calibri"/>
        <family val="2"/>
        <scheme val="minor"/>
      </rPr>
      <t xml:space="preserve">No Reportó información
</t>
    </r>
    <r>
      <rPr>
        <b/>
        <sz val="10"/>
        <color theme="1"/>
        <rFont val="Calibri"/>
        <family val="2"/>
        <scheme val="minor"/>
      </rPr>
      <t>Observación:</t>
    </r>
    <r>
      <rPr>
        <sz val="10"/>
        <color theme="1"/>
        <rFont val="Calibri"/>
        <family val="2"/>
        <scheme val="minor"/>
      </rPr>
      <t xml:space="preserve"> No se cuenta con información para determinar el procentaje de avance del indicador.</t>
    </r>
  </si>
  <si>
    <r>
      <rPr>
        <b/>
        <sz val="10"/>
        <color theme="1"/>
        <rFont val="Calibri"/>
        <family val="2"/>
        <scheme val="minor"/>
      </rPr>
      <t>EAM:</t>
    </r>
    <r>
      <rPr>
        <sz val="10"/>
        <color theme="1"/>
        <rFont val="Calibri"/>
        <family val="2"/>
        <scheme val="minor"/>
      </rPr>
      <t xml:space="preserve"> actualmente no se hay semilleros que manejen la tematica de juventudes.
</t>
    </r>
    <r>
      <rPr>
        <b/>
        <sz val="10"/>
        <color theme="1"/>
        <rFont val="Calibri"/>
        <family val="2"/>
        <scheme val="minor"/>
      </rPr>
      <t>Secretaría Educación</t>
    </r>
    <r>
      <rPr>
        <sz val="10"/>
        <color theme="1"/>
        <rFont val="Calibri"/>
        <family val="2"/>
        <scheme val="minor"/>
      </rPr>
      <t xml:space="preserve">: No Reportó información
</t>
    </r>
    <r>
      <rPr>
        <b/>
        <sz val="10"/>
        <color theme="1"/>
        <rFont val="Calibri"/>
        <family val="2"/>
        <scheme val="minor"/>
      </rPr>
      <t>Secretaría TICS:</t>
    </r>
    <r>
      <rPr>
        <sz val="10"/>
        <color theme="1"/>
        <rFont val="Calibri"/>
        <family val="2"/>
        <scheme val="minor"/>
      </rPr>
      <t xml:space="preserve"> No Reportó información
</t>
    </r>
    <r>
      <rPr>
        <b/>
        <sz val="10"/>
        <color theme="1"/>
        <rFont val="Calibri"/>
        <family val="2"/>
        <scheme val="minor"/>
      </rPr>
      <t>Observación:</t>
    </r>
    <r>
      <rPr>
        <sz val="10"/>
        <color theme="1"/>
        <rFont val="Calibri"/>
        <family val="2"/>
        <scheme val="minor"/>
      </rPr>
      <t xml:space="preserve"> No se cuenta con información para determinar el procentaje de avance del indicador.</t>
    </r>
  </si>
  <si>
    <r>
      <t xml:space="preserve">EAM: </t>
    </r>
    <r>
      <rPr>
        <sz val="10"/>
        <color theme="1"/>
        <rFont val="Calibri"/>
        <family val="2"/>
        <scheme val="minor"/>
      </rPr>
      <t xml:space="preserve">hay una profesionalizacion en software y se ofrece una maestria en planeacion estrategica </t>
    </r>
    <r>
      <rPr>
        <b/>
        <sz val="10"/>
        <color theme="1"/>
        <rFont val="Calibri"/>
        <family val="2"/>
        <scheme val="minor"/>
      </rPr>
      <t xml:space="preserve">
Secretaría Educación: </t>
    </r>
    <r>
      <rPr>
        <sz val="10"/>
        <color theme="1"/>
        <rFont val="Calibri"/>
        <family val="2"/>
        <scheme val="minor"/>
      </rPr>
      <t xml:space="preserve">No Reportó información
</t>
    </r>
  </si>
  <si>
    <t>0</t>
  </si>
  <si>
    <r>
      <rPr>
        <b/>
        <sz val="10"/>
        <color theme="1"/>
        <rFont val="Calibri"/>
        <family val="2"/>
        <scheme val="minor"/>
      </rPr>
      <t xml:space="preserve">Secretaría de Familia: </t>
    </r>
    <r>
      <rPr>
        <sz val="10"/>
        <color theme="1"/>
        <rFont val="Calibri"/>
        <family val="2"/>
        <scheme val="minor"/>
      </rPr>
      <t xml:space="preserve">No Reportó información.
</t>
    </r>
    <r>
      <rPr>
        <b/>
        <sz val="10"/>
        <color theme="1"/>
        <rFont val="Calibri"/>
        <family val="2"/>
        <scheme val="minor"/>
      </rPr>
      <t>Secretaría Planeación</t>
    </r>
    <r>
      <rPr>
        <sz val="10"/>
        <color theme="1"/>
        <rFont val="Calibri"/>
        <family val="2"/>
        <scheme val="minor"/>
      </rPr>
      <t xml:space="preserve">: No Reportó información
</t>
    </r>
    <r>
      <rPr>
        <b/>
        <sz val="10"/>
        <color theme="1"/>
        <rFont val="Calibri"/>
        <family val="2"/>
        <scheme val="minor"/>
      </rPr>
      <t>Dirección Privada:</t>
    </r>
    <r>
      <rPr>
        <sz val="10"/>
        <color theme="1"/>
        <rFont val="Calibri"/>
        <family val="2"/>
        <scheme val="minor"/>
      </rPr>
      <t xml:space="preserve"> No Reportó información
</t>
    </r>
    <r>
      <rPr>
        <b/>
        <sz val="10"/>
        <color theme="1"/>
        <rFont val="Calibri"/>
        <family val="2"/>
        <scheme val="minor"/>
      </rPr>
      <t>Observación:</t>
    </r>
    <r>
      <rPr>
        <sz val="10"/>
        <color theme="1"/>
        <rFont val="Calibri"/>
        <family val="2"/>
        <scheme val="minor"/>
      </rPr>
      <t xml:space="preserve"> No se cuenta con información para determinar el procentaje de avance del indicador.
</t>
    </r>
  </si>
  <si>
    <r>
      <rPr>
        <b/>
        <sz val="10"/>
        <color theme="1"/>
        <rFont val="Calibri"/>
        <family val="2"/>
        <scheme val="minor"/>
      </rPr>
      <t>Secretaría de Familia:</t>
    </r>
    <r>
      <rPr>
        <sz val="10"/>
        <color theme="1"/>
        <rFont val="Calibri"/>
        <family val="2"/>
        <scheme val="minor"/>
      </rPr>
      <t xml:space="preserve"> No Reportó información.</t>
    </r>
  </si>
  <si>
    <r>
      <rPr>
        <b/>
        <sz val="10"/>
        <color theme="1"/>
        <rFont val="Calibri"/>
        <family val="2"/>
        <scheme val="minor"/>
      </rPr>
      <t xml:space="preserve">Alcaldía de Circasia: </t>
    </r>
    <r>
      <rPr>
        <sz val="10"/>
        <color theme="1"/>
        <rFont val="Calibri"/>
        <family val="2"/>
        <scheme val="minor"/>
      </rPr>
      <t>Desde la administracion municipal se implementa la politica publica de juventud del municipio de Circasia,y estamos en porceso de actualizacion con apoyo d ela gobernacion del Quindio,la secretaria de Familia y Colombia Joven.</t>
    </r>
    <r>
      <rPr>
        <b/>
        <sz val="10"/>
        <color theme="1"/>
        <rFont val="Calibri"/>
        <family val="2"/>
        <scheme val="minor"/>
      </rPr>
      <t xml:space="preserve">
Alcaldía de Quimbaya: S</t>
    </r>
    <r>
      <rPr>
        <sz val="10"/>
        <color theme="1"/>
        <rFont val="Calibri"/>
        <family val="2"/>
        <scheme val="minor"/>
      </rPr>
      <t xml:space="preserve">e encuetra ejecutando e inplementando acciones de politica y no se han realizado procesos de rendicion publica de cuentas de ejecucion de la plotica publica municipal de juventud . </t>
    </r>
    <r>
      <rPr>
        <b/>
        <sz val="10"/>
        <color theme="1"/>
        <rFont val="Calibri"/>
        <family val="2"/>
        <scheme val="minor"/>
      </rPr>
      <t xml:space="preserve">
Alcaldía Pijao:</t>
    </r>
    <r>
      <rPr>
        <sz val="10"/>
        <color theme="1"/>
        <rFont val="Calibri"/>
        <family val="2"/>
        <scheme val="minor"/>
      </rPr>
      <t xml:space="preserve"> Aun no tiene rendición pública.
</t>
    </r>
    <r>
      <rPr>
        <b/>
        <sz val="10"/>
        <color theme="1"/>
        <rFont val="Calibri"/>
        <family val="2"/>
        <scheme val="minor"/>
      </rPr>
      <t xml:space="preserve">Secretaría de Familia: </t>
    </r>
    <r>
      <rPr>
        <sz val="10"/>
        <color theme="1"/>
        <rFont val="Calibri"/>
        <family val="2"/>
        <scheme val="minor"/>
      </rPr>
      <t xml:space="preserve">No Reportó información.
</t>
    </r>
    <r>
      <rPr>
        <b/>
        <sz val="10"/>
        <color theme="1"/>
        <rFont val="Calibri"/>
        <family val="2"/>
        <scheme val="minor"/>
      </rPr>
      <t>Secretaría dePlaneación:</t>
    </r>
    <r>
      <rPr>
        <sz val="10"/>
        <color theme="1"/>
        <rFont val="Calibri"/>
        <family val="2"/>
        <scheme val="minor"/>
      </rPr>
      <t xml:space="preserve"> No Reportó información.
</t>
    </r>
    <r>
      <rPr>
        <b/>
        <sz val="10"/>
        <color theme="1"/>
        <rFont val="Calibri"/>
        <family val="2"/>
        <scheme val="minor"/>
      </rPr>
      <t>Observación</t>
    </r>
    <r>
      <rPr>
        <sz val="10"/>
        <color theme="1"/>
        <rFont val="Calibri"/>
        <family val="2"/>
        <scheme val="minor"/>
      </rPr>
      <t>: No se cuenta con información para determinar el procentaje de avance del indicador.</t>
    </r>
    <r>
      <rPr>
        <b/>
        <sz val="10"/>
        <color theme="1"/>
        <rFont val="Calibri"/>
        <family val="2"/>
        <scheme val="minor"/>
      </rPr>
      <t xml:space="preserve">
</t>
    </r>
  </si>
  <si>
    <r>
      <rPr>
        <b/>
        <sz val="10"/>
        <color theme="1"/>
        <rFont val="Calibri"/>
        <family val="2"/>
        <scheme val="minor"/>
      </rPr>
      <t xml:space="preserve">Alcaldía de Salento: </t>
    </r>
    <r>
      <rPr>
        <sz val="10"/>
        <color theme="1"/>
        <rFont val="Calibri"/>
        <family val="2"/>
        <scheme val="minor"/>
      </rPr>
      <t xml:space="preserve">Actualmente la Casa de la Juventud se encuentra la oficina de la Plataforma Municipal de Juventud y del grupo juvenil Re Evolución Salento. Se utiliza para eventos y actividades educativas, deportivas y culturales. Se espera que durante el cuatremio 2020-2023 se realicen inversiones en adecuación y dotación de la Casa de la Juventud, con el fin de optimizar su funcionamiento.
</t>
    </r>
    <r>
      <rPr>
        <b/>
        <sz val="10"/>
        <color theme="1"/>
        <rFont val="Calibri"/>
        <family val="2"/>
        <scheme val="minor"/>
      </rPr>
      <t xml:space="preserve">Alcaldía de La Tebaida: </t>
    </r>
    <r>
      <rPr>
        <sz val="10"/>
        <color theme="1"/>
        <rFont val="Calibri"/>
        <family val="2"/>
        <scheme val="minor"/>
      </rPr>
      <t xml:space="preserve">se cambio todo el cabliado para una mayort cobertura de internet dentro de la casa, la cual se pondra en uso una vez levantada la pandemia.
</t>
    </r>
    <r>
      <rPr>
        <b/>
        <sz val="10"/>
        <color theme="1"/>
        <rFont val="Calibri"/>
        <family val="2"/>
        <scheme val="minor"/>
      </rPr>
      <t xml:space="preserve">
Alcaldía Quimbaya</t>
    </r>
    <r>
      <rPr>
        <sz val="10"/>
        <color theme="1"/>
        <rFont val="Calibri"/>
        <family val="2"/>
        <scheme val="minor"/>
      </rPr>
      <t xml:space="preserve">: NO CUENTA CON CASA DE LA JUVENTUD.
</t>
    </r>
    <r>
      <rPr>
        <b/>
        <sz val="10"/>
        <color theme="1"/>
        <rFont val="Calibri"/>
        <family val="2"/>
        <scheme val="minor"/>
      </rPr>
      <t>Alcaldía Circasia:</t>
    </r>
    <r>
      <rPr>
        <sz val="10"/>
        <color theme="1"/>
        <rFont val="Calibri"/>
        <family val="2"/>
        <scheme val="minor"/>
      </rPr>
      <t xml:space="preserve"> NO CUENTA CON CASA DE LA JUVENTUD.
</t>
    </r>
    <r>
      <rPr>
        <b/>
        <sz val="10"/>
        <color theme="1"/>
        <rFont val="Calibri"/>
        <family val="2"/>
        <scheme val="minor"/>
      </rPr>
      <t>Alcaldía Calarcá:</t>
    </r>
    <r>
      <rPr>
        <sz val="10"/>
        <color theme="1"/>
        <rFont val="Calibri"/>
        <family val="2"/>
        <scheme val="minor"/>
      </rPr>
      <t xml:space="preserve"> se realiza actualizacion de politica publica .
</t>
    </r>
    <r>
      <rPr>
        <b/>
        <sz val="10"/>
        <color theme="1"/>
        <rFont val="Calibri"/>
        <family val="2"/>
        <scheme val="minor"/>
      </rPr>
      <t xml:space="preserve">Alcaldía de Armenia: </t>
    </r>
    <r>
      <rPr>
        <sz val="10"/>
        <color theme="1"/>
        <rFont val="Calibri"/>
        <family val="2"/>
        <scheme val="minor"/>
      </rPr>
      <t xml:space="preserve">se viene adelantando a traves d ela consejeria presidencial para la juventud la adecuacion d ela casa de la juventud para convertirse en centro sacudete.
</t>
    </r>
    <r>
      <rPr>
        <b/>
        <sz val="10"/>
        <color theme="1"/>
        <rFont val="Calibri"/>
        <family val="2"/>
        <scheme val="minor"/>
      </rPr>
      <t xml:space="preserve">
Alcaldía Montenegro:</t>
    </r>
    <r>
      <rPr>
        <sz val="10"/>
        <color theme="1"/>
        <rFont val="Calibri"/>
        <family val="2"/>
        <scheme val="minor"/>
      </rPr>
      <t xml:space="preserve"> la casa de la juventud actualmente esta articulada con el proyecto cultivarte.
</t>
    </r>
    <r>
      <rPr>
        <b/>
        <sz val="10"/>
        <color theme="1"/>
        <rFont val="Calibri"/>
        <family val="2"/>
        <scheme val="minor"/>
      </rPr>
      <t xml:space="preserve">
Alcaldía de Córdoba: </t>
    </r>
    <r>
      <rPr>
        <sz val="10"/>
        <color theme="1"/>
        <rFont val="Calibri"/>
        <family val="2"/>
        <scheme val="minor"/>
      </rPr>
      <t>Actualmento no se encuentra la infraestructura de la casa de la Juventud, mas sinembargo se realizan actividades culturales, eventos y trabajos con la iniciacion a la danza en atividad fisica, mantenimiento corporal, juegos coreograficos, fortalecimiento muscular, tecnica de la danza y ejercicios de elasticidad tanto en los jovenes del casco urbano como en la rural por medio de la casa de la cultura del municipi;  Actualmente no se encuentra la infraestructura de la casa de la Juventud, mas sinembargo se realizan actividades culturales, eventos y trabajos con la iniciacion a la danza en atividad fisica, mantenimiento corporal, juegos coreograficos, fortalecimiento muscular, tecnica de la danza y ejercicios de elasticidad tanto en los jovenes del casco urbano como en la rural por medio de la casa de la cultura del municipio, Gimnasio y en las escuelas de formacion del municipio.</t>
    </r>
  </si>
  <si>
    <r>
      <t xml:space="preserve">$1,400,000.
</t>
    </r>
    <r>
      <rPr>
        <b/>
        <sz val="10"/>
        <color theme="1"/>
        <rFont val="Calibri"/>
        <family val="2"/>
        <scheme val="minor"/>
      </rPr>
      <t/>
    </r>
  </si>
  <si>
    <t>$1,400,000</t>
  </si>
  <si>
    <r>
      <rPr>
        <b/>
        <sz val="10"/>
        <color theme="1"/>
        <rFont val="Calibri"/>
        <family val="2"/>
        <scheme val="minor"/>
      </rPr>
      <t xml:space="preserve">Alcaldía de Filandía: </t>
    </r>
    <r>
      <rPr>
        <sz val="10"/>
        <color theme="1"/>
        <rFont val="Calibri"/>
        <family val="2"/>
        <scheme val="minor"/>
      </rPr>
      <t xml:space="preserve">Realización de curso virtual “Participación Política de Jóvenes” con énfasis en “Estatuto de Ciudadanía Juvenil” del Ministerio del Interior con jóvenes del Municipio de Filandia; Reactivacion del Programa Ángeles Guardianes
</t>
    </r>
    <r>
      <rPr>
        <b/>
        <sz val="10"/>
        <color theme="1"/>
        <rFont val="Calibri"/>
        <family val="2"/>
        <scheme val="minor"/>
      </rPr>
      <t>Alcaldía Circasia:</t>
    </r>
    <r>
      <rPr>
        <sz val="10"/>
        <color theme="1"/>
        <rFont val="Calibri"/>
        <family val="2"/>
        <scheme val="minor"/>
      </rPr>
      <t xml:space="preserve">  Gracias a la gestion  de la secretaria de gobierno y desarrollo social se getsiono un poryecto para la platafoma juvenil  se ejecuto un diplomado en el que se dotaron a los jovenes de herramientas de mecanimos de participacion ciudada y la ley 1622 del 2013 y la importancia de los espacioss de partcipancion en su territorio  donde se capacitaron 16 y se le entragaron los reconocientos a los jovenes que termieron el proceso.Proyecto Sensibilizacion de los mecanismo de participacion ciudada.</t>
    </r>
    <r>
      <rPr>
        <b/>
        <sz val="10"/>
        <color theme="1"/>
        <rFont val="Calibri"/>
        <family val="2"/>
        <scheme val="minor"/>
      </rPr>
      <t xml:space="preserve">
Alcaldía de Salento: </t>
    </r>
    <r>
      <rPr>
        <sz val="10"/>
        <color theme="1"/>
        <rFont val="Calibri"/>
        <family val="2"/>
        <scheme val="minor"/>
      </rPr>
      <t xml:space="preserve">La Registraduría Nacional del Estado Civil  y el Gobierno Nacional suspendió la convocatoria de elecciones de CMJs en todo el país, debido a la emergencia sanitaria causada por la COVID-19. No obstante, la administración municipal de Salento ya instaló el Comité de Seguimiento Electoral y conformó el Comité de Organización de dicha elección, donde se realizaron dos reuniones con autoridades civiles, electorales y de policía.
</t>
    </r>
    <r>
      <rPr>
        <b/>
        <sz val="10"/>
        <color theme="1"/>
        <rFont val="Calibri"/>
        <family val="2"/>
        <scheme val="minor"/>
      </rPr>
      <t>Alcaldía Quimbaya</t>
    </r>
    <r>
      <rPr>
        <sz val="10"/>
        <color theme="1"/>
        <rFont val="Calibri"/>
        <family val="2"/>
        <scheme val="minor"/>
      </rPr>
      <t xml:space="preserve">: NO SE HAN DESARROLLADO PROCESOS DE LIDERACION DE LIDERAZGO E INSIDENCIA A CONCEJEROS DE JUVENTUD.
</t>
    </r>
    <r>
      <rPr>
        <b/>
        <sz val="10"/>
        <color theme="1"/>
        <rFont val="Calibri"/>
        <family val="2"/>
        <scheme val="minor"/>
      </rPr>
      <t xml:space="preserve">Alcaldía Calarcá: </t>
    </r>
    <r>
      <rPr>
        <sz val="10"/>
        <color theme="1"/>
        <rFont val="Calibri"/>
        <family val="2"/>
        <scheme val="minor"/>
      </rPr>
      <t xml:space="preserve">14 Talleres de socializacion de la ley estatutaria de juventudes con las modificaciones del año 2018, para promover la participacion de los jovenes en las instancias del sistema de juventudes, incluido entidades.
</t>
    </r>
    <r>
      <rPr>
        <b/>
        <sz val="10"/>
        <color theme="1"/>
        <rFont val="Calibri"/>
        <family val="2"/>
        <scheme val="minor"/>
      </rPr>
      <t>Alcaldía Pijao:</t>
    </r>
    <r>
      <rPr>
        <sz val="10"/>
        <color theme="1"/>
        <rFont val="Calibri"/>
        <family val="2"/>
        <scheme val="minor"/>
      </rPr>
      <t xml:space="preserve"> Mesas de socializacion y concertacion para la creaciòn de l Consejo Municipal de Juventud.
</t>
    </r>
    <r>
      <rPr>
        <b/>
        <sz val="10"/>
        <color theme="1"/>
        <rFont val="Calibri"/>
        <family val="2"/>
        <scheme val="minor"/>
      </rPr>
      <t xml:space="preserve">Alcaldía de La Tebaida: </t>
    </r>
    <r>
      <rPr>
        <sz val="10"/>
        <color theme="1"/>
        <rFont val="Calibri"/>
        <family val="2"/>
        <scheme val="minor"/>
      </rPr>
      <t xml:space="preserve"> Consejo de juventud:
o Se realizó el 13 de agosto grabación de entrevista  video informativo de consejo de juventud.
o Se realizaron videos de información sobre los consejos de juventud con el fin de publicarlo en redes sociales.  https://www.facebook.com/103073824395836/videos/318679292516814/?__so__=channel_tab&amp;__rv__=all_videos_card
o Se realizó el 27 de agosto entrevista y socialización en la emisora municipal sobre los consejos juveniles.
</t>
    </r>
    <r>
      <rPr>
        <b/>
        <sz val="10"/>
        <color theme="1"/>
        <rFont val="Calibri"/>
        <family val="2"/>
        <scheme val="minor"/>
      </rPr>
      <t xml:space="preserve">
Alcaldía Montenegro:</t>
    </r>
    <r>
      <rPr>
        <sz val="10"/>
        <color theme="1"/>
        <rFont val="Calibri"/>
        <family val="2"/>
        <scheme val="minor"/>
      </rPr>
      <t xml:space="preserve"> no se han realizado las eleccione por pandemia.
</t>
    </r>
    <r>
      <rPr>
        <b/>
        <sz val="10"/>
        <color theme="1"/>
        <rFont val="Calibri"/>
        <family val="2"/>
        <scheme val="minor"/>
      </rPr>
      <t>Alcaldía de Córdoba</t>
    </r>
    <r>
      <rPr>
        <sz val="10"/>
        <color theme="1"/>
        <rFont val="Calibri"/>
        <family val="2"/>
        <scheme val="minor"/>
      </rPr>
      <t xml:space="preserve">: no se realizarón debido a la calamidada que presenta el pais por causa del virus COVID-19, la cual quedo aplasada y esta en espera.
</t>
    </r>
    <r>
      <rPr>
        <b/>
        <sz val="10"/>
        <color theme="1"/>
        <rFont val="Calibri"/>
        <family val="2"/>
        <scheme val="minor"/>
      </rPr>
      <t xml:space="preserve">Registraduria Nacional del Estado Civil: </t>
    </r>
    <r>
      <rPr>
        <sz val="10"/>
        <color theme="1"/>
        <rFont val="Calibri"/>
        <family val="2"/>
        <scheme val="minor"/>
      </rPr>
      <t xml:space="preserve">Registraduria Nacional del Estado Civil: La Registraduria Nacional del Estado Civil, en vigencia de la Resolucion N° 1074 del 04/02/2020 por medio de la cual se estableció la fecha de realización de las elecciones de Consejos Municipales y Locales  de Juventud , modificada por la Resolución N° 2031 del 27/02/2020 y por la 2563 del del 11/03/2020, adelanto varias de las actividades  descritas en el calendario electoral como certificacion de Divipole, certificacion poblacional, expedida por cada uno de los Alcaldes municipales y la creacion en cada uno de los municipios de los Comites Organizadores de las Elecciones de los Consejos de Juventud. Teniendo en cuenta que la Organización Mundial de la Salud OMS, declaró la enfermedad por Coronavirus COVID 19 como pandemia, por consecuente el Ministro de Salud y Protección Social mediante resolucion N° 385 del 12/03/2020 declara el estado de emergencia sanitaria en todo el territorio nacional. Como Consecuencia de lo anteriormente expuesto,  el Registrador Nacional del Estado Civil, doctor Alexander Vega Rocha , expide la Resolucion N° 4008 del 03/06/2020, por medio de la cual deja sin efectos la resolución N° 3473 de 2020, teniéndose que la realización de la elección de Consejos Municipales y Locales de Juventud, se remomará una vez se tenga la certeza de la normalización de las condiciones de salud publica en todo el país.
</t>
    </r>
    <r>
      <rPr>
        <b/>
        <sz val="10"/>
        <color theme="1"/>
        <rFont val="Calibri"/>
        <family val="2"/>
        <scheme val="minor"/>
      </rPr>
      <t>Secretaría de Familia:</t>
    </r>
    <r>
      <rPr>
        <sz val="10"/>
        <color theme="1"/>
        <rFont val="Calibri"/>
        <family val="2"/>
        <scheme val="minor"/>
      </rPr>
      <t xml:space="preserve"> No Reportó información.</t>
    </r>
  </si>
  <si>
    <t xml:space="preserve">$1,700,000
</t>
  </si>
  <si>
    <t>$ 1,700,000</t>
  </si>
  <si>
    <r>
      <rPr>
        <b/>
        <sz val="10"/>
        <color theme="1"/>
        <rFont val="Calibri"/>
        <family val="2"/>
        <scheme val="minor"/>
      </rPr>
      <t xml:space="preserve">Alcaldía Filandia:  </t>
    </r>
    <r>
      <rPr>
        <sz val="10"/>
        <color theme="1"/>
        <rFont val="Calibri"/>
        <family val="2"/>
        <scheme val="minor"/>
      </rPr>
      <t>Consulta de información de grupos, expresiones y organizaciones juveniles activos del Municipio de Filandia</t>
    </r>
    <r>
      <rPr>
        <b/>
        <sz val="10"/>
        <color theme="1"/>
        <rFont val="Calibri"/>
        <family val="2"/>
        <scheme val="minor"/>
      </rPr>
      <t xml:space="preserve">
</t>
    </r>
    <r>
      <rPr>
        <sz val="10"/>
        <color theme="1"/>
        <rFont val="Calibri"/>
        <family val="2"/>
        <scheme val="minor"/>
      </rPr>
      <t xml:space="preserve">
</t>
    </r>
    <r>
      <rPr>
        <b/>
        <sz val="10"/>
        <color theme="1"/>
        <rFont val="Calibri"/>
        <family val="2"/>
        <scheme val="minor"/>
      </rPr>
      <t xml:space="preserve">Alcaldía de Salento: </t>
    </r>
    <r>
      <rPr>
        <sz val="10"/>
        <color theme="1"/>
        <rFont val="Calibri"/>
        <family val="2"/>
        <scheme val="minor"/>
      </rPr>
      <t xml:space="preserve">Actualmente está en funcionamiento la Plataforma Municipal de Juventud, en la cual cuenta con 10 integrantes.
</t>
    </r>
    <r>
      <rPr>
        <b/>
        <sz val="10"/>
        <color theme="1"/>
        <rFont val="Calibri"/>
        <family val="2"/>
        <scheme val="minor"/>
      </rPr>
      <t>Alcaldía Pijao:</t>
    </r>
    <r>
      <rPr>
        <sz val="10"/>
        <color theme="1"/>
        <rFont val="Calibri"/>
        <family val="2"/>
        <scheme val="minor"/>
      </rPr>
      <t xml:space="preserve">  El municipio de Pijao cuenta con Plataforma juvenil, se esta reacctivando.
</t>
    </r>
    <r>
      <rPr>
        <b/>
        <sz val="10"/>
        <color theme="1"/>
        <rFont val="Calibri"/>
        <family val="2"/>
        <scheme val="minor"/>
      </rPr>
      <t>Alcaldía de Córdoba:</t>
    </r>
    <r>
      <rPr>
        <sz val="10"/>
        <color theme="1"/>
        <rFont val="Calibri"/>
        <family val="2"/>
        <scheme val="minor"/>
      </rPr>
      <t xml:space="preserve"> se cuenta con la plataforma de juventud la cual se encuentra activa y oprenado.          
</t>
    </r>
    <r>
      <rPr>
        <b/>
        <sz val="10"/>
        <color theme="1"/>
        <rFont val="Calibri"/>
        <family val="2"/>
        <scheme val="minor"/>
      </rPr>
      <t xml:space="preserve">
Alcaldía Calarcá:</t>
    </r>
    <r>
      <rPr>
        <sz val="10"/>
        <color theme="1"/>
        <rFont val="Calibri"/>
        <family val="2"/>
        <scheme val="minor"/>
      </rPr>
      <t xml:space="preserve"> acompañamiento a la elaboracion del plan de trabajo de la plataforma de juventudes,  acompañamiento a las sesiones o actividades de la plataforma de juventud, acompañamiento y apoyo en la organización  a la plataforma de juventud en actividades del plan de trabajo, Estimulos de reconocimiento en el marco de la semana de la juventud(Agenda, lapicero, usb), Realización de comisión concertación y decisión de juventudes( invitaciones, presentación, acta de reunión)
</t>
    </r>
    <r>
      <rPr>
        <b/>
        <sz val="10"/>
        <color theme="1"/>
        <rFont val="Calibri"/>
        <family val="2"/>
        <scheme val="minor"/>
      </rPr>
      <t xml:space="preserve">Alcaldía de La Tebaida: • </t>
    </r>
    <r>
      <rPr>
        <sz val="10"/>
        <color theme="1"/>
        <rFont val="Calibri"/>
        <family val="2"/>
        <scheme val="minor"/>
      </rPr>
      <t>Apoyo a plataforma municipal en las sessiones y prestamo de la casa de la juventud para llevar a cabo sus reuniones.</t>
    </r>
    <r>
      <rPr>
        <b/>
        <sz val="10"/>
        <color theme="1"/>
        <rFont val="Calibri"/>
        <family val="2"/>
        <scheme val="minor"/>
      </rPr>
      <t xml:space="preserve">
</t>
    </r>
    <r>
      <rPr>
        <sz val="10"/>
        <color theme="1"/>
        <rFont val="Calibri"/>
        <family val="2"/>
        <scheme val="minor"/>
      </rPr>
      <t xml:space="preserve">
</t>
    </r>
    <r>
      <rPr>
        <b/>
        <sz val="10"/>
        <color theme="1"/>
        <rFont val="Calibri"/>
        <family val="2"/>
        <scheme val="minor"/>
      </rPr>
      <t xml:space="preserve">Alcaldía de Armenia: </t>
    </r>
    <r>
      <rPr>
        <sz val="10"/>
        <color theme="1"/>
        <rFont val="Calibri"/>
        <family val="2"/>
        <scheme val="minor"/>
      </rPr>
      <t xml:space="preserve">1.   REUNIONES DE ACOMPAÑAMIENTO A LAS REUNIONES DE LA PLATAFORMA JUVENIL,                                                      
 2. ACOMPAÑAMIENTO Y APOYO AL PLAN DE ACCIÓN DE LA PLATAFORMA EN EL TERCER  TRISMETRE DEL AÑO 2020       
</t>
    </r>
    <r>
      <rPr>
        <b/>
        <sz val="10"/>
        <color theme="1"/>
        <rFont val="Calibri"/>
        <family val="2"/>
        <scheme val="minor"/>
      </rPr>
      <t>Secretaría de Familia:</t>
    </r>
    <r>
      <rPr>
        <sz val="10"/>
        <color theme="1"/>
        <rFont val="Calibri"/>
        <family val="2"/>
        <scheme val="minor"/>
      </rPr>
      <t xml:space="preserve"> No Reportó información.
</t>
    </r>
  </si>
  <si>
    <t xml:space="preserve">$ 400,000
</t>
  </si>
  <si>
    <r>
      <rPr>
        <b/>
        <sz val="10"/>
        <color theme="1"/>
        <rFont val="Calibri"/>
        <family val="2"/>
        <scheme val="minor"/>
      </rPr>
      <t xml:space="preserve">Alcaldía de Salento: </t>
    </r>
    <r>
      <rPr>
        <sz val="10"/>
        <color theme="1"/>
        <rFont val="Calibri"/>
        <family val="2"/>
        <scheme val="minor"/>
      </rPr>
      <t xml:space="preserve">Hasta el momento se ha realizado el 13 de Febrero de 2020 la primera Asamblea Municipal de Juventud en el municipio de Salento.
</t>
    </r>
    <r>
      <rPr>
        <b/>
        <sz val="10"/>
        <color theme="1"/>
        <rFont val="Calibri"/>
        <family val="2"/>
        <scheme val="minor"/>
      </rPr>
      <t>Alcaldía Circasia:</t>
    </r>
    <r>
      <rPr>
        <sz val="10"/>
        <color theme="1"/>
        <rFont val="Calibri"/>
        <family val="2"/>
        <scheme val="minor"/>
      </rPr>
      <t xml:space="preserve"> A la fecha se han realizado 2 asambleas juveniles con una asistencia de las linea sbases y jovenes d ela comunidad 
</t>
    </r>
    <r>
      <rPr>
        <b/>
        <sz val="10"/>
        <color theme="1"/>
        <rFont val="Calibri"/>
        <family val="2"/>
        <scheme val="minor"/>
      </rPr>
      <t xml:space="preserve">Alcaldía de Montenegro: </t>
    </r>
    <r>
      <rPr>
        <sz val="10"/>
        <color theme="1"/>
        <rFont val="Calibri"/>
        <family val="2"/>
        <scheme val="minor"/>
      </rPr>
      <t xml:space="preserve">A la fecha  se cumple con las 2 asambleas anuales propuestas por la ley estatutaria  2020.
</t>
    </r>
    <r>
      <rPr>
        <b/>
        <sz val="10"/>
        <color theme="1"/>
        <rFont val="Calibri"/>
        <family val="2"/>
        <scheme val="minor"/>
      </rPr>
      <t xml:space="preserve">Alcaldía de La Tebaida: </t>
    </r>
    <r>
      <rPr>
        <sz val="10"/>
        <color theme="1"/>
        <rFont val="Calibri"/>
        <family val="2"/>
        <scheme val="minor"/>
      </rPr>
      <t xml:space="preserve">se realizo la segunda asamblea de juventud el dia 31 de julio por medio de facebook life con la intencion de darle cumplimiento a la ley. </t>
    </r>
    <r>
      <rPr>
        <b/>
        <sz val="10"/>
        <color theme="1"/>
        <rFont val="Calibri"/>
        <family val="2"/>
        <scheme val="minor"/>
      </rPr>
      <t xml:space="preserve">
</t>
    </r>
    <r>
      <rPr>
        <sz val="10"/>
        <color theme="1"/>
        <rFont val="Calibri"/>
        <family val="2"/>
        <scheme val="minor"/>
      </rPr>
      <t xml:space="preserve">
</t>
    </r>
    <r>
      <rPr>
        <b/>
        <sz val="10"/>
        <color theme="1"/>
        <rFont val="Calibri"/>
        <family val="2"/>
        <scheme val="minor"/>
      </rPr>
      <t xml:space="preserve">Alcaldía de Armenia: </t>
    </r>
    <r>
      <rPr>
        <sz val="10"/>
        <color theme="1"/>
        <rFont val="Calibri"/>
        <family val="2"/>
        <scheme val="minor"/>
      </rPr>
      <t xml:space="preserve">1. REALIZACION DE 2 ASAMBLEAS JUVENILES, EL 29 DE ENERO DEL AÑO 2020 Y EL 6 DE AGOSTO DE 2020.
</t>
    </r>
    <r>
      <rPr>
        <b/>
        <sz val="10"/>
        <color theme="1"/>
        <rFont val="Calibri"/>
        <family val="2"/>
        <scheme val="minor"/>
      </rPr>
      <t xml:space="preserve">
Alcaldía Pijao:</t>
    </r>
    <r>
      <rPr>
        <sz val="10"/>
        <color theme="1"/>
        <rFont val="Calibri"/>
        <family val="2"/>
        <scheme val="minor"/>
      </rPr>
      <t xml:space="preserve"> No se ha convocado a asamblea.
</t>
    </r>
    <r>
      <rPr>
        <b/>
        <sz val="10"/>
        <color theme="1"/>
        <rFont val="Calibri"/>
        <family val="2"/>
        <scheme val="minor"/>
      </rPr>
      <t>Alcaldía Filandia:</t>
    </r>
    <r>
      <rPr>
        <sz val="10"/>
        <color theme="1"/>
        <rFont val="Calibri"/>
        <family val="2"/>
        <scheme val="minor"/>
      </rPr>
      <t xml:space="preserve">  La primera asamblea juvenil se realizará el día 05 mayo 2021  debido a que ha sido aplazada por temas de salud pública (Covid19).
</t>
    </r>
    <r>
      <rPr>
        <b/>
        <sz val="10"/>
        <color theme="1"/>
        <rFont val="Calibri"/>
        <family val="2"/>
        <scheme val="minor"/>
      </rPr>
      <t xml:space="preserve">Alcaldía Quimbaya: </t>
    </r>
    <r>
      <rPr>
        <sz val="10"/>
        <color theme="1"/>
        <rFont val="Calibri"/>
        <family val="2"/>
        <scheme val="minor"/>
      </rPr>
      <t xml:space="preserve">APOYO Y ACOMPAÑAMIENTO A LA PLATAFORMA MUNICIPAL DE JUVENTUD. SI, SE HA HECHO FORMACION DE LIDERAZGO , Y MOTIVACON PARA FORTALECER LA PLATAFORMA MUNICIPAL DE JUVENTUD.
</t>
    </r>
    <r>
      <rPr>
        <b/>
        <sz val="10"/>
        <color theme="1"/>
        <rFont val="Calibri"/>
        <family val="2"/>
        <scheme val="minor"/>
      </rPr>
      <t xml:space="preserve">Alcaldía de Córdoba: </t>
    </r>
    <r>
      <rPr>
        <sz val="10"/>
        <color theme="1"/>
        <rFont val="Calibri"/>
        <family val="2"/>
        <scheme val="minor"/>
      </rPr>
      <t xml:space="preserve">no se han realizado asambleas.           
</t>
    </r>
    <r>
      <rPr>
        <b/>
        <sz val="10"/>
        <color theme="1"/>
        <rFont val="Calibri"/>
        <family val="2"/>
        <scheme val="minor"/>
      </rPr>
      <t>Alcaldía Calarcá:</t>
    </r>
    <r>
      <rPr>
        <sz val="10"/>
        <color theme="1"/>
        <rFont val="Calibri"/>
        <family val="2"/>
        <scheme val="minor"/>
      </rPr>
      <t xml:space="preserve"> SE REALIZARON DOS ASAMBLEAS MUNICIPALES EN EL MES DE FEBRERO Y EN EL MES DE AGOSTO(DE MANERA VIRTUAL).
</t>
    </r>
    <r>
      <rPr>
        <b/>
        <sz val="10"/>
        <color theme="1"/>
        <rFont val="Calibri"/>
        <family val="2"/>
        <scheme val="minor"/>
      </rPr>
      <t xml:space="preserve">Secretaria de Familia: </t>
    </r>
    <r>
      <rPr>
        <sz val="10"/>
        <color theme="1"/>
        <rFont val="Calibri"/>
        <family val="2"/>
        <scheme val="minor"/>
      </rPr>
      <t>Se realizó una asamblea juvenil en el primer semestre 2020.</t>
    </r>
  </si>
  <si>
    <t>PROGRAMADO 
(Meta al 2021)</t>
  </si>
  <si>
    <r>
      <rPr>
        <b/>
        <sz val="10"/>
        <rFont val="Calibri"/>
        <family val="2"/>
        <scheme val="minor"/>
      </rPr>
      <t>Alcaldía de Circasia:</t>
    </r>
    <r>
      <rPr>
        <sz val="10"/>
        <rFont val="Calibri"/>
        <family val="2"/>
        <scheme val="minor"/>
      </rPr>
      <t xml:space="preserve"> Cuenta con el Acuerdo Municipal 011 del 29 de mayo de 2015, que adopta la Política Pública de Juventud Municipal "Circasia  para la Juventud" 2015-2024
</t>
    </r>
    <r>
      <rPr>
        <b/>
        <sz val="10"/>
        <rFont val="Calibri"/>
        <family val="2"/>
        <scheme val="minor"/>
      </rPr>
      <t>Alcaldía de Salento:</t>
    </r>
    <r>
      <rPr>
        <sz val="10"/>
        <rFont val="Calibri"/>
        <family val="2"/>
        <scheme val="minor"/>
      </rPr>
      <t xml:space="preserve"> Salento cuenta con el Acuerdo Municipal 013 del 15 de Noviembre de 2017, que adopta la Política Pública de Juventud Municipal "Salento para la Juventud" 2017-2027.
</t>
    </r>
    <r>
      <rPr>
        <b/>
        <sz val="10"/>
        <rFont val="Calibri"/>
        <family val="2"/>
        <scheme val="minor"/>
      </rPr>
      <t>Alcaldía de Quimbaya:</t>
    </r>
    <r>
      <rPr>
        <sz val="10"/>
        <rFont val="Calibri"/>
        <family val="2"/>
        <scheme val="minor"/>
      </rPr>
      <t xml:space="preserve"> La Política Pública Municipal de Juventud de Quimbaya, se encuentra adoptada y se está implementando.
</t>
    </r>
    <r>
      <rPr>
        <b/>
        <sz val="10"/>
        <rFont val="Calibri"/>
        <family val="2"/>
        <scheme val="minor"/>
      </rPr>
      <t xml:space="preserve">Alcaldía de Buenavista: </t>
    </r>
    <r>
      <rPr>
        <sz val="10"/>
        <rFont val="Calibri"/>
        <family val="2"/>
        <scheme val="minor"/>
      </rPr>
      <t xml:space="preserve">Política Publica de Juventud en proceso de implementación, para lograr dicho objetivo se cuenta con un contratista con funciones de implementar y hacer seguimiento al plan de acción. Además el plan de acción de la Política Pública de Juventud armonizado con el Plan de Desarrollo Buenavista es lo Nuestro 2020-2023.
</t>
    </r>
    <r>
      <rPr>
        <b/>
        <sz val="10"/>
        <rFont val="Calibri"/>
        <family val="2"/>
        <scheme val="minor"/>
      </rPr>
      <t>Alcaldía de La Tebaida:</t>
    </r>
    <r>
      <rPr>
        <sz val="10"/>
        <rFont val="Calibri"/>
        <family val="2"/>
        <scheme val="minor"/>
      </rPr>
      <t xml:space="preserve"> Política Pública formulada desde el 2019, actualmente se evaluó y se rindió informe en Asamblea de Juventud.
</t>
    </r>
    <r>
      <rPr>
        <b/>
        <sz val="10"/>
        <rFont val="Calibri"/>
        <family val="2"/>
        <scheme val="minor"/>
      </rPr>
      <t>Alcaldía de Armenia:</t>
    </r>
    <r>
      <rPr>
        <sz val="10"/>
        <rFont val="Calibri"/>
        <family val="2"/>
        <scheme val="minor"/>
      </rPr>
      <t xml:space="preserve"> La Política Pública de Juventud se encuentra en proceso de revisión para la formulación del plan de acción  del cuatrienio. (Secretaría de Desarrollo Social-Enlaces de Juventud Alcaldía Municipal Armenia)
1.   Realización del plan de acción de la Política Pública (cuatrienio) en concertación con la Plataforma Municipal de Juventudes.                               
</t>
    </r>
    <r>
      <rPr>
        <b/>
        <sz val="10"/>
        <rFont val="Calibri"/>
        <family val="2"/>
        <scheme val="minor"/>
      </rPr>
      <t>Alcaldía de Montenegro:</t>
    </r>
    <r>
      <rPr>
        <sz val="10"/>
        <rFont val="Calibri"/>
        <family val="2"/>
        <scheme val="minor"/>
      </rPr>
      <t xml:space="preserve"> Actualmente se formuló la política pública de juventud sin embargo, se encuentra en proceso de revisión por parte de la oficina jurídica y posteriormente será socializada ante el Concejo Municipal para ser adoptada y continuar con la implementación y seguimiento.
 </t>
    </r>
    <r>
      <rPr>
        <b/>
        <sz val="10"/>
        <rFont val="Calibri"/>
        <family val="2"/>
        <scheme val="minor"/>
      </rPr>
      <t>Alcaldía de Filandia:</t>
    </r>
    <r>
      <rPr>
        <sz val="10"/>
        <rFont val="Calibri"/>
        <family val="2"/>
        <scheme val="minor"/>
      </rPr>
      <t xml:space="preserve">  Cuenta con el acuerdo 021 del 28 de diciembre de 2018 "Por medio del cual se adopta la política pública para el municipio de Filandia "los jóvenes de filandia como herederos del pueblo, dueños de su destino" y se dictan otras disposiciones".
</t>
    </r>
    <r>
      <rPr>
        <b/>
        <sz val="10"/>
        <rFont val="Calibri"/>
        <family val="2"/>
        <scheme val="minor"/>
      </rPr>
      <t>Alcaldía de Pijao:</t>
    </r>
    <r>
      <rPr>
        <sz val="10"/>
        <rFont val="Calibri"/>
        <family val="2"/>
        <scheme val="minor"/>
      </rPr>
      <t xml:space="preserve"> La Política se encuentra en proceso de formulación, es importante resaltar que existe el acuerdo 007 de 2009 que crea el Consejo Municipal de Juventud.
</t>
    </r>
    <r>
      <rPr>
        <b/>
        <sz val="10"/>
        <rFont val="Calibri"/>
        <family val="2"/>
        <scheme val="minor"/>
      </rPr>
      <t>Alcaldía de Córdoba:</t>
    </r>
    <r>
      <rPr>
        <sz val="10"/>
        <rFont val="Calibri"/>
        <family val="2"/>
        <scheme val="minor"/>
      </rPr>
      <t xml:space="preserve"> No cuenta con la Politica publica de Juventud, sin embargo se esta programando la construcción de la misma.
</t>
    </r>
    <r>
      <rPr>
        <b/>
        <sz val="10"/>
        <rFont val="Calibri"/>
        <family val="2"/>
        <scheme val="minor"/>
      </rPr>
      <t>Alcaldía Calarcá:</t>
    </r>
    <r>
      <rPr>
        <sz val="10"/>
        <rFont val="Calibri"/>
        <family val="2"/>
        <scheme val="minor"/>
      </rPr>
      <t xml:space="preserve"> Se cuenta con una Política Pública, la cual ya está siendo implementada desde enero de 2020. La Política se formuló durante los años de 2017 y 2018, siendo aprobada por medio del acuerdo 019 del 26 de septiembre de 2018, dicha política cuenta con la participación en su ejecución de diferentes Secretarías de la administración y en articulación con otras instituciones con el fin de dar respuesta oportuna e incluyente a las diversas necesidades de la población.
</t>
    </r>
    <r>
      <rPr>
        <b/>
        <sz val="10"/>
        <rFont val="Calibri"/>
        <family val="2"/>
        <scheme val="minor"/>
      </rPr>
      <t>Secretaría de Familia:</t>
    </r>
    <r>
      <rPr>
        <sz val="10"/>
        <rFont val="Calibri"/>
        <family val="2"/>
        <scheme val="minor"/>
      </rPr>
      <t xml:space="preserve"> Reporta que ocho de los doce municipios del Quindío, cuentan con Política Pública de Juventud formulada e implementada.</t>
    </r>
  </si>
  <si>
    <r>
      <t xml:space="preserve">Alcaldía de Salento: </t>
    </r>
    <r>
      <rPr>
        <sz val="10"/>
        <rFont val="Calibri"/>
        <family val="2"/>
        <scheme val="minor"/>
      </rPr>
      <t xml:space="preserve">En el municipio de Salento, la dependencia responsable del sistema municipal de juventud es la Subsecretaría de Cultura y Deporte. Además acompañan el proceso, las Secretarías de Gobierno, Administrativa, TICS y la Secretaría de Turismo y Desarrollo Económico, en asuntos de su competencia y con relación en los temas de juventud.
</t>
    </r>
    <r>
      <rPr>
        <b/>
        <sz val="10"/>
        <rFont val="Calibri"/>
        <family val="2"/>
        <scheme val="minor"/>
      </rPr>
      <t>Alcaldía Calarcá:</t>
    </r>
    <r>
      <rPr>
        <sz val="10"/>
        <rFont val="Calibri"/>
        <family val="2"/>
        <scheme val="minor"/>
      </rPr>
      <t xml:space="preserve"> Se cuenta con un programa que cobija la población juvenil, el programa es el de Primera Infancia, Adolescencia y Juventud, adscrito a la Secretaría de Servicios Sociales y Salud de la alcaldía municipal, allí se llevan a cabo las acciones que dan cumplimiento a la Política Publica de Juventud, así como los espacios democráticos y participativos como la Comisión de Concertación y Decisión, las Asambleas de Juventud Municipales, apoyo a la Plataforma de Juventud Municipal en sesiones y plan de trabajo.
</t>
    </r>
    <r>
      <rPr>
        <b/>
        <sz val="10"/>
        <rFont val="Calibri"/>
        <family val="2"/>
        <scheme val="minor"/>
      </rPr>
      <t xml:space="preserve">Alcaldía de Montenegro: </t>
    </r>
    <r>
      <rPr>
        <sz val="10"/>
        <rFont val="Calibri"/>
        <family val="2"/>
        <scheme val="minor"/>
      </rPr>
      <t xml:space="preserve">Se cuenta actualmente con un enlace de juventud y una contratista para la formulación de la Política Pública de Juventud y dinamización de los espacios de participación. 
</t>
    </r>
    <r>
      <rPr>
        <b/>
        <sz val="10"/>
        <rFont val="Calibri"/>
        <family val="2"/>
        <scheme val="minor"/>
      </rPr>
      <t>Alcaldía de La Tebaida:</t>
    </r>
    <r>
      <rPr>
        <sz val="10"/>
        <rFont val="Calibri"/>
        <family val="2"/>
        <scheme val="minor"/>
      </rPr>
      <t xml:space="preserve"> Se  encuentra adscrita a la Dirección Administrativa de Servicios Sociales,  la cual cuenta con una profesional de población vulnerable encargada del Sistema de Juventud de acuerdo a la ley 1622 del 2013 y la 1885 del 2018. Finalmente se cuenta con rubro para juventud.
</t>
    </r>
    <r>
      <rPr>
        <b/>
        <sz val="10"/>
        <rFont val="Calibri"/>
        <family val="2"/>
        <scheme val="minor"/>
      </rPr>
      <t>Alcaldía de Filandia</t>
    </r>
    <r>
      <rPr>
        <sz val="10"/>
        <rFont val="Calibri"/>
        <family val="2"/>
        <scheme val="minor"/>
      </rPr>
      <t xml:space="preserve">: Contratación por prestación de servicios de una Trabajadora Social que se desempeña como Enlace Municipal de Juventud de la Alcaldía de Filandia.
</t>
    </r>
    <r>
      <rPr>
        <b/>
        <sz val="10"/>
        <rFont val="Calibri"/>
        <family val="2"/>
        <scheme val="minor"/>
      </rPr>
      <t>Alcaldía de Armenia</t>
    </r>
    <r>
      <rPr>
        <sz val="10"/>
        <rFont val="Calibri"/>
        <family val="2"/>
        <scheme val="minor"/>
      </rPr>
      <t xml:space="preserve">: Se tiene previsto la creación de la oficina de Secretaría de Familia para el año 2021 donde se tiene establecido la oficina correspondiente de juventudes.
</t>
    </r>
    <r>
      <rPr>
        <b/>
        <sz val="10"/>
        <rFont val="Calibri"/>
        <family val="2"/>
        <scheme val="minor"/>
      </rPr>
      <t>Secretaría de Familia: R</t>
    </r>
    <r>
      <rPr>
        <sz val="10"/>
        <rFont val="Calibri"/>
        <family val="2"/>
        <scheme val="minor"/>
      </rPr>
      <t xml:space="preserve">esponde que a la fecha, todos los entes territoriales cuentan con un enlace con funciones orientadas a la atención de juventud.
</t>
    </r>
    <r>
      <rPr>
        <b/>
        <sz val="10"/>
        <rFont val="Calibri"/>
        <family val="2"/>
        <scheme val="minor"/>
      </rPr>
      <t xml:space="preserve">Alcaldía de Buenavista: </t>
    </r>
    <r>
      <rPr>
        <sz val="10"/>
        <rFont val="Calibri"/>
        <family val="2"/>
        <scheme val="minor"/>
      </rPr>
      <t>Actualmente, se cuenta con un enlace de juventud para realizar el seguimiento a la Política Pública y dinamizar los espacios de participación</t>
    </r>
    <r>
      <rPr>
        <b/>
        <sz val="10"/>
        <rFont val="Calibri"/>
        <family val="2"/>
        <scheme val="minor"/>
      </rPr>
      <t xml:space="preserve">.
Alcaldía de Cordoba: </t>
    </r>
    <r>
      <rPr>
        <sz val="10"/>
        <rFont val="Calibri"/>
        <family val="2"/>
        <scheme val="minor"/>
      </rPr>
      <t>La Administración Municipal cuenta con el enlace de juventud mediante contrato de prestación de servicios.</t>
    </r>
  </si>
  <si>
    <r>
      <rPr>
        <b/>
        <sz val="10"/>
        <rFont val="Calibri"/>
        <family val="2"/>
        <scheme val="minor"/>
      </rPr>
      <t>Alcaldía de Circasia:</t>
    </r>
    <r>
      <rPr>
        <sz val="10"/>
        <rFont val="Calibri"/>
        <family val="2"/>
        <scheme val="minor"/>
      </rPr>
      <t xml:space="preserve"> La Política Pública de Juventud Municipal está articulada con la Política de Juventud Departamental, en este trimestre se encuentra en proceso de actualización, además se trabajaron los planes de acción de cada población y se está realizando el acto administrativo para reglamentar los espacios de participación según la ley 1622 del 2013</t>
    </r>
    <r>
      <rPr>
        <b/>
        <sz val="10"/>
        <rFont val="Calibri"/>
        <family val="2"/>
        <scheme val="minor"/>
      </rPr>
      <t xml:space="preserve">
Alcaldía de Salento</t>
    </r>
    <r>
      <rPr>
        <sz val="10"/>
        <rFont val="Calibri"/>
        <family val="2"/>
        <scheme val="minor"/>
      </rPr>
      <t xml:space="preserve">: La Política Pública de Juventud Municipal está articulada con la Política de Juventud Departamental y con la normativa juvenil vigente.
</t>
    </r>
    <r>
      <rPr>
        <b/>
        <sz val="10"/>
        <rFont val="Calibri"/>
        <family val="2"/>
        <scheme val="minor"/>
      </rPr>
      <t>Alcaldía de La Tebaida:</t>
    </r>
    <r>
      <rPr>
        <sz val="10"/>
        <rFont val="Calibri"/>
        <family val="2"/>
        <scheme val="minor"/>
      </rPr>
      <t xml:space="preserve"> En este trimestre se realizó la ultima sesion del Consejo de Política Social, en donde se rindió cuentas de la política pública de juventud.
</t>
    </r>
    <r>
      <rPr>
        <b/>
        <sz val="10"/>
        <rFont val="Calibri"/>
        <family val="2"/>
        <scheme val="minor"/>
      </rPr>
      <t>Alcaldía Montenegro</t>
    </r>
    <r>
      <rPr>
        <sz val="10"/>
        <rFont val="Calibri"/>
        <family val="2"/>
        <scheme val="minor"/>
      </rPr>
      <t xml:space="preserve">: Se está trabajando en la formulación de la Política Pública de Juventud,  la cual se estará armonizada con la Política Pública de Juventud Departamental. 
</t>
    </r>
    <r>
      <rPr>
        <b/>
        <sz val="10"/>
        <rFont val="Calibri"/>
        <family val="2"/>
        <scheme val="minor"/>
      </rPr>
      <t xml:space="preserve">Alcaldía Calarcá: </t>
    </r>
    <r>
      <rPr>
        <sz val="10"/>
        <rFont val="Calibri"/>
        <family val="2"/>
        <scheme val="minor"/>
      </rPr>
      <t xml:space="preserve">El municipio de Calarcá cuenta a la fecha con un plan de trabajo de Política Pública, el cual relaciona los ejes estratégicos, líneas de acción, las acciones y dependencias, las cuales desde cada programa darán cumplimiento a la Política de juventud y al plan de acción, también se realiza seguimiento trimestral y/o cuatrimestral.
</t>
    </r>
    <r>
      <rPr>
        <b/>
        <sz val="10"/>
        <rFont val="Calibri"/>
        <family val="2"/>
        <scheme val="minor"/>
      </rPr>
      <t>Alcaldía de Buenavista:</t>
    </r>
    <r>
      <rPr>
        <sz val="10"/>
        <rFont val="Calibri"/>
        <family val="2"/>
        <scheme val="minor"/>
      </rPr>
      <t xml:space="preserve"> Política Pública de Juventud en proceso de implementación, para lograr dicho objetivo se cuenta con un contratista con funciones de implementar y hacer seguimiento al plan de acción, también  se cuenta con el plan de acción de la Política Pública de Juventud armonizado con el Plan de Desarrollo Buenavista es lo Nuestro 2020-2023.
</t>
    </r>
    <r>
      <rPr>
        <b/>
        <sz val="10"/>
        <rFont val="Calibri"/>
        <family val="2"/>
        <scheme val="minor"/>
      </rPr>
      <t xml:space="preserve">Alcaldía de Cordoba: </t>
    </r>
    <r>
      <rPr>
        <sz val="10"/>
        <rFont val="Calibri"/>
        <family val="2"/>
        <scheme val="minor"/>
      </rPr>
      <t xml:space="preserve">No cuenta con la Politica Pública de Juventud, sin embargo se esta programando la construcción de la misma.  
</t>
    </r>
    <r>
      <rPr>
        <b/>
        <sz val="10"/>
        <rFont val="Calibri"/>
        <family val="2"/>
        <scheme val="minor"/>
      </rPr>
      <t>Alcaldía de Filandia:</t>
    </r>
    <r>
      <rPr>
        <sz val="10"/>
        <rFont val="Calibri"/>
        <family val="2"/>
        <scheme val="minor"/>
      </rPr>
      <t xml:space="preserve">  La Política Pública de Juventud Municipal está articulada con la Política de Juventud Departamental, en este trimestre se encuentra en proceso de medición.
</t>
    </r>
    <r>
      <rPr>
        <b/>
        <sz val="10"/>
        <rFont val="Calibri"/>
        <family val="2"/>
        <scheme val="minor"/>
      </rPr>
      <t>Secretaría de Familia:</t>
    </r>
    <r>
      <rPr>
        <sz val="10"/>
        <rFont val="Calibri"/>
        <family val="2"/>
        <scheme val="minor"/>
      </rPr>
      <t xml:space="preserve"> Reporta que los planes y políticas públicas de juventud municipales se encuentran armonizados con la Política Pública Departamental. </t>
    </r>
  </si>
  <si>
    <r>
      <rPr>
        <b/>
        <sz val="10"/>
        <rFont val="Calibri"/>
        <family val="2"/>
        <scheme val="minor"/>
      </rPr>
      <t xml:space="preserve">Secretaría de Familia: </t>
    </r>
    <r>
      <rPr>
        <sz val="10"/>
        <rFont val="Calibri"/>
        <family val="2"/>
        <scheme val="minor"/>
      </rPr>
      <t xml:space="preserve">Reporta la existencia de la Plataforma Departamental de Juventud, realización de Asambleas Juveniles, Comisiones de Concertación y Decisión y fortalecimiento de los Consejos de Juventud. </t>
    </r>
  </si>
  <si>
    <r>
      <rPr>
        <b/>
        <sz val="10"/>
        <rFont val="Calibri"/>
        <family val="2"/>
        <scheme val="minor"/>
      </rPr>
      <t xml:space="preserve">Alcaldía de Montenegro: </t>
    </r>
    <r>
      <rPr>
        <sz val="10"/>
        <rFont val="Calibri"/>
        <family val="2"/>
        <scheme val="minor"/>
      </rPr>
      <t>En el municipio hay Plataforma activa de Juventud, se le da cumplimiento a la realización de las Asambleas Juveniles, Consejo de Juventud electo, y se tiene Comisión de Concertación y Decisión reglamentada mediante resolución 1548 del 2018.</t>
    </r>
    <r>
      <rPr>
        <b/>
        <sz val="10"/>
        <rFont val="Calibri"/>
        <family val="2"/>
        <scheme val="minor"/>
      </rPr>
      <t xml:space="preserve">
Alcaldía de Circasia:</t>
    </r>
    <r>
      <rPr>
        <sz val="10"/>
        <rFont val="Calibri"/>
        <family val="2"/>
        <scheme val="minor"/>
      </rPr>
      <t xml:space="preserve"> Está en proceso el acto administrativo para la Comisión de Concertación y Decisión Juvenil que canalizará la gestión municipal en materia de juventud, además se cuenta con la Plataforma de Juventud y realización de Asambleas.
</t>
    </r>
    <r>
      <rPr>
        <b/>
        <sz val="10"/>
        <rFont val="Calibri"/>
        <family val="2"/>
        <scheme val="minor"/>
      </rPr>
      <t xml:space="preserve">Alcaldía de Salento: </t>
    </r>
    <r>
      <rPr>
        <sz val="10"/>
        <rFont val="Calibri"/>
        <family val="2"/>
        <scheme val="minor"/>
      </rPr>
      <t>Actualmente se cuenta con la Plataforma Juvenil conformada y funcionando, también la Comisión de Concertación y Decisión Juvenil.</t>
    </r>
    <r>
      <rPr>
        <b/>
        <sz val="10"/>
        <rFont val="Calibri"/>
        <family val="2"/>
        <scheme val="minor"/>
      </rPr>
      <t xml:space="preserve">
Alcaldía La Tebaida:</t>
    </r>
    <r>
      <rPr>
        <sz val="10"/>
        <rFont val="Calibri"/>
        <family val="2"/>
        <scheme val="minor"/>
      </rPr>
      <t xml:space="preserve"> se rindió la última sesión de la Comisión de Concertación y se rindió información sobre la agenda de juventud. </t>
    </r>
    <r>
      <rPr>
        <b/>
        <sz val="10"/>
        <rFont val="Calibri"/>
        <family val="2"/>
        <scheme val="minor"/>
      </rPr>
      <t xml:space="preserve">
Alcaldía de Armenia: </t>
    </r>
    <r>
      <rPr>
        <sz val="10"/>
        <rFont val="Calibri"/>
        <family val="2"/>
        <scheme val="minor"/>
      </rPr>
      <t>Se realizará el decreto para la creación del Sistema Municipal de Juventudes. Actualmente se encuentra en proceso de revisión desde el área jurídica de la Secretaría de Desarrollo Social y posteriormente a la aprobación y firma del señor Alcalde.</t>
    </r>
    <r>
      <rPr>
        <b/>
        <sz val="10"/>
        <rFont val="Calibri"/>
        <family val="2"/>
        <scheme val="minor"/>
      </rPr>
      <t xml:space="preserve">
Alcaldía de Filandia: </t>
    </r>
    <r>
      <rPr>
        <sz val="10"/>
        <rFont val="Calibri"/>
        <family val="2"/>
        <scheme val="minor"/>
      </rPr>
      <t xml:space="preserve">Este subsistema aún no se ha conformado pero se han contactado líderes juveniles para su conformación.
</t>
    </r>
    <r>
      <rPr>
        <b/>
        <sz val="10"/>
        <rFont val="Calibri"/>
        <family val="2"/>
        <scheme val="minor"/>
      </rPr>
      <t>Secretaría de Familia</t>
    </r>
    <r>
      <rPr>
        <sz val="10"/>
        <rFont val="Calibri"/>
        <family val="2"/>
        <scheme val="minor"/>
      </rPr>
      <t xml:space="preserve">: Se reporta que once de los doce municipios quindianos, cuentan con Plataforma de Juventud operando, realización de Asambleas juveniles, cumplimiento de las Comisiones de Concertación y Decisión y los Consejos Municipales de Juventud electos.
</t>
    </r>
    <r>
      <rPr>
        <b/>
        <sz val="10"/>
        <rFont val="Calibri"/>
        <family val="2"/>
        <scheme val="minor"/>
      </rPr>
      <t>Alcaldia de Calarcá</t>
    </r>
    <r>
      <rPr>
        <sz val="10"/>
        <rFont val="Calibri"/>
        <family val="2"/>
        <scheme val="minor"/>
      </rPr>
      <t xml:space="preserve">: En el municipio hay Plataforma activa de Juventud, se le da cumplimiento a la realización de las Asambleas Juveniles, se realiza Comisión de Concertación y Decisión de juentudes y apoyo en la ejecución de actividades del plan de trabajo. 
</t>
    </r>
    <r>
      <rPr>
        <b/>
        <sz val="10"/>
        <rFont val="Calibri"/>
        <family val="2"/>
        <scheme val="minor"/>
      </rPr>
      <t xml:space="preserve">Alcaldía de Córdoba: </t>
    </r>
    <r>
      <rPr>
        <sz val="10"/>
        <rFont val="Calibri"/>
        <family val="2"/>
        <scheme val="minor"/>
      </rPr>
      <t xml:space="preserve">No cuenta con la plataforma juvenil activa.
</t>
    </r>
    <r>
      <rPr>
        <b/>
        <sz val="10"/>
        <rFont val="Calibri"/>
        <family val="2"/>
        <scheme val="minor"/>
      </rPr>
      <t xml:space="preserve">Alcaldía de Buenavista: </t>
    </r>
    <r>
      <rPr>
        <sz val="10"/>
        <rFont val="Calibri"/>
        <family val="2"/>
        <scheme val="minor"/>
      </rPr>
      <t>Se cuenta con la Plataforma Municipal de Juventud, recientemente actualizada. La Plataforma se encuentra en el proceso de creación de los estatutos.</t>
    </r>
  </si>
  <si>
    <t>$ 4,569,228
$ 12,800,000
$ 4,926,921</t>
  </si>
  <si>
    <t>$ 1,142,307
$ 3,284,614
$ 6,569,228</t>
  </si>
  <si>
    <r>
      <rPr>
        <b/>
        <sz val="10"/>
        <rFont val="Calibri"/>
        <family val="2"/>
        <scheme val="minor"/>
      </rPr>
      <t>Secretaría de Turismo Industria y Comercio:</t>
    </r>
    <r>
      <rPr>
        <sz val="10"/>
        <rFont val="Calibri"/>
        <family val="2"/>
        <scheme val="minor"/>
      </rPr>
      <t xml:space="preserve"> Se capacitaron en marketing digital las 8 jóvenes emprendedoras identificadas en el trimestre pasado. A los demás emprendimientos relacionados en el primer y segundo trimestre, se les brindó información y requisitos acerca de las diecisiete 17 convocatorias realizadas por el Sena, tu dominio Co.o.Com.co;  Colombia productiva, Innpulsa, Crehana, escala tu fintech, SENA.MINTIC; Cemprende y sus diversas oportunidades, taller emprendedores, expmet, planet Budapest, Tertulia TEDI 2021,compra lo nuestro, miércoles de conocimiento CEmprende, feria MAGIC,empresarios y emprendedores de Armenia soy digital, emprendeton gestión empresarial Quindío. 
</t>
    </r>
    <r>
      <rPr>
        <b/>
        <sz val="10"/>
        <rFont val="Calibri"/>
        <family val="2"/>
        <scheme val="minor"/>
      </rPr>
      <t>Secretaría TICS:</t>
    </r>
    <r>
      <rPr>
        <sz val="10"/>
        <rFont val="Calibri"/>
        <family val="2"/>
        <scheme val="minor"/>
      </rPr>
      <t xml:space="preserve"> No reportó información.
</t>
    </r>
    <r>
      <rPr>
        <b/>
        <sz val="10"/>
        <rFont val="Calibri"/>
        <family val="2"/>
        <scheme val="minor"/>
      </rPr>
      <t>SENA:</t>
    </r>
    <r>
      <rPr>
        <sz val="10"/>
        <rFont val="Calibri"/>
        <family val="2"/>
        <scheme val="minor"/>
      </rPr>
      <t xml:space="preserve"> Hasta la fecha se han formado 20.286 aprendices.</t>
    </r>
    <r>
      <rPr>
        <b/>
        <sz val="10"/>
        <rFont val="Calibri"/>
        <family val="2"/>
        <scheme val="minor"/>
      </rPr>
      <t xml:space="preserve">
Nota: </t>
    </r>
    <r>
      <rPr>
        <sz val="10"/>
        <rFont val="Calibri"/>
        <family val="2"/>
        <scheme val="minor"/>
      </rPr>
      <t xml:space="preserve">Es importante resaltar que el indicador y medio de verificación no permiten realizar un adecuado seguimiento al cumplimiento de la actividad ya que como se puede evidenciar desde la Administración Departamental, desde varias Secretarías, se impacta pero no se refleja en el porcentaje de avance.  </t>
    </r>
  </si>
  <si>
    <r>
      <t xml:space="preserve">
</t>
    </r>
    <r>
      <rPr>
        <b/>
        <sz val="10"/>
        <rFont val="Calibri"/>
        <family val="2"/>
        <scheme val="minor"/>
      </rPr>
      <t xml:space="preserve">Cámara de Comercio de Armenia y del Quindío:  </t>
    </r>
    <r>
      <rPr>
        <sz val="10"/>
        <rFont val="Calibri"/>
        <family val="2"/>
        <scheme val="minor"/>
      </rPr>
      <t xml:space="preserve">La Cámara a través del área de INNOVACIÓN (Proyecto EMPRÉNDELO) y a través de su CENTRO DE TRANSFORMACIÓN DIGITAL, ha cumplido con el presente indicador, ya que son programas encaminados a la atención e impulso de emprendedores (nuevas ideas de empresas y proyectos) con herramientas tecnológicas y de medición de impacto en la comunidad en general; no obstante esto, esta especialmente dirigido a emprendedores jóvenes (18 a 35 años) etc. Igualmente, se tiene que 1.151 de las 2.341 empresas creadas, se beneficiaron de la ley de emprendimiento juvenil (1780/2016)
</t>
    </r>
    <r>
      <rPr>
        <b/>
        <sz val="10"/>
        <rFont val="Calibri"/>
        <family val="2"/>
        <scheme val="minor"/>
      </rPr>
      <t xml:space="preserve">Secretaría de Agricultura: </t>
    </r>
    <r>
      <rPr>
        <sz val="10"/>
        <rFont val="Calibri"/>
        <family val="2"/>
        <scheme val="minor"/>
      </rPr>
      <t xml:space="preserve"> No reportó información.
</t>
    </r>
  </si>
  <si>
    <t>$ 8.655.000
$ 1.142.307
$ 3,284,614</t>
  </si>
  <si>
    <r>
      <rPr>
        <b/>
        <sz val="10"/>
        <rFont val="Calibri"/>
        <family val="2"/>
        <scheme val="minor"/>
      </rPr>
      <t>Sena</t>
    </r>
    <r>
      <rPr>
        <sz val="10"/>
        <rFont val="Calibri"/>
        <family val="2"/>
        <scheme val="minor"/>
      </rPr>
      <t xml:space="preserve">: El programa SENNOVA tiene por objetivo fortalecer las competencias orientadas al uso, aplicación y desarrollo de tecnologías avanzadas a través de semilleros de investigación, grupos de investigación aplicada y desarrollo tecnológico por redes de conocimiento, en los centros de formación. Pero no determina un rango de edad entre los aprendices.
</t>
    </r>
    <r>
      <rPr>
        <b/>
        <sz val="10"/>
        <rFont val="Calibri"/>
        <family val="2"/>
        <scheme val="minor"/>
      </rPr>
      <t xml:space="preserve">Secretaría TICS: </t>
    </r>
    <r>
      <rPr>
        <sz val="10"/>
        <rFont val="Calibri"/>
        <family val="2"/>
        <scheme val="minor"/>
      </rPr>
      <t xml:space="preserve">No reportó información.  
</t>
    </r>
    <r>
      <rPr>
        <b/>
        <sz val="10"/>
        <rFont val="Calibri"/>
        <family val="2"/>
        <scheme val="minor"/>
      </rPr>
      <t xml:space="preserve">Secretaría de Agricultura: </t>
    </r>
    <r>
      <rPr>
        <sz val="10"/>
        <rFont val="Calibri"/>
        <family val="2"/>
        <scheme val="minor"/>
      </rPr>
      <t xml:space="preserve"> En el fortalecimiento a la asociatividad se beneficiaron 5 organizaciones rurales donde hacen parte la asociación Asprocergen,  la Asociación Asdegequin y Asoplagen, Asocafés  y la Asociación Apragen del municipio de Génova,  a través del acompañamiento técnico y jurídico de sus procesos; dentro de los que se facilitó la elaboración de contratos de comodato para la entrega de maquinaria y equipos.
</t>
    </r>
  </si>
  <si>
    <t>$ 4.569.228
$ 4.926.921</t>
  </si>
  <si>
    <t>$ 1.142.307
$ 6.569.228</t>
  </si>
  <si>
    <r>
      <rPr>
        <b/>
        <sz val="10"/>
        <rFont val="Calibri"/>
        <family val="2"/>
        <scheme val="minor"/>
      </rPr>
      <t xml:space="preserve">
Secretaría de Agricultura: </t>
    </r>
    <r>
      <rPr>
        <sz val="10"/>
        <rFont val="Calibri"/>
        <family val="2"/>
        <scheme val="minor"/>
      </rPr>
      <t xml:space="preserve">No reportó información.
</t>
    </r>
    <r>
      <rPr>
        <b/>
        <sz val="10"/>
        <rFont val="Calibri"/>
        <family val="2"/>
        <scheme val="minor"/>
      </rPr>
      <t>Secretaría de Turismo Industria y Comercio:</t>
    </r>
    <r>
      <rPr>
        <sz val="10"/>
        <rFont val="Calibri"/>
        <family val="2"/>
        <scheme val="minor"/>
      </rPr>
      <t xml:space="preserve"> Se capacitaron en marketing digital las 8 jóvenes emprendedoras identificadas en el trimestre pasado. A los demás emprendimientos relacionados en el primer y segundo trimestre, se les brindó información y requisitos acerca de las  diecisiete 17 convocatorias realizadas por el Sena, tu dominio Co.o.Com.co;Colombia productiva, Innpulsa,Crehana,escala tu fintech,SENA.MINTIC; Cemprende y sus diversas oportunidades, taller emprendedores,expmet, planet Budapest, Tertulia TEDI 2021, compra lo nuestro, miércoles de conocimiento CEmprende, feria MAGIC,empresarios y emprendedores de Armenia soy digital,emprendeton gestión empresarial Quindío.
</t>
    </r>
  </si>
  <si>
    <r>
      <rPr>
        <b/>
        <sz val="10"/>
        <rFont val="Calibri"/>
        <family val="2"/>
        <scheme val="minor"/>
      </rPr>
      <t xml:space="preserve">
Secretaría de Turismo Industria y Comercio:</t>
    </r>
    <r>
      <rPr>
        <sz val="10"/>
        <rFont val="Calibri"/>
        <family val="2"/>
        <scheme val="minor"/>
      </rPr>
      <t xml:space="preserve"> De acuerdo a reunión sostenida con la Secretaría de Familia en esta vigencia, se revisaron las políticas públicas y se armonizaron los indicadores con las metas del PDD, pero se encontró que este indicador no es competencia de la Secretaría de Turismo, Industria y Comercio.
</t>
    </r>
    <r>
      <rPr>
        <b/>
        <sz val="10"/>
        <rFont val="Calibri"/>
        <family val="2"/>
        <scheme val="minor"/>
      </rPr>
      <t>Cámara de Comercio de Armenia y del Quindío:</t>
    </r>
    <r>
      <rPr>
        <sz val="10"/>
        <rFont val="Calibri"/>
        <family val="2"/>
        <scheme val="minor"/>
      </rPr>
      <t xml:space="preserve"> En Cámara de Comercio en el trimestre Octubre, Noviembre y Diciembre se matricularon 1578 empresas,  de estas se beneficiaron 372 (23,6%) con la exención del pago de matrícula.
</t>
    </r>
  </si>
  <si>
    <r>
      <t>OBSERVACIONES:</t>
    </r>
    <r>
      <rPr>
        <sz val="10"/>
        <rFont val="Calibri"/>
        <family val="2"/>
        <scheme val="minor"/>
      </rPr>
      <t xml:space="preserve"> El último reporte por el SIRITI es del 2019 según lo reportado en el DANE, por lo cual la información reportada no corresponde al año 2021.
</t>
    </r>
    <r>
      <rPr>
        <b/>
        <sz val="10"/>
        <rFont val="Calibri"/>
        <family val="2"/>
        <scheme val="minor"/>
      </rPr>
      <t>Secretaría de Familia:</t>
    </r>
    <r>
      <rPr>
        <sz val="10"/>
        <rFont val="Calibri"/>
        <family val="2"/>
        <scheme val="minor"/>
      </rPr>
      <t xml:space="preserve"> En lo corrido de la vigencia 2021, se realizaron 21 campañas de divulgación para la promoción y prevención de los derechos de los niños, niñas y adolescentes en los municipios de Armenia, Córdoba, Pijao, Montenegro, Circasia, La Tebaida, Filandia y Quimbaya, en temas relacionados con:
- Campaña en el sector hotelero del parque Uribe del municipio de Armenia, La Estación del municipio de La Tebaida y corregimiento de Barcelona, en articulación con la Policía de Turismo, el ICBF y la Secretaría de Turismo, Industria y Comercio, desarrollando jornada de prevención de la Explotación Sexual Comercial de Niños, Niñas y Adolescentes (ESCNNA), Trabajo Infantil y vulneración de derechos de NNA.  
- Campañas virtuales sobre vulneración de derechos dirigido a hogares infantiles del Instituto Colombiano de Bienestar Familiar.
- Campañas en establecimientos de comercio para socializar las rutas de atención en vulneración de derechos en casos de maltrato hacia la mujer, prevención del trabajo infantil y cualquier tipo de vulneración.  
- Campañas presenciales en los municipios de Montenegro, Filandia, Córdoba, Armenia, Quimbaya, Circasia, Pijao y el corregimiento de Barcelona sobre prevención de casos de vulneración de derechos y rutas de atención.</t>
    </r>
  </si>
  <si>
    <t xml:space="preserve">$ 8.655.000
$ 32,355,000
$ 52.735.000
$ 88.229.666
</t>
  </si>
  <si>
    <r>
      <t xml:space="preserve">
</t>
    </r>
    <r>
      <rPr>
        <b/>
        <sz val="10"/>
        <rFont val="Calibri"/>
        <family val="2"/>
        <scheme val="minor"/>
      </rPr>
      <t>Sena</t>
    </r>
    <r>
      <rPr>
        <sz val="10"/>
        <rFont val="Calibri"/>
        <family val="2"/>
        <scheme val="minor"/>
      </rPr>
      <t xml:space="preserve">: Esta actividad es atendida por el programa SENA EMPRENDE RURAL, el cual busca promover la generación de ingresos para la población rural a través de acciones de formación para el desarrollo y fortalecimiento de capacidades y competencias, así como el acompañamiento de las iniciativas productivas rurales orientadas al autoconsumo, los negocios rurales y/o la creación empresa. Por la misión del programa, no distingue en personas atendidas por edad.
</t>
    </r>
    <r>
      <rPr>
        <b/>
        <sz val="10"/>
        <rFont val="Calibri"/>
        <family val="2"/>
        <scheme val="minor"/>
      </rPr>
      <t xml:space="preserve">Secretaría de Agricultura, Desarrollo Rural y Medio Ambiente Departamental: </t>
    </r>
    <r>
      <rPr>
        <sz val="10"/>
        <rFont val="Calibri"/>
        <family val="2"/>
        <scheme val="minor"/>
      </rPr>
      <t xml:space="preserve">Se apoyó en la estructuración y acompañamiento de 16 perfiles de proyectos dentro de la convocatoria del MADR Alianzas Productivas, donde se benefician 45 jóvenes.
</t>
    </r>
    <r>
      <rPr>
        <sz val="10"/>
        <color rgb="FFFF0000"/>
        <rFont val="Calibri"/>
        <family val="2"/>
        <scheme val="minor"/>
      </rPr>
      <t xml:space="preserve">
</t>
    </r>
  </si>
  <si>
    <t xml:space="preserve">$ 226,000,000
$ 2,284,614
</t>
  </si>
  <si>
    <t>$ 85.655.000
$ 4,569,228</t>
  </si>
  <si>
    <r>
      <rPr>
        <b/>
        <sz val="10"/>
        <rFont val="Calibri"/>
        <family val="2"/>
        <scheme val="minor"/>
      </rPr>
      <t>Sena:</t>
    </r>
    <r>
      <rPr>
        <sz val="10"/>
        <rFont val="Calibri"/>
        <family val="2"/>
        <scheme val="minor"/>
      </rPr>
      <t xml:space="preserve"> EL FONDO EMPRENDER está constituido como una cuenta independiente y especial adscrita al Servicio Nacional de Aprendizaje, SENA, y cuyo objeto exclusivo será financiar iniciativas empresariales, en este sentido se están apoyando 65 proyectos juveniles para la consecución de recursos.
</t>
    </r>
    <r>
      <rPr>
        <b/>
        <sz val="10"/>
        <rFont val="Calibri"/>
        <family val="2"/>
        <scheme val="minor"/>
      </rPr>
      <t xml:space="preserve">
Secretaría de Turismo Industria y Comercio:</t>
    </r>
    <r>
      <rPr>
        <sz val="10"/>
        <rFont val="Calibri"/>
        <family val="2"/>
        <scheme val="minor"/>
      </rPr>
      <t xml:space="preserve"> Para el cuarto trimestre de 2021, se capacitaron en marketing digital las 8 jóvenes emprendedoras identificadas en el trimestre pasado. A los demás emprendimientos relacionados en el primer y segundo trimestre, se les brindó información y requisitos acerca de las diecisiete 17 convocatorias realizadas por el Sena, tu dominio Co.o.Com.co;Colombia productiva, Innpulsa, Crehana, escala tu fintech, SENA.MINTIC; Cemprende y sus diversas oportunidades, taller emprendedores,expmet,planet Budapest, Tertulia TEDI 2021, compra lo nuestro, miércoles de conocimiento CEmprende, feria MAGIC, empresarios y emprendedores de Armenia soy digital, emprendeton gestión empresarial Quindío.
</t>
    </r>
    <r>
      <rPr>
        <b/>
        <sz val="10"/>
        <rFont val="Calibri"/>
        <family val="2"/>
        <scheme val="minor"/>
      </rPr>
      <t xml:space="preserve">
Secretaría de Agricultura:</t>
    </r>
    <r>
      <rPr>
        <sz val="10"/>
        <rFont val="Calibri"/>
        <family val="2"/>
        <scheme val="minor"/>
      </rPr>
      <t xml:space="preserve"> Dentro del proceso de fortalecimiento a las 29 asociaciones se lograron beneficiar 50 jóvenes en procesos empresariales, dentro de los que se facilitó la elaboración de contratos de comodato para la entrega de maquinaria y equipos.
</t>
    </r>
  </si>
  <si>
    <r>
      <t xml:space="preserve">Secretaría de Turismo Industria y Comercio: </t>
    </r>
    <r>
      <rPr>
        <sz val="10"/>
        <rFont val="Calibri"/>
        <family val="2"/>
        <scheme val="minor"/>
      </rPr>
      <t>De acuerdo a reunión sostenida con la Secretaría de Familia en esta vigencia, se revisaron las Políticas Públicas y se armonizaron los indicadores con las metas del PDD, pero se encontró que este indicador no es competencia de la Secretaría de Turismo, Industria y Comercio</t>
    </r>
    <r>
      <rPr>
        <b/>
        <sz val="10"/>
        <rFont val="Calibri"/>
        <family val="2"/>
        <scheme val="minor"/>
      </rPr>
      <t xml:space="preserve">
</t>
    </r>
  </si>
  <si>
    <r>
      <rPr>
        <b/>
        <sz val="10"/>
        <rFont val="Calibri"/>
        <family val="2"/>
        <scheme val="minor"/>
      </rPr>
      <t xml:space="preserve">Secretaría de Educación: </t>
    </r>
    <r>
      <rPr>
        <sz val="10"/>
        <rFont val="Calibri"/>
        <family val="2"/>
        <scheme val="minor"/>
      </rPr>
      <t>Para el cuarto trimestre del 2021  se alcanzó una tasa neta en básica secundaria del 76,09%</t>
    </r>
  </si>
  <si>
    <r>
      <t xml:space="preserve">
</t>
    </r>
    <r>
      <rPr>
        <b/>
        <sz val="10"/>
        <rFont val="Calibri"/>
        <family val="2"/>
        <scheme val="minor"/>
      </rPr>
      <t xml:space="preserve">Secretaría de Educación: </t>
    </r>
    <r>
      <rPr>
        <sz val="10"/>
        <rFont val="Calibri"/>
        <family val="2"/>
        <scheme val="minor"/>
      </rPr>
      <t xml:space="preserve">Para el cuarto trimestre del 2021  se alcanzó una tasa neta en el nivel de media del 41,54%
</t>
    </r>
  </si>
  <si>
    <r>
      <t>Observación:</t>
    </r>
    <r>
      <rPr>
        <sz val="10"/>
        <rFont val="Calibri"/>
        <family val="2"/>
        <scheme val="minor"/>
      </rPr>
      <t xml:space="preserve"> Se verifica en la página del Ministerio de Educación Nacional ocho (8) metodologías flexibles.  </t>
    </r>
  </si>
  <si>
    <r>
      <t xml:space="preserve">Universidad San Buenaventura: </t>
    </r>
    <r>
      <rPr>
        <sz val="10"/>
        <rFont val="Calibri"/>
        <family val="2"/>
        <scheme val="minor"/>
      </rPr>
      <t xml:space="preserve">La Universidad de San Buenaventura cuenta con el programa de Becas y/o descuentos donde se otorga descuentos a estudiantes de egresados de colegio bachillerato que cumplen con los requisitos exigidos por la Resolución de Rectoria No. 060 del 27 de noviembre de 2020. En la resolución se hace mención sobre la descripción de los diferentes tipos de descuento, entre ellos se encuentra bachilleres que obtengan las tres mejores pruebas saber 11 y los tres mejores bachilleres de instituciones educativas del valle de Aburrá, Armenia e Ibagué, los tres mejores promedios académicos para bachilleres y normalistas superiores de las Escuelas Normales con las que se tienen convenio, además de descuento para la comunidad afrodescendiente, raizales, victimas de conflicto armado y comunidades indigenas y también a egresados de instituciones que tienen convenio con la Universidad.  
</t>
    </r>
    <r>
      <rPr>
        <b/>
        <sz val="10"/>
        <rFont val="Calibri"/>
        <family val="2"/>
        <scheme val="minor"/>
      </rPr>
      <t>EAM:</t>
    </r>
    <r>
      <rPr>
        <sz val="10"/>
        <rFont val="Calibri"/>
        <family val="2"/>
        <scheme val="minor"/>
      </rPr>
      <t xml:space="preserve"> El 83% de los estudiantes de la institución, son procedentes de colegios del departamento del Quindío. se dieron alivios por 5% y 3% al 100% de los estudiantes antiguos y un 20% para los estudiantes nuevos
</t>
    </r>
    <r>
      <rPr>
        <b/>
        <sz val="10"/>
        <rFont val="Calibri"/>
        <family val="2"/>
        <scheme val="minor"/>
      </rPr>
      <t>Universidad del Quindio:</t>
    </r>
    <r>
      <rPr>
        <sz val="10"/>
        <rFont val="Calibri"/>
        <family val="2"/>
        <scheme val="minor"/>
      </rPr>
      <t xml:space="preserve"> Datos correspondientes al año 2021 segundo semestre, ya que el II semestre del 2021 dió inicio finalizando el mes de agosto de 2021.
</t>
    </r>
    <r>
      <rPr>
        <b/>
        <sz val="10"/>
        <rFont val="Calibri"/>
        <family val="2"/>
        <scheme val="minor"/>
      </rPr>
      <t>Corporación Universitaria Alexander von Humboldt:</t>
    </r>
    <r>
      <rPr>
        <sz val="10"/>
        <rFont val="Calibri"/>
        <family val="2"/>
        <scheme val="minor"/>
      </rPr>
      <t xml:space="preserve"> En cuanto a este aspecto la universidad tiene un relacionamiento permanente con las instituciones de educación media, en el cual ser ofertan un portafolio de servicios que incluye semilleros vocacionales, charlas, participación en ferias universitarias, becas parciales y demás mecanismos que promuevan la vinculación de los estudiantes a la educación media. De igual forma se cuenta con una propuesta (Programa de Articulación al Ciclo Básico Universitario) el cual procura igualmente no solo brindar escenarios de fortalecimiento de competencias transversales para los estudiantes de 11° sino también su vinculación a los diferentes programas académicos de la institución. 
</t>
    </r>
    <r>
      <rPr>
        <b/>
        <sz val="10"/>
        <rFont val="Calibri"/>
        <family val="2"/>
        <scheme val="minor"/>
      </rPr>
      <t>Secretaría de Educación:</t>
    </r>
    <r>
      <rPr>
        <sz val="10"/>
        <rFont val="Calibri"/>
        <family val="2"/>
        <scheme val="minor"/>
      </rPr>
      <t xml:space="preserve"> Este indicador no es competencia de la Secretaría de Educación Departamental del Quindío, ya que dentro de sus competencias está el dirigir, planificar y prestar el servicio educativo en los niveles de preescolar, básica y media en sus distintas modalidades, en condiciones de equidad, eficiencia y calidad.  </t>
    </r>
  </si>
  <si>
    <r>
      <rPr>
        <b/>
        <sz val="10"/>
        <rFont val="Calibri"/>
        <family val="2"/>
        <scheme val="minor"/>
      </rPr>
      <t>Observación:</t>
    </r>
    <r>
      <rPr>
        <sz val="10"/>
        <rFont val="Calibri"/>
        <family val="2"/>
        <scheme val="minor"/>
      </rPr>
      <t xml:space="preserve"> Se verificó en la página del Ministerio de Educación y se encuentran datos correspondientes al año 2019, los cuales están por encima de la meta establecida.
</t>
    </r>
    <r>
      <rPr>
        <b/>
        <sz val="10"/>
        <rFont val="Calibri"/>
        <family val="2"/>
        <scheme val="minor"/>
      </rPr>
      <t xml:space="preserve">Institución Universitaria EAM: </t>
    </r>
    <r>
      <rPr>
        <sz val="10"/>
        <rFont val="Calibri"/>
        <family val="2"/>
        <scheme val="minor"/>
      </rPr>
      <t>Actualmente cuenta con la oficina PAI, la cual hace seguimiento a la inasistencia y bajo rendimiento académico, se calcula y hace seguimiento a las alertas tempranas, realización de asesorías y acompañamiento académico, visitas en aula, seguimiento con trabajo social e intervenciones a grupos solicitadas por docentes o decanos, actualmente cuenta con la deserción en un solo dígito a semestre académico 2021-2</t>
    </r>
    <r>
      <rPr>
        <b/>
        <sz val="10"/>
        <rFont val="Calibri"/>
        <family val="2"/>
        <scheme val="minor"/>
      </rPr>
      <t xml:space="preserve">
Secretaría de Educación: </t>
    </r>
    <r>
      <rPr>
        <sz val="10"/>
        <rFont val="Calibri"/>
        <family val="2"/>
        <scheme val="minor"/>
      </rPr>
      <t xml:space="preserve">Este indicador no es competencia de la Secretaría de Educación Departamental del Quindío, ya que dentro de sus competencias esta el dirigir, planificar y prestar el servicio educativo en los niveles de preescolar, básica y media media en sus distintas modalidades, en condiciones de equidad, eficiencia y calidad.
</t>
    </r>
  </si>
  <si>
    <r>
      <t xml:space="preserve">
</t>
    </r>
    <r>
      <rPr>
        <b/>
        <sz val="10"/>
        <rFont val="Calibri"/>
        <family val="2"/>
        <scheme val="minor"/>
      </rPr>
      <t>Secretaría de Educación:</t>
    </r>
    <r>
      <rPr>
        <sz val="10"/>
        <rFont val="Calibri"/>
        <family val="2"/>
        <scheme val="minor"/>
      </rPr>
      <t xml:space="preserve"> Este indicador no es competencia de la Secretaría de Educación Departamental del Quindío, ya que dentro de sus competencias esta el dirigir, planificar y prestar el servicio educativo en los niveles de preescolar, básica y media media en sus distintas modalidades, en condiciones de equidad, eficiencia y calidad.</t>
    </r>
    <r>
      <rPr>
        <b/>
        <sz val="10"/>
        <rFont val="Calibri"/>
        <family val="2"/>
        <scheme val="minor"/>
      </rPr>
      <t xml:space="preserve">
Universidad San Buenaventura: </t>
    </r>
    <r>
      <rPr>
        <sz val="10"/>
        <rFont val="Calibri"/>
        <family val="2"/>
        <scheme val="minor"/>
      </rPr>
      <t xml:space="preserve">En el programa de acompañamiento y orientación estudiantil liderado por Bienestar Institucional, llevan a cabo diferentes prácticas en conjunto con las facultades y unidades académicas, para detectar y hacer seguimiento a los estudiantes que, por condiciones económicas, académicas, físicas, y/o psicológicas, entre otras, pueden afectar de manera negativa su proceso de aprendizaje y por ende la culminación exitosa de su carrera profesional.
</t>
    </r>
    <r>
      <rPr>
        <b/>
        <sz val="10"/>
        <rFont val="Calibri"/>
        <family val="2"/>
        <scheme val="minor"/>
      </rPr>
      <t xml:space="preserve">Institución Universitaria EAM: </t>
    </r>
    <r>
      <rPr>
        <sz val="10"/>
        <rFont val="Calibri"/>
        <family val="2"/>
        <scheme val="minor"/>
      </rPr>
      <t xml:space="preserve">Actualmente cuenta con la oficina PAI, la cual hace seguimiento a la inasistencia y bajo rendimiento académico, se calcula y hace seguimiento a las alertas tempranas, realización de asesorías y acompañamiento académico, visitas en aula, seguimiento con trabajo social e intervenciones a grupos solicitadas por docentes o decanos, actualmente cuenta con la deserción en un solo dígito a semestre académico 2021-2
</t>
    </r>
    <r>
      <rPr>
        <b/>
        <sz val="10"/>
        <rFont val="Calibri"/>
        <family val="2"/>
        <scheme val="minor"/>
      </rPr>
      <t xml:space="preserve">Corporación Universitaria Alexander von Humboldt: </t>
    </r>
    <r>
      <rPr>
        <sz val="10"/>
        <rFont val="Calibri"/>
        <family val="2"/>
        <scheme val="minor"/>
      </rPr>
      <t xml:space="preserve">En cuanto a este aspecto la universidad tiene un relacionamiento permanente con las instituciones de educación media, en el cual ser ofertan un portafolio de servicios que incluye semilleros vocacionales, charlas, participación en ferias universitarias, becas parciales y demás mecanismos que promuevan la vinculación de los estudiantes a la educación media. De igual forma se cuenta con una propuesta (Programa de Articulación al Ciclo Básico Universitario) el cual procura igualmente no solo brindar escenarios de fortalecimiento de competencias transversales para los estudiantes de 11° sino también su vinculación a los diferentes programas académicos de la institución. 
</t>
    </r>
    <r>
      <rPr>
        <b/>
        <sz val="10"/>
        <rFont val="Calibri"/>
        <family val="2"/>
        <scheme val="minor"/>
      </rPr>
      <t xml:space="preserve">Universidad del Quindio: </t>
    </r>
    <r>
      <rPr>
        <sz val="10"/>
        <rFont val="Calibri"/>
        <family val="2"/>
        <scheme val="minor"/>
      </rPr>
      <t>Datos correspondiente al año 2021 segundo semestre, ya que el II semestre del 2021 dio inicio finalizando el mes de agosto de 2021.</t>
    </r>
  </si>
  <si>
    <r>
      <rPr>
        <b/>
        <sz val="10"/>
        <rFont val="Calibri"/>
        <family val="2"/>
        <scheme val="minor"/>
      </rPr>
      <t xml:space="preserve">Universidad San Buenaventura: </t>
    </r>
    <r>
      <rPr>
        <sz val="10"/>
        <rFont val="Calibri"/>
        <family val="2"/>
        <scheme val="minor"/>
      </rPr>
      <t>No reportó Información.</t>
    </r>
    <r>
      <rPr>
        <b/>
        <sz val="10"/>
        <rFont val="Calibri"/>
        <family val="2"/>
        <scheme val="minor"/>
      </rPr>
      <t xml:space="preserve">
Secretaría de Educación: </t>
    </r>
    <r>
      <rPr>
        <sz val="10"/>
        <rFont val="Calibri"/>
        <family val="2"/>
        <scheme val="minor"/>
      </rPr>
      <t xml:space="preserve">Este indicador no es competencia de la Secretaría de Educación Departamental del Quindío, ya que dentro de sus competencias esta el dirigir, planificar y prestar el servicio educativo en los niveles de preescolar, básica y media media en sus distintas modalidades, en condiciones de equidad, eficiencia y calidad.
</t>
    </r>
    <r>
      <rPr>
        <b/>
        <sz val="10"/>
        <rFont val="Calibri"/>
        <family val="2"/>
        <scheme val="minor"/>
      </rPr>
      <t xml:space="preserve">Corporación Universitaria Alexander von Humboldt: </t>
    </r>
    <r>
      <rPr>
        <sz val="10"/>
        <rFont val="Calibri"/>
        <family val="2"/>
        <scheme val="minor"/>
      </rPr>
      <t xml:space="preserve">En cuanto a este aspecto la universidad tiene un relacionamiento permanente con las instituciones de educación media, en el cual ser ofertan un portafolio de servicios que incluye semilleros vocacionales, charlas, participación en ferias universitarias, becas parciales y demás mecanismos que promuevan la vinculación de los estudiantes a la educación media. De igual forma se cuenta con una propuesta (Programa de Articulación al Ciclo Básico Universitario) el cual procura igualmente no solo brindar escenarios de fortalecimiento de competencias transversales para los estudiantes de 11° sino también su vinculación a los diferentes programas académicos de la institución. 
</t>
    </r>
    <r>
      <rPr>
        <b/>
        <sz val="10"/>
        <rFont val="Calibri"/>
        <family val="2"/>
        <scheme val="minor"/>
      </rPr>
      <t>Universidad del Quindio:</t>
    </r>
    <r>
      <rPr>
        <sz val="10"/>
        <rFont val="Calibri"/>
        <family val="2"/>
        <scheme val="minor"/>
      </rPr>
      <t xml:space="preserve"> Datos correspondientes al año 2021 segundo semestre, ya que el II semestre del 2021 dio inicio finalizando el mes de agosto de 2021.
</t>
    </r>
    <r>
      <rPr>
        <b/>
        <sz val="10"/>
        <rFont val="Calibri"/>
        <family val="2"/>
        <scheme val="minor"/>
      </rPr>
      <t>Observación</t>
    </r>
    <r>
      <rPr>
        <sz val="10"/>
        <rFont val="Calibri"/>
        <family val="2"/>
        <scheme val="minor"/>
      </rPr>
      <t xml:space="preserve">: Se verifica en la página SNIES y se encuentran datos correspondientes al 2019.  </t>
    </r>
    <r>
      <rPr>
        <b/>
        <sz val="10"/>
        <rFont val="Calibri"/>
        <family val="2"/>
        <scheme val="minor"/>
      </rPr>
      <t xml:space="preserve">
</t>
    </r>
  </si>
  <si>
    <r>
      <t>Alcaldía de Salento:</t>
    </r>
    <r>
      <rPr>
        <sz val="10"/>
        <rFont val="Calibri"/>
        <family val="2"/>
        <scheme val="minor"/>
      </rPr>
      <t xml:space="preserve"> El Hospital San Vicente de Paul continúa con el proceso de atención a los jóvenes, a través del programa de Servicios Amigables.
</t>
    </r>
    <r>
      <rPr>
        <b/>
        <sz val="10"/>
        <rFont val="Calibri"/>
        <family val="2"/>
        <scheme val="minor"/>
      </rPr>
      <t>Alcaldía de Quimbaya:</t>
    </r>
    <r>
      <rPr>
        <sz val="10"/>
        <rFont val="Calibri"/>
        <family val="2"/>
        <scheme val="minor"/>
      </rPr>
      <t xml:space="preserve"> Hospital Sagrado Corazón De Jesús: Proceso de atención  a los jóvenes del programa de adulto joven y planificación familiar a  través del programa Servicios Amigables
</t>
    </r>
    <r>
      <rPr>
        <b/>
        <sz val="10"/>
        <rFont val="Calibri"/>
        <family val="2"/>
        <scheme val="minor"/>
      </rPr>
      <t>Alcaldía de Montenegro:</t>
    </r>
    <r>
      <rPr>
        <sz val="10"/>
        <rFont val="Calibri"/>
        <family val="2"/>
        <scheme val="minor"/>
      </rPr>
      <t xml:space="preserve"> No se presta este servicio en el municipio, ya que la prestación de servicios amigables corresponde a ciudades capitales.
</t>
    </r>
    <r>
      <rPr>
        <b/>
        <sz val="10"/>
        <rFont val="Calibri"/>
        <family val="2"/>
        <scheme val="minor"/>
      </rPr>
      <t>Alcaldia de la Tebaida:</t>
    </r>
    <r>
      <rPr>
        <sz val="10"/>
        <rFont val="Calibri"/>
        <family val="2"/>
        <scheme val="minor"/>
      </rPr>
      <t xml:space="preserve"> Hospital Pio X y Direccion de Servicios sociales ya en operaciòn ; Se lleva a cabo taller sobre prevención en consumo de sustancias psicoactivas, el día 15 de  julio del 2021, en la casa de la cultura  a cargo de la Dirección Administrativa de Salud; Se llevó a cabo Información acerca de la importancia de la salud mental durante el Covid 19 y fortalecimiento de la autoestima, el día  28 de julio en la casa de la cultura a cargo de la Dirección Administrativa de Salud;  Se trabajó el tema de la Importancia de la Salud Mental y reducción del estigma y autoestigma frente a la misma el día 05/08/2021, en la  casa de la cultura, a cargo de la Dirección Administrativa de Salud;  Se realizó taller sobre los efectos negativos del consumo de SPA, el 25/08/2021 en la I.E. Gabriela Mistral a cargo de la Dirección Administrativa de Salud.
</t>
    </r>
    <r>
      <rPr>
        <b/>
        <sz val="10"/>
        <rFont val="Calibri"/>
        <family val="2"/>
        <scheme val="minor"/>
      </rPr>
      <t xml:space="preserve">Alcaldía Calarcá: </t>
    </r>
    <r>
      <rPr>
        <sz val="10"/>
        <rFont val="Calibri"/>
        <family val="2"/>
        <scheme val="minor"/>
      </rPr>
      <t xml:space="preserve">Los servicios amigables se implementan desde el hospital la Misericordia como oficina, desde la Secretaria de Salud se ejercen acciones y estrategias para la salud sexual y reproductiva, además se cuenta a la fecha con estrategia de prevención del embarazo. Se promueve el aseguramiento en salud de la población juvenil en el Municipio mediante 5 jornadas al año de afiliación a salud y sensibilización de deberes y derechos en salud, se han realizado 53 afiliaciones a través del aplicativo SAT, y 145 remitidas mediante correos electrónicos, a través de solicitud de oficio para los usuarios que cumplen requisitos de Encuesta SISBEN
Se ha realizado el envío de 157 usuarios para afiliación oficiosa de población migrante y  Se han realizado 15 seguimientos a los casos reportados por evento 356 en SIVIGILA,  En jóvenes entre 13 y 17 años de edad. Se realiza activación de ruta de atención, a los casos que por algún motivo no cuentan con atención con profesional de salud mental. 
</t>
    </r>
    <r>
      <rPr>
        <b/>
        <sz val="10"/>
        <rFont val="Calibri"/>
        <family val="2"/>
        <scheme val="minor"/>
      </rPr>
      <t>Alcaldía Buenavista:</t>
    </r>
    <r>
      <rPr>
        <sz val="10"/>
        <rFont val="Calibri"/>
        <family val="2"/>
        <scheme val="minor"/>
      </rPr>
      <t xml:space="preserve">  El Hospital San Can Camilo, realiza actividades de Control del Joven y la Planificación Familiar de manera programada, de acuerdo a la solicitud de la población. Se realizaron campañas relacionadas a la prevención del embarazo en adolescentes (Semana Andina).
</t>
    </r>
    <r>
      <rPr>
        <b/>
        <sz val="10"/>
        <rFont val="Calibri"/>
        <family val="2"/>
        <scheme val="minor"/>
      </rPr>
      <t xml:space="preserve">Alcaldía de Córdoba: </t>
    </r>
    <r>
      <rPr>
        <sz val="10"/>
        <rFont val="Calibri"/>
        <family val="2"/>
        <scheme val="minor"/>
      </rPr>
      <t xml:space="preserve">La Administración Municipal cuenta con los servicios amigables para los jóvenes, en cuanto: Equipo  interdisciplinario de la comisaría de familia, realizando verificación de derechos, proceso de restablecimiento de derechos "intervencion psicosocial y prevencion" y campañas, y Plan de Acción de Salud.
El hospital San Roque E.S.E. cuenta con el programa de Control del Joven, Planificación Familiar y brigadas de salud en cuanto a vacunas, médico general y odontologia.  
</t>
    </r>
    <r>
      <rPr>
        <b/>
        <sz val="10"/>
        <rFont val="Calibri"/>
        <family val="2"/>
        <scheme val="minor"/>
      </rPr>
      <t>Alcaldía de Filandia:</t>
    </r>
    <r>
      <rPr>
        <sz val="10"/>
        <rFont val="Calibri"/>
        <family val="2"/>
        <scheme val="minor"/>
      </rPr>
      <t xml:space="preserve"> Plan territorial de salud cuenta con programas y atenciones como : Implementación del plan de atención en violencia de género y violencia sexual, vigilancia al proceso de atención de casos de violencia sexual y utilización del kit de emergencia en casos de violencia sexual, asesoramiento en los temas de enfermedades de transmisión sexual y derechos sexuales y reproductivos, seguimiento a la entrega de métodos anticonceptivos mes a mes para esta población, a la IPS Hospital San Vicente de Paúl, seguimiento a las enfermedades de origen mental reportadas por la IPS Municipal en esta población, acciones de registro localización y caracterización de personas con discapacidad cumpliendo con la meta establecida para el municipio de Filandia. 
</t>
    </r>
    <r>
      <rPr>
        <b/>
        <sz val="10"/>
        <rFont val="Calibri"/>
        <family val="2"/>
        <scheme val="minor"/>
      </rPr>
      <t xml:space="preserve">Secretaría de Salud: </t>
    </r>
    <r>
      <rPr>
        <sz val="10"/>
        <rFont val="Calibri"/>
        <family val="2"/>
        <scheme val="minor"/>
      </rPr>
      <t xml:space="preserve">Se realizaron en 12 municipios del Quindío, visitas con talleres educativos y asistencias técnicas y seguimiento  a las IPS de los municipios  donde se le verificó la calidad de la prestación de los servicio de salud que se presta a  los adolescentes y jovenes (SSAAJ) y con especifidad prevención del embarazo. 
</t>
    </r>
  </si>
  <si>
    <r>
      <rPr>
        <b/>
        <sz val="10"/>
        <rFont val="Calibri"/>
        <family val="2"/>
        <scheme val="minor"/>
      </rPr>
      <t>Alcaldía de Salento:</t>
    </r>
    <r>
      <rPr>
        <sz val="10"/>
        <rFont val="Calibri"/>
        <family val="2"/>
        <scheme val="minor"/>
      </rPr>
      <t xml:space="preserve"> Seguimiento a las políticas de salud dadas por el Consejo Municipal de Política Social (COMPOS)
</t>
    </r>
    <r>
      <rPr>
        <b/>
        <sz val="10"/>
        <rFont val="Calibri"/>
        <family val="2"/>
        <scheme val="minor"/>
      </rPr>
      <t>Alcaldía de Montenegro</t>
    </r>
    <r>
      <rPr>
        <sz val="10"/>
        <rFont val="Calibri"/>
        <family val="2"/>
        <scheme val="minor"/>
      </rPr>
      <t xml:space="preserve">: Se tiene un aseguramiento del 100% y se hace a través del Sistema de Afiliación Transaccional (SAT) o afiliación de oficio.
</t>
    </r>
    <r>
      <rPr>
        <b/>
        <sz val="10"/>
        <rFont val="Calibri"/>
        <family val="2"/>
        <scheme val="minor"/>
      </rPr>
      <t xml:space="preserve">Alcaldía de La Tebaida: </t>
    </r>
    <r>
      <rPr>
        <sz val="10"/>
        <rFont val="Calibri"/>
        <family val="2"/>
        <scheme val="minor"/>
      </rPr>
      <t xml:space="preserve">EL 01 septiembre, se llevó a cabo un festival de salud  entre la administración municipal y la EPS Medimas a las afueras de la alcaldía dirigido a jóvenes entre 15 a 17 años de los cuales se vacunó y se registró a la seguridad social. </t>
    </r>
    <r>
      <rPr>
        <b/>
        <sz val="10"/>
        <rFont val="Calibri"/>
        <family val="2"/>
        <scheme val="minor"/>
      </rPr>
      <t xml:space="preserve">Nota: </t>
    </r>
    <r>
      <rPr>
        <sz val="10"/>
        <rFont val="Calibri"/>
        <family val="2"/>
        <scheme val="minor"/>
      </rPr>
      <t xml:space="preserve">total de </t>
    </r>
    <r>
      <rPr>
        <sz val="10"/>
        <color theme="1"/>
        <rFont val="Calibri"/>
        <family val="2"/>
        <scheme val="minor"/>
      </rPr>
      <t xml:space="preserve">afiliados 4.921
</t>
    </r>
    <r>
      <rPr>
        <b/>
        <sz val="10"/>
        <color theme="1"/>
        <rFont val="Calibri"/>
        <family val="2"/>
        <scheme val="minor"/>
      </rPr>
      <t>Alcaldía Buenavista:</t>
    </r>
    <r>
      <rPr>
        <sz val="10"/>
        <color theme="1"/>
        <rFont val="Calibri"/>
        <family val="2"/>
        <scheme val="minor"/>
      </rPr>
      <t xml:space="preserve"> Se revisa la prestación del servicio a jóvenes por parte del plan local de Salud al Hospital San Camilo  
</t>
    </r>
    <r>
      <rPr>
        <b/>
        <sz val="10"/>
        <rFont val="Calibri"/>
        <family val="2"/>
        <scheme val="minor"/>
      </rPr>
      <t>Alcaldía de Pijao</t>
    </r>
    <r>
      <rPr>
        <sz val="10"/>
        <rFont val="Calibri"/>
        <family val="2"/>
        <scheme val="minor"/>
      </rPr>
      <t xml:space="preserve">: Los representantes de los jóvenes son miembros activos y participan en el Comité de Salud Municipal.
</t>
    </r>
    <r>
      <rPr>
        <b/>
        <sz val="10"/>
        <rFont val="Calibri"/>
        <family val="2"/>
        <scheme val="minor"/>
      </rPr>
      <t>Alcaldía Calarcá:</t>
    </r>
    <r>
      <rPr>
        <sz val="10"/>
        <rFont val="Calibri"/>
        <family val="2"/>
        <scheme val="minor"/>
      </rPr>
      <t xml:space="preserve"> Se refiere al aseguramiento en régimen subsidiado de los jóvenes que cumplen con los requisitos.  Cada tres meses se deben realizar encuestas a los jóvenes en calidad del servicio, cabe mencionar que de forma mensual se realizan 150 encuestas en la población Calarqueña.
</t>
    </r>
    <r>
      <rPr>
        <b/>
        <sz val="10"/>
        <rFont val="Calibri"/>
        <family val="2"/>
        <scheme val="minor"/>
      </rPr>
      <t>Alcaldía de Córdoba:</t>
    </r>
    <r>
      <rPr>
        <sz val="10"/>
        <rFont val="Calibri"/>
        <family val="2"/>
        <scheme val="minor"/>
      </rPr>
      <t xml:space="preserve"> Mediante el Plan Local de Salud se realiza seguimiento a la E.S.E Hosptital San Roque de Córdoba, en los espacios de participación en cuanto a al Comité Operativo de Infacia y Adolescencia, Consejo Munisipal de Polica Social - CMPS.</t>
    </r>
    <r>
      <rPr>
        <sz val="10"/>
        <color theme="1"/>
        <rFont val="Calibri"/>
        <family val="2"/>
        <scheme val="minor"/>
      </rPr>
      <t xml:space="preserve">
</t>
    </r>
    <r>
      <rPr>
        <b/>
        <sz val="10"/>
        <color theme="1"/>
        <rFont val="Calibri"/>
        <family val="2"/>
        <scheme val="minor"/>
      </rPr>
      <t xml:space="preserve">Secretaría de Salud: </t>
    </r>
    <r>
      <rPr>
        <sz val="10"/>
        <color theme="1"/>
        <rFont val="Calibri"/>
        <family val="2"/>
        <scheme val="minor"/>
      </rPr>
      <t xml:space="preserve">Socialización con las alcaldías, se efectuaron talleres, visitas a los municipios y auditorías. 
</t>
    </r>
  </si>
  <si>
    <t xml:space="preserve">$ 18,555,000
$ 58,575,000
$77.410.300
$ 143.411.000
$ 150.000.000 </t>
  </si>
  <si>
    <r>
      <t>Alcaldía Filandia:</t>
    </r>
    <r>
      <rPr>
        <sz val="10"/>
        <color theme="1"/>
        <rFont val="Calibri"/>
        <family val="2"/>
        <scheme val="minor"/>
      </rPr>
      <t xml:space="preserve"> Fomento del uso del Centro de Integración Ciudadana, en el cual un instructor de deportes realiza una clase de actividad física musicalizada.
</t>
    </r>
    <r>
      <rPr>
        <b/>
        <sz val="10"/>
        <color theme="1"/>
        <rFont val="Calibri"/>
        <family val="2"/>
        <scheme val="minor"/>
      </rPr>
      <t xml:space="preserve">Alcaldía Circasia: </t>
    </r>
    <r>
      <rPr>
        <sz val="10"/>
        <color theme="1"/>
        <rFont val="Calibri"/>
        <family val="2"/>
        <scheme val="minor"/>
      </rPr>
      <t xml:space="preserve">En la Secretaría De Gobierno y Desarrollo Social, con el coordinador de deportes se atendieron 900 jóvenes, durante estos últimos tres meses en los siguientes programas: Voleibol-futbol, torneo de voleibol, ciclismo y futbol de salón garantizando los espacios de recreación para la juventud.
</t>
    </r>
    <r>
      <rPr>
        <b/>
        <sz val="10"/>
        <color theme="1"/>
        <rFont val="Calibri"/>
        <family val="2"/>
        <scheme val="minor"/>
      </rPr>
      <t>Alcaldía Buenavista:</t>
    </r>
    <r>
      <rPr>
        <sz val="10"/>
        <color theme="1"/>
        <rFont val="Calibri"/>
        <family val="2"/>
        <scheme val="minor"/>
      </rPr>
      <t xml:space="preserve"> El Municipio cuenta con cuatro escuelas de formación deportiva y un profesor para la realización de aeróbicos, además se realiza promoción de eventos deportivos y campeonatos durante el año. Hay 100 jóvenes que hacen parte de las escuelas deportivas del municipio.
Alcaldía Salento: La Subsecretaría de Cultura y Deporte reactivó las Escuelas de Formación Culturales y Deportivas a partir del mes de Septiembre de 2020.
Alcaldía de Córdoba: Se encuentran participando 20 jóvenes en la modalidad de patinaje y 110 que participan en actividades físicas como son: rumba terapia, musculación, aeróbicos, gimnasia aeróbica,  participaron 33 jóvenes en la modalidad de actividad física; ejecutando ejercicios aeróbicos, musculación, cardio y funcionales y 276 jóvenes participaron en la modalidad de patinaje, ciclismo, natación, microfútbol y futbol. 
</t>
    </r>
    <r>
      <rPr>
        <b/>
        <sz val="10"/>
        <color theme="1"/>
        <rFont val="Calibri"/>
        <family val="2"/>
        <scheme val="minor"/>
      </rPr>
      <t xml:space="preserve">Alcaldía de La Tebaida: </t>
    </r>
    <r>
      <rPr>
        <sz val="10"/>
        <color theme="1"/>
        <rFont val="Calibri"/>
        <family val="2"/>
        <scheme val="minor"/>
      </rPr>
      <t xml:space="preserve">Dentro de las modalidades deportivas se cuenta Jóvenes entre 13 a 17 años 168 hombres y 127 mujeres y entre 18 a 28 años 17 hombres y 14 mujeres
</t>
    </r>
    <r>
      <rPr>
        <b/>
        <sz val="10"/>
        <color theme="1"/>
        <rFont val="Calibri"/>
        <family val="2"/>
        <scheme val="minor"/>
      </rPr>
      <t>Alcaldía Quimbaya</t>
    </r>
    <r>
      <rPr>
        <sz val="10"/>
        <color theme="1"/>
        <rFont val="Calibri"/>
        <family val="2"/>
        <scheme val="minor"/>
      </rPr>
      <t xml:space="preserve">: Monitoría de actividad física para jóvenes y monitoría de recreación para jóvenes.
</t>
    </r>
    <r>
      <rPr>
        <b/>
        <sz val="10"/>
        <color theme="1"/>
        <rFont val="Calibri"/>
        <family val="2"/>
        <scheme val="minor"/>
      </rPr>
      <t>Alcaldía Montenegro:</t>
    </r>
    <r>
      <rPr>
        <sz val="10"/>
        <color theme="1"/>
        <rFont val="Calibri"/>
        <family val="2"/>
        <scheme val="minor"/>
      </rPr>
      <t xml:space="preserve"> El 32% de jóvenes que participan en actividades recreativas, deportivas y de actividad física.
Alcaldía de Pijao: Implementación y desarrollo del proyecto hábitos y estilos de vida saludables para el buen uso del tiempo libre con el acompañamiento del equipo interdisciplinario, con escuelas o clases de formación, en Patinaje, futbol, basquetbol, natación.
</t>
    </r>
    <r>
      <rPr>
        <b/>
        <sz val="10"/>
        <color theme="1"/>
        <rFont val="Calibri"/>
        <family val="2"/>
        <scheme val="minor"/>
      </rPr>
      <t>Alcaldía Calarcá:</t>
    </r>
    <r>
      <rPr>
        <sz val="10"/>
        <color theme="1"/>
        <rFont val="Calibri"/>
        <family val="2"/>
        <scheme val="minor"/>
      </rPr>
      <t xml:space="preserve"> Fortalecimiento de escuelas de formación deportiva para la ocupación del tiempo libre de los y las jóvenes entre 14 hasta 28 años en el Municipio donde se ejecutó un presupuesto de $77.410.300, se beneficiaron  personas en actividades como fútbol, patinaje, baloncesto,  fútbol de salón y voleybol. 
</t>
    </r>
    <r>
      <rPr>
        <b/>
        <sz val="10"/>
        <color theme="1"/>
        <rFont val="Calibri"/>
        <family val="2"/>
        <scheme val="minor"/>
      </rPr>
      <t>Alcaldía de Córdoba:</t>
    </r>
    <r>
      <rPr>
        <sz val="10"/>
        <color theme="1"/>
        <rFont val="Calibri"/>
        <family val="2"/>
        <scheme val="minor"/>
      </rPr>
      <t xml:space="preserve"> La administración municipal cuenta con seis escuelas de formación deportiva en donde participan los jóvenes del municipio:  BALONCESTO: 61, FUTBOL: 66, MICROFÚTBOL: 130,  NATACIÓN: 75,  PATINAJE: 25, 
CICLISMO: 37 y el centro de alto rendimiento el GIMNASIO: 96.   
Igualmente se cuenta con las escuelas de formacion cultural, con la participacion de  818 jovenes,  BANDA Y MÚSICA, CUERDAS TÍPICAS Y MÚSICA,  TÉCNICA VOCAL, ARTES PLÁSTICAS, DANZA y BIBLIOTECA. 
</t>
    </r>
    <r>
      <rPr>
        <b/>
        <sz val="10"/>
        <color theme="1"/>
        <rFont val="Calibri"/>
        <family val="2"/>
        <scheme val="minor"/>
      </rPr>
      <t xml:space="preserve">INDEPORTES: </t>
    </r>
    <r>
      <rPr>
        <sz val="10"/>
        <color theme="1"/>
        <rFont val="Calibri"/>
        <family val="2"/>
        <scheme val="minor"/>
      </rPr>
      <t xml:space="preserve">  En la presente vigencia se llevaron a cabo las diferentes actividades inherentes al fomento de los hábitos y estilos de vida saludables en el Departamento del Quindío, mediante sesiones de actividad física dirigida musicalizada. Dichas actividades se reflejaron a través de las siguientes actividades con un total de 1.326  jóvenes entre 18 y 28 años beneficiados, en su mayoría las mujeres fueron las mayores participantes.
</t>
    </r>
  </si>
  <si>
    <r>
      <rPr>
        <b/>
        <sz val="10"/>
        <color theme="1"/>
        <rFont val="Calibri"/>
        <family val="2"/>
        <scheme val="minor"/>
      </rPr>
      <t xml:space="preserve">Secretaría de Salud: </t>
    </r>
    <r>
      <rPr>
        <sz val="10"/>
        <color theme="1"/>
        <rFont val="Calibri"/>
        <family val="2"/>
        <scheme val="minor"/>
      </rPr>
      <t xml:space="preserve">Se realizó acercamiento con los jóvenes y adolescentes de colegios de la cabecera municipal, con los jóvenes y adolescentes de los centros de la casa de la cultura, con los grupos de juventudes y Consejos de Juventudes para el empodermaiento respecto a la gestión de los servicios de salud amigables para adolescentes y jóvenes.  </t>
    </r>
    <r>
      <rPr>
        <sz val="10"/>
        <color rgb="FFFF0000"/>
        <rFont val="Calibri"/>
        <family val="2"/>
        <scheme val="minor"/>
      </rPr>
      <t xml:space="preserve">
</t>
    </r>
  </si>
  <si>
    <t>$ 3,300,000
$ 13,200,000</t>
  </si>
  <si>
    <r>
      <rPr>
        <b/>
        <sz val="10"/>
        <color theme="1"/>
        <rFont val="Calibri"/>
        <family val="2"/>
        <scheme val="minor"/>
      </rPr>
      <t>Secretaría de Salud:</t>
    </r>
    <r>
      <rPr>
        <sz val="10"/>
        <color theme="1"/>
        <rFont val="Calibri"/>
        <family val="2"/>
        <scheme val="minor"/>
      </rPr>
      <t xml:space="preserve"> Se han realizado mesas de trabajo con las EPS e instituciones que tienen a cargo la atención  de víctimas de violencia intrafamiliar, esto con el fin de conocer cómo se están llevando a cabo la activación de rutas y todos los procesos que garanticen los derechos de las víctimas, allí podemos evidenciar que las instituciones hacen el proceso correspondiente para verificar que sus derechos no están siendo vulnerados y a la vez que están recibiendo la atención requerida tanto en el sector salud como en el sector justicia. Desde el programa de salud mental y salud sexual y reproductiva  se ha realizado asistencias técnicas a las mencionadas anteriormente con el fin de crear una ruta de atención general en la cual no solo las entidades tendrán acceso sino también la comunidad para que así todas las personas víctimas y su comunidad puedan saber qué hacer en el momento de presenciar un caso de violencia intrafamiliar esto debido a que la comunidad en muchas ocasiones no conocen los pasos necesarios para que aquellas personas víctimas puedan hacer garantizar sus derechos. 
Con la plataforma SIVIGILA se hace seguimiento a las EPS con los casos que son reportados para identificar que se esta ejecutando correctamente todo el proceso de restitución de derechos a Niños, niñas y adolescentes, y toda población que es reconocida como grupo diferencial pues así se tiene un mejor conocimiento de todas las competencias que maneja el sector salud, en estas mesas de trabajo se evidencia el compromiso por parte de las instituciones ya que se preocupa por el bienestar de los usuarios y hacen todo lo posible por que aquellas reciban la atención necesaria en todas las áreas.
Se realizan asistencias técnicas con el ICBF y población LGTBI para la socialización de los eventos Conducta Suicida y Violencia Intrafamiliar. Se ha dado asistencia técnica a los municipios de competencia departamental ante las solicitudes requeridas en cuanto a los decretos municipales para la legalización y adopción del consejo de salud mental, donde el municipio de Filandia ha realizado ajustes para la aprobación por parte del ente territorial del decreto municipal y el municipio de la Tebaida se encuentra en la fase de adaptación de la política realizando reuniones virtuales a las cuales se convocan a los diferentes actores para la concertación en los diferentes temas que conciernen al municipio en cuanto a la dimensión Convivencia Social y salud mental.
Se realiza proceso de alistamiento para la implementación de la Línea de Atención en Salud Mental, así mismo se desarrolla una jornada de capacitación a los soldados ángel guardián de la Octava Brigada, en Primeros auxilios Emocionales, escucha activa e intervención en crisis.
</t>
    </r>
  </si>
  <si>
    <t xml:space="preserve">$ 8,513,000
</t>
  </si>
  <si>
    <r>
      <rPr>
        <b/>
        <sz val="10"/>
        <rFont val="Calibri"/>
        <family val="2"/>
        <scheme val="minor"/>
      </rPr>
      <t>Secretaría del Interior:</t>
    </r>
    <r>
      <rPr>
        <sz val="10"/>
        <rFont val="Calibri"/>
        <family val="2"/>
        <scheme val="minor"/>
      </rPr>
      <t xml:space="preserve"> No reportó información correspondiente a este indicador en este trimestre.</t>
    </r>
  </si>
  <si>
    <r>
      <t xml:space="preserve">
</t>
    </r>
    <r>
      <rPr>
        <b/>
        <sz val="10"/>
        <rFont val="Calibri"/>
        <family val="2"/>
        <scheme val="minor"/>
      </rPr>
      <t xml:space="preserve">Instituto departamental de Tránsito Quindío "IDTQ":  </t>
    </r>
    <r>
      <rPr>
        <sz val="10"/>
        <rFont val="Calibri"/>
        <family val="2"/>
        <scheme val="minor"/>
      </rPr>
      <t xml:space="preserve">Reporta la realización de un diagnóstico para la formulación del programa de control, prevención y atención del tránsito, en los municipios de la jurisdicción del IDTQ. Inicio de la contrucción de dicho programa. Además, la socialización y ajustes a la versión preeliminar del programa.
</t>
    </r>
    <r>
      <rPr>
        <sz val="10"/>
        <color theme="1"/>
        <rFont val="Calibri"/>
        <family val="2"/>
        <scheme val="minor"/>
      </rPr>
      <t xml:space="preserve">
</t>
    </r>
    <r>
      <rPr>
        <b/>
        <sz val="10"/>
        <color theme="1"/>
        <rFont val="Calibri"/>
        <family val="2"/>
        <scheme val="minor"/>
      </rPr>
      <t xml:space="preserve">Secretaría de Tránsito y Transporte de Armenia: </t>
    </r>
    <r>
      <rPr>
        <sz val="10"/>
        <color theme="1"/>
        <rFont val="Calibri"/>
        <family val="2"/>
        <scheme val="minor"/>
      </rPr>
      <t xml:space="preserve">No Reporta
</t>
    </r>
    <r>
      <rPr>
        <sz val="10"/>
        <rFont val="Calibri"/>
        <family val="2"/>
        <scheme val="minor"/>
      </rPr>
      <t xml:space="preserve">
</t>
    </r>
  </si>
  <si>
    <r>
      <rPr>
        <b/>
        <sz val="10"/>
        <rFont val="Calibri"/>
        <family val="2"/>
        <scheme val="minor"/>
      </rPr>
      <t>Secretaría del Interior</t>
    </r>
    <r>
      <rPr>
        <sz val="10"/>
        <rFont val="Calibri"/>
        <family val="2"/>
        <scheme val="minor"/>
      </rPr>
      <t xml:space="preserve">: No reportó información.
</t>
    </r>
    <r>
      <rPr>
        <b/>
        <sz val="10"/>
        <rFont val="Calibri"/>
        <family val="2"/>
        <scheme val="minor"/>
      </rPr>
      <t>Observación:</t>
    </r>
    <r>
      <rPr>
        <sz val="10"/>
        <rFont val="Calibri"/>
        <family val="2"/>
        <scheme val="minor"/>
      </rPr>
      <t xml:space="preserve"> En la página de Forensis de medicina legal se reportan datos solamente hasta el 2019.  
</t>
    </r>
    <r>
      <rPr>
        <b/>
        <sz val="10"/>
        <rFont val="Calibri"/>
        <family val="2"/>
        <scheme val="minor"/>
      </rPr>
      <t>Secretaría de Familia:</t>
    </r>
    <r>
      <rPr>
        <sz val="10"/>
        <rFont val="Calibri"/>
        <family val="2"/>
        <scheme val="minor"/>
      </rPr>
      <t xml:space="preserve"> Reporta la realización de actividades dirigidas al fortalecimiento de los entornos protectores a través del aprovechamiento del tiempo libre y la promoción del Barrismo social.</t>
    </r>
    <r>
      <rPr>
        <b/>
        <sz val="10"/>
        <rFont val="Calibri"/>
        <family val="2"/>
        <scheme val="minor"/>
      </rPr>
      <t xml:space="preserve">
</t>
    </r>
  </si>
  <si>
    <r>
      <rPr>
        <b/>
        <sz val="10"/>
        <rFont val="Calibri"/>
        <family val="2"/>
        <scheme val="minor"/>
      </rPr>
      <t>Instituto Regional de Bienestar de Familiar regional Quindío (ICBF)</t>
    </r>
    <r>
      <rPr>
        <sz val="10"/>
        <rFont val="Calibri"/>
        <family val="2"/>
        <scheme val="minor"/>
      </rPr>
      <t>: Según el seguimiento realizado al programa de Adolescencia y Juventud;  con la estrategia Sacúdete, a la fecha se encuentra en proceso de atención con 1800 beneficiarios entre las edades de 13 a 28 años.
De esta atención,  se encuentra en un proceso de ejecución de brújula número 3 y 4 del proceso enfócate; de los cuales se hace un pago de  $ 147.152.160 millones por la implementación; el presente contrato tuvo finalidad el 15 de diciembre de 2021.</t>
    </r>
  </si>
  <si>
    <r>
      <t>Secretaría del Interior:</t>
    </r>
    <r>
      <rPr>
        <sz val="10"/>
        <rFont val="Calibri"/>
        <family val="2"/>
        <scheme val="minor"/>
      </rPr>
      <t xml:space="preserve"> No reportó información.
</t>
    </r>
    <r>
      <rPr>
        <b/>
        <sz val="10"/>
        <rFont val="Calibri"/>
        <family val="2"/>
        <scheme val="minor"/>
      </rPr>
      <t>Observación:</t>
    </r>
    <r>
      <rPr>
        <sz val="10"/>
        <rFont val="Calibri"/>
        <family val="2"/>
        <scheme val="minor"/>
      </rPr>
      <t xml:space="preserve"> Se verifica en Forensis que el indicador está por debajo de la media nacional, por tanto el indicador se cumple.
</t>
    </r>
    <r>
      <rPr>
        <b/>
        <sz val="10"/>
        <rFont val="Calibri"/>
        <family val="2"/>
        <scheme val="minor"/>
      </rPr>
      <t>Secretaría Familia:</t>
    </r>
    <r>
      <rPr>
        <sz val="10"/>
        <rFont val="Calibri"/>
        <family val="2"/>
        <scheme val="minor"/>
      </rPr>
      <t xml:space="preserve"> La Dirección de Desarrollo Humano y Familia con el fin de realizar las capacitaciones en activación de las Rutas Integrales de Atención en Violencia Intrafamiliar y de Género, a trabajadores de Supermercados y Tenderos de los Municipios se dio inicio a las siguientes acciones:
- Contratación del profesional que apoya la ejecución de las capacitaciones.
- Socialización del proyecto a los municipios del Departamento para la articulación institucional que permita el despliegue del proyecto en territorio.
-Talleres en activación de rutas para todo tipo de violencias con los diferentes tipos de poblaciones en los municipios de: Buenavista, Calarcá, Filandia, Génova, La Tebaida y Montenegro.
Asi mismo en cada uno de estos municipios a los comerciantes se les hizo entrega de afiches con las líneas para reportar o denunciar cualquier tipo de violencia.</t>
    </r>
  </si>
  <si>
    <r>
      <t>Secretaría del Interior:</t>
    </r>
    <r>
      <rPr>
        <sz val="10"/>
        <rFont val="Calibri"/>
        <family val="2"/>
        <scheme val="minor"/>
      </rPr>
      <t xml:space="preserve"> Socialización rutas de prevención del reclutamiento infantil en las Secretarías de Gobierno de los 12 Municipios del Departamento.  Adicionalmente, se realizaron 4 Jornadas de Prevención del reclutamiento forzado de los jóvenes en los barrios Bambusa, Simón Bolivar, la fachada y el poblado de la Ciudad de Armenia.</t>
    </r>
    <r>
      <rPr>
        <b/>
        <sz val="10"/>
        <rFont val="Calibri"/>
        <family val="2"/>
        <scheme val="minor"/>
      </rPr>
      <t xml:space="preserve">
 </t>
    </r>
  </si>
  <si>
    <r>
      <rPr>
        <b/>
        <sz val="10"/>
        <rFont val="Calibri"/>
        <family val="2"/>
        <scheme val="minor"/>
      </rPr>
      <t xml:space="preserve">Secretaría de Educación: </t>
    </r>
    <r>
      <rPr>
        <sz val="10"/>
        <rFont val="Calibri"/>
        <family val="2"/>
        <scheme val="minor"/>
      </rPr>
      <t>Las instituciones educativas continúan ejecutando los proyectos  transversales de educación sexual y construcción de ciudadania dentro de los 5 macrotemas de enseñanza obligatoria.</t>
    </r>
    <r>
      <rPr>
        <b/>
        <sz val="10"/>
        <rFont val="Calibri"/>
        <family val="2"/>
        <scheme val="minor"/>
      </rPr>
      <t xml:space="preserve">
Secretaría de Salud: </t>
    </r>
    <r>
      <rPr>
        <sz val="10"/>
        <rFont val="Calibri"/>
        <family val="2"/>
        <scheme val="minor"/>
      </rPr>
      <t>Desde la Dimensión de Salud sexual y reproductiva en el año 2020 se realizó un seguimiento a diferentes Instituciones del Departamento del Quindío como EAPBS, IPS públicas y privadas y programas regulares en los cuales se evidencio la necesidad de fortalecer los procesos de promoción y prevención en temas de ITS, VIH/SIDA y Hepatitis para lograr un mayor impacto en la población en generar y poder disminuir los indicadores relacionados con dichos temas. Por tal motivo en el año 2021 se planteó la necesidad de realizar talleres pedagógicos con diferentes sectores como el educativo, empresarial, fuerzas policiales y sector salud para reforzar los conocimientos de estas personas y posteriormente sea replicada la información y así poder lograr una intersectorialidad y disminución en los indicadores de impacto de VIH/SIDA. Los talleres pedagógicos sobre ITS, VIH, Hepatitis y Derechos Sexuales y Reproductivos se iniciaron con los docentes y administrativos de los colegios oficiales y no oficiales de cada Municipio del Departamento del Quindío, iniciando el 8 de marzo de 2021 y finalizando el 15 de Marzo de 2021 con un total de 12 talleres pedagógicos impactando a un total de 608 Docentes y Administrativos del Departamento. Posteriormente se realizaron 4 talleres pedagógicos con 4 Universidades con mayor número de estudiantes como la Universidad del Quindío, CUE Alexander Von Humbold, Universidad EAM y la Gran Colombia, a los participantes de los talleres pedagógicos se les envió el material audiovisual con el compromiso de ser replicado a los estudiantes para así lograr un mayor impacto en la población estudiantil. Posteriormente se iniciaron los talleres pedagógicos con9 cuerpos de bomberos de diferentes Municipios del Departamento y 3 empresas de transporte especializado de pacientes, de los cuales no se obtuvo la mejor adherencia con la participación de solo 7 de las 12 empresas pese a la Circular externa que se les envió vía correo electrónico y los recordatorios de las conferencias. Se ofertaron 6 talleres pedagógicos dando inicio el 24 de marzo y finalizando el 5 de abril, sin embargo, en ocasiones no se conectaba personal y se daba por cancelada la sección. Dentro de todas las personas capacitadas sobre Derechos sexuales y reproductivos, ITS, VIH y Hepatitis se obtuvo un total de 662 personas, dentro de las cuales un 10% era población Indígena y 5% personal de la salud, el resto de la población no pertenecía a ninguna de las comunidades con enfoque de vulnerabilidad. Así mismo también se realizaron otras actividades en conjunto con SECRETARIA DE SALUD diferentes entes como el laboratorio de Salud Pública del Departamento del Quindío con el cual se realizaron 3 jornadas de toma de muestras para VIH y Sífilis en los Municipios de Armenia, Quimbaya y Corregimiento de Barcelona en las cuales se tomaron 134 pruebas y de esas solo 4 fueron reactivas para Sífilis y ninguna para VIH. Adicional a esto también se trabajó en conjunto con el programa de Tuberculosis para realizar formación de agentes comunitarios de los diferentes Municipios y hacer entrega de los Kits de acciones colaborativas de TB/VIH, La formación se llevó a cabo en dos jornadas el 3 de marzo de 2021 y el 17 de Marzo de 2021.  Se realizó el primer comité departamental para el abordaje de las violencias de género y sexual de niños niñas adolescentes y jóvenes. Se realizaron:
Se realizan asistencias técnicas con el ICBF y población LGTBI para la socialización de los eventos Conducta Suicida y Violencia Intrafamiliar. Se ha dado asistencia técnica a los municipios de competencia departamental ante las solicitudes requeridas en cuanto a los decretos municipales para la legalización y adopción del consejo de salud mental, donde el municipio de Filandia ha realizado ajustes para la aprobación por parte del ente territorial del decreto municipal y el municipio de la Tebaida se encuentra en la fase de adaptación de la política realizando reuniones virtuales a las cuales se convocan a los diferentes actores para la concertación en los diferentes temas que conciernen al municipio en cuanto a la dimensión Convivencia Social y salud mental.</t>
    </r>
  </si>
  <si>
    <r>
      <rPr>
        <b/>
        <sz val="10"/>
        <rFont val="Calibri"/>
        <family val="2"/>
        <scheme val="minor"/>
      </rPr>
      <t>Observación:</t>
    </r>
    <r>
      <rPr>
        <sz val="10"/>
        <rFont val="Calibri"/>
        <family val="2"/>
        <scheme val="minor"/>
      </rPr>
      <t xml:space="preserve"> Según el observatorio de Drogas los últimos datos corresponden al año 2013 y el Quindío se sitúa por encima de la media nacional.
</t>
    </r>
    <r>
      <rPr>
        <b/>
        <sz val="10"/>
        <color theme="1"/>
        <rFont val="Calibri"/>
        <family val="2"/>
        <scheme val="minor"/>
      </rPr>
      <t xml:space="preserve">Secretaría de Salud: </t>
    </r>
    <r>
      <rPr>
        <sz val="10"/>
        <color theme="1"/>
        <rFont val="Calibri"/>
        <family val="2"/>
        <scheme val="minor"/>
      </rPr>
      <t xml:space="preserve">Actualmente el Quindío no cuenta con un Plan Departamental de Reducción del Consumo de Sustancias Psicoactivas dado que su vigencia fue hasta el 2019, sin embargo, se están realizando acciones en el marco de la Resolución 089 Por la cual se adopta la Política Integral para la Prevención y Atención del Consumo de Sustancias Psicoactivas.
*Acompañamiento en la ejecución del Programa de Seguimiento Judicial al Tratamiento de Drogas en el Sistema de Responsabilidad Penal para Adolescentes (SRPA)-Departamento de Quindío, actualmente se encuentran vinculados 3 adolescentes
*Seguimiento a la gestión del riesgo de más de 7 casos reportados por el SIVIGILA en el evento 365, intoxicaciones por sustancias químicas con intencional psicoactivo.
Asesoría y asistencia técnica al municipio de Montenegro en la formulación del plan Municipal de Drogas enmarcado en la Resolución 089 de 2019
*Un Comité Departamental de Drogas con énfasis en Reducción del Consumo de Sustancias Psicoactivas.
*Una mesa técnica con los Programas de Mantenimiento con Metadona (E.S.E Red Salud- Clínica el Prado y HMF)
*Asesoría y asistencia técnica a los Programas de Mantenimiento con Metadona (E.S.E Red Salud- Clínica el Prado y HMF) y la Secretaría de Salud del Municipio de Armenia para la implementación de la estrategia educativa Aguanta Cuidarse para la prevención de las infecciones transmitidas por vía sanguínea y otras infecciones de alta prevalencia en personas que se inyectan drogas (PID).
</t>
    </r>
    <r>
      <rPr>
        <sz val="10"/>
        <color rgb="FFFF0000"/>
        <rFont val="Calibri"/>
        <family val="2"/>
        <scheme val="minor"/>
      </rPr>
      <t xml:space="preserve">
</t>
    </r>
    <r>
      <rPr>
        <sz val="10"/>
        <rFont val="Calibri"/>
        <family val="2"/>
        <scheme val="minor"/>
      </rPr>
      <t xml:space="preserve">
</t>
    </r>
  </si>
  <si>
    <r>
      <t xml:space="preserve">
Observación: </t>
    </r>
    <r>
      <rPr>
        <sz val="10"/>
        <rFont val="Calibri"/>
        <family val="2"/>
        <scheme val="minor"/>
      </rPr>
      <t>Se verifica en la plataforma JUACO los datos correspondientes al año 2017 y se observa al Quindío por debajo de la media nacional.</t>
    </r>
    <r>
      <rPr>
        <b/>
        <sz val="10"/>
        <rFont val="Calibri"/>
        <family val="2"/>
        <scheme val="minor"/>
      </rPr>
      <t xml:space="preserve">
Secretaría de Salud: </t>
    </r>
    <r>
      <rPr>
        <sz val="10"/>
        <rFont val="Calibri"/>
        <family val="2"/>
        <scheme val="minor"/>
      </rPr>
      <t>No Reporta</t>
    </r>
  </si>
  <si>
    <t xml:space="preserve">$ 19,494,000
$ 12,540,000
$27,950,000
$ 42.833.333
$ 150.000.000 </t>
  </si>
  <si>
    <r>
      <rPr>
        <b/>
        <sz val="10"/>
        <color theme="1"/>
        <rFont val="Calibri"/>
        <family val="2"/>
        <scheme val="minor"/>
      </rPr>
      <t>Alcaldía de Montenegro:</t>
    </r>
    <r>
      <rPr>
        <sz val="10"/>
        <color theme="1"/>
        <rFont val="Calibri"/>
        <family val="2"/>
        <scheme val="minor"/>
      </rPr>
      <t xml:space="preserve"> 121 deportistas  con logros deportivos en los eventos internacionales y del ciclo olímpico, en porrismo, fútbol, ciclismo, mountain bike, ténis, futsala, ajedrez, voleibol, hip hop. </t>
    </r>
    <r>
      <rPr>
        <sz val="10"/>
        <color rgb="FFFF0000"/>
        <rFont val="Calibri"/>
        <family val="2"/>
        <scheme val="minor"/>
      </rPr>
      <t xml:space="preserve">
</t>
    </r>
    <r>
      <rPr>
        <b/>
        <sz val="10"/>
        <color theme="1"/>
        <rFont val="Calibri"/>
        <family val="2"/>
        <scheme val="minor"/>
      </rPr>
      <t>Alcaldía Buenavista:</t>
    </r>
    <r>
      <rPr>
        <sz val="10"/>
        <color theme="1"/>
        <rFont val="Calibri"/>
        <family val="2"/>
        <scheme val="minor"/>
      </rPr>
      <t xml:space="preserve"> Se han realizado 3 torneos deportivos de fútbol de salón y 3 torneos de voleibol, por parte de las escuelas de formación deportiva del municipio.
</t>
    </r>
    <r>
      <rPr>
        <b/>
        <sz val="10"/>
        <color theme="1"/>
        <rFont val="Calibri"/>
        <family val="2"/>
        <scheme val="minor"/>
      </rPr>
      <t>Alcaldía La Tebaida:</t>
    </r>
    <r>
      <rPr>
        <sz val="10"/>
        <color theme="1"/>
        <rFont val="Calibri"/>
        <family val="2"/>
        <scheme val="minor"/>
      </rPr>
      <t xml:space="preserve"> En este trimestre no se contó con eventos internacionales de ciclo olímpico
</t>
    </r>
    <r>
      <rPr>
        <b/>
        <sz val="10"/>
        <color theme="1"/>
        <rFont val="Calibri"/>
        <family val="2"/>
        <scheme val="minor"/>
      </rPr>
      <t>Alcaldía de Córdoba:</t>
    </r>
    <r>
      <rPr>
        <sz val="10"/>
        <color theme="1"/>
        <rFont val="Calibri"/>
        <family val="2"/>
        <scheme val="minor"/>
      </rPr>
      <t xml:space="preserve"> La Administración Municipal realizó el Campeonato de fútbol municipal, categoría libre Tú y Yo hacemos el cambio, con la paticipación de 25 jóvenes. 
</t>
    </r>
    <r>
      <rPr>
        <b/>
        <sz val="10"/>
        <color theme="1"/>
        <rFont val="Calibri"/>
        <family val="2"/>
        <scheme val="minor"/>
      </rPr>
      <t>Indeportes:</t>
    </r>
    <r>
      <rPr>
        <sz val="10"/>
        <color theme="1"/>
        <rFont val="Calibri"/>
        <family val="2"/>
        <scheme val="minor"/>
      </rPr>
      <t xml:space="preserve"> Indeportes Quindío llevo a cabo los juegos deportivos comunales en su fase departamental y participó como entidad de soporte y apoyo en la fase regional con los departamentos del Huila, Risaralda, Antioquia y Quindío en las disciplinas de Baloncesto, Futbol de Salón, Rana, Tejo, y Atletismo. Es necesario precisar que esta fase regional se realizó en el departamento del Quindío. En total participarón 520 jóvenes entre 18 y 28 años.</t>
    </r>
  </si>
  <si>
    <t xml:space="preserve">$ 540.000.00
$ 71.274.000
$ 132.200.000
$ 150.000.000 </t>
  </si>
  <si>
    <r>
      <rPr>
        <b/>
        <sz val="10"/>
        <rFont val="Calibri"/>
        <family val="2"/>
        <scheme val="minor"/>
      </rPr>
      <t>Alcaldía de Montenegro:</t>
    </r>
    <r>
      <rPr>
        <sz val="10"/>
        <rFont val="Calibri"/>
        <family val="2"/>
        <scheme val="minor"/>
      </rPr>
      <t xml:space="preserve"> Reporta 63 deportistas participantes en juegos nacionales. 
</t>
    </r>
    <r>
      <rPr>
        <b/>
        <sz val="10"/>
        <rFont val="Calibri"/>
        <family val="2"/>
        <scheme val="minor"/>
      </rPr>
      <t xml:space="preserve">Alcaldía de La Tebaida: </t>
    </r>
    <r>
      <rPr>
        <sz val="10"/>
        <rFont val="Calibri"/>
        <family val="2"/>
        <scheme val="minor"/>
      </rPr>
      <t xml:space="preserve"> torneo regional de baloncesto en el mes de fecbrero
</t>
    </r>
    <r>
      <rPr>
        <b/>
        <sz val="10"/>
        <rFont val="Calibri"/>
        <family val="2"/>
        <scheme val="minor"/>
      </rPr>
      <t>Alcaldía Buenavista:</t>
    </r>
    <r>
      <rPr>
        <sz val="10"/>
        <rFont val="Calibri"/>
        <family val="2"/>
        <scheme val="minor"/>
      </rPr>
      <t xml:space="preserve"> 6 deportistas destacados, 3 de ellos en participación nacional.
</t>
    </r>
    <r>
      <rPr>
        <b/>
        <sz val="10"/>
        <rFont val="Calibri"/>
        <family val="2"/>
        <scheme val="minor"/>
      </rPr>
      <t>Alcaldía Salento:</t>
    </r>
    <r>
      <rPr>
        <sz val="10"/>
        <rFont val="Calibri"/>
        <family val="2"/>
        <scheme val="minor"/>
      </rPr>
      <t xml:space="preserve"> Actividades realizadas por escuelas de formación deportiva del municipio.
</t>
    </r>
    <r>
      <rPr>
        <b/>
        <sz val="10"/>
        <rFont val="Calibri"/>
        <family val="2"/>
        <scheme val="minor"/>
      </rPr>
      <t>Alcaldía de Córdoba:</t>
    </r>
    <r>
      <rPr>
        <sz val="10"/>
        <rFont val="Calibri"/>
        <family val="2"/>
        <scheme val="minor"/>
      </rPr>
      <t xml:space="preserve"> por causa de la emergencia sanitaria COVID-19 se encuentran suspendidos y por lo tanto no hay participantes. 
</t>
    </r>
    <r>
      <rPr>
        <b/>
        <sz val="10"/>
        <rFont val="Calibri"/>
        <family val="2"/>
        <scheme val="minor"/>
      </rPr>
      <t>Alcaldía de Circasia:</t>
    </r>
    <r>
      <rPr>
        <sz val="10"/>
        <rFont val="Calibri"/>
        <family val="2"/>
        <scheme val="minor"/>
      </rPr>
      <t xml:space="preserve"> No aplica ya que en el municipio de encuentra en la elaboración del plan deportivo para  la comunidad.
</t>
    </r>
    <r>
      <rPr>
        <b/>
        <sz val="10"/>
        <rFont val="Calibri"/>
        <family val="2"/>
        <scheme val="minor"/>
      </rPr>
      <t>Alcaldía de Pijao:</t>
    </r>
    <r>
      <rPr>
        <sz val="10"/>
        <rFont val="Calibri"/>
        <family val="2"/>
        <scheme val="minor"/>
      </rPr>
      <t xml:space="preserve"> 2 deportistas de alto rendimiento apoyados.
</t>
    </r>
    <r>
      <rPr>
        <b/>
        <sz val="10"/>
        <rFont val="Calibri"/>
        <family val="2"/>
        <scheme val="minor"/>
      </rPr>
      <t>Alcaldía Filandia:</t>
    </r>
    <r>
      <rPr>
        <sz val="10"/>
        <rFont val="Calibri"/>
        <family val="2"/>
        <scheme val="minor"/>
      </rPr>
      <t xml:space="preserve"> Se ha promovido el apoyo con transporte a deportistas de alto rendimiento
</t>
    </r>
    <r>
      <rPr>
        <b/>
        <sz val="10"/>
        <rFont val="Calibri"/>
        <family val="2"/>
        <scheme val="minor"/>
      </rPr>
      <t>Alcaldía Quimbaya:</t>
    </r>
    <r>
      <rPr>
        <sz val="10"/>
        <rFont val="Calibri"/>
        <family val="2"/>
        <scheme val="minor"/>
      </rPr>
      <t xml:space="preserve"> Está en proceso de compra de implementos para deportistas de alto rendimiento que se encuentran preparándose para encuentro nacionales 2023 
</t>
    </r>
    <r>
      <rPr>
        <b/>
        <sz val="10"/>
        <rFont val="Calibri"/>
        <family val="2"/>
        <scheme val="minor"/>
      </rPr>
      <t>Alcaldía de Armenia:</t>
    </r>
    <r>
      <rPr>
        <sz val="10"/>
        <rFont val="Calibri"/>
        <family val="2"/>
        <scheme val="minor"/>
      </rPr>
      <t xml:space="preserve"> El IMDERA ha realizado convenios de asociación con la liga de fútbol del Quindío, Acrod y la liga de voleibol del Quindío para apoyos económicos, con lo cual se han beneficiado aproximadamente 90 deportistas de estos entes para la participación en diferentes torneos, competencias y eventos . Este año ha sido complejo el apoyo a los clubes deportivos por la situación de salud que vive el país, ya que el deporte competitivo aún no se ha reactivado completamente.
Indeportes: Indeportes Quindío llevo a cabo los juegos deportivos comunales en su fase departamental y participó como entidad de soporte y apoyo en la fase regional con los departamentos del Huila, Risaralda, Antioquia y Quindío en las disciplinas de baloncesto, Futbol de salón, Rana, Tejo, y Atletismo. Es necesario precisar que esta fase regional se realizo en el departamento del Quindío. En total participarón 520 jovenes entre 18 y 28 años.
</t>
    </r>
    <r>
      <rPr>
        <b/>
        <sz val="10"/>
        <rFont val="Calibri"/>
        <family val="2"/>
        <scheme val="minor"/>
      </rPr>
      <t xml:space="preserve">Alcaldia de Calarcá: </t>
    </r>
    <r>
      <rPr>
        <sz val="10"/>
        <rFont val="Calibri"/>
        <family val="2"/>
        <scheme val="minor"/>
      </rPr>
      <t xml:space="preserve">Se premió a los deportistas de alto rendimiento más destacados </t>
    </r>
  </si>
  <si>
    <r>
      <rPr>
        <b/>
        <sz val="10"/>
        <rFont val="Calibri"/>
        <family val="2"/>
        <scheme val="minor"/>
      </rPr>
      <t>Indeportes:</t>
    </r>
    <r>
      <rPr>
        <sz val="10"/>
        <rFont val="Calibri"/>
        <family val="2"/>
        <scheme val="minor"/>
      </rPr>
      <t xml:space="preserve"> Entre julio a septiembre se han beneficiado a través de apoyo económico a 43 deportistas jóvenes para su manutención y preparación con miras a los juegos deportivos nacionales 2023 a través de resoluciones y convenios. Igualmente Indeportes Quindío benefició 16 jóvenes entre hombres y mujeres en el programa de  juegos Deportivos y Recreativos comunales, en los deportes de baloncesto, fútbol de salón, tejo, atletismo, rana, billar, dominó y ajedrez.</t>
    </r>
  </si>
  <si>
    <t xml:space="preserve">$ 43,00,000
$ 99,224,000
$ 58,575,000
 $77.410.300
$ 382,688,000
$ 150.000.000 </t>
  </si>
  <si>
    <r>
      <rPr>
        <b/>
        <sz val="10"/>
        <color theme="1"/>
        <rFont val="Calibri"/>
        <family val="2"/>
        <scheme val="minor"/>
      </rPr>
      <t>Alcaldía de Circasia:</t>
    </r>
    <r>
      <rPr>
        <sz val="10"/>
        <color theme="1"/>
        <rFont val="Calibri"/>
        <family val="2"/>
        <scheme val="minor"/>
      </rPr>
      <t xml:space="preserve"> En la Secretaría de Gobierno y Desarrollo Social, con el coordinador de deportes se atendieron 900  jóvenes, durante estos dos últimos tres meses en los siguientes programas: Voleibol-futbol, torneo de voleibol, ciclismo y futbol de salón garantizando los espacios de recreación para la juventud.
</t>
    </r>
    <r>
      <rPr>
        <b/>
        <sz val="10"/>
        <color theme="1"/>
        <rFont val="Calibri"/>
        <family val="2"/>
        <scheme val="minor"/>
      </rPr>
      <t>Alcaldía de Montenegro:</t>
    </r>
    <r>
      <rPr>
        <sz val="10"/>
        <color theme="1"/>
        <rFont val="Calibri"/>
        <family val="2"/>
        <scheme val="minor"/>
      </rPr>
      <t xml:space="preserve"> 20% de los jóvenes invierten como mínimo 60 minutos diarios en actividades físicas de intensidad moderada a vigorosa. 
</t>
    </r>
    <r>
      <rPr>
        <b/>
        <sz val="10"/>
        <color theme="1"/>
        <rFont val="Calibri"/>
        <family val="2"/>
        <scheme val="minor"/>
      </rPr>
      <t>Alcaldía Salento</t>
    </r>
    <r>
      <rPr>
        <sz val="10"/>
        <color theme="1"/>
        <rFont val="Calibri"/>
        <family val="2"/>
        <scheme val="minor"/>
      </rPr>
      <t xml:space="preserve">: La Subsecretaría de Cultura y Deporte ha reactivado, en el mes de septiembre, las Escuelas de Formación Culturales y Deportivas.
</t>
    </r>
    <r>
      <rPr>
        <b/>
        <sz val="10"/>
        <color theme="1"/>
        <rFont val="Calibri"/>
        <family val="2"/>
        <scheme val="minor"/>
      </rPr>
      <t xml:space="preserve">Alcaldía de Buenavista: </t>
    </r>
    <r>
      <rPr>
        <sz val="10"/>
        <color theme="1"/>
        <rFont val="Calibri"/>
        <family val="2"/>
        <scheme val="minor"/>
      </rPr>
      <t xml:space="preserve">Se cuenta con 100 jóvenes que hacen parte de las 4 escuelas de formación deportiva del municipio.
</t>
    </r>
    <r>
      <rPr>
        <b/>
        <sz val="10"/>
        <color theme="1"/>
        <rFont val="Calibri"/>
        <family val="2"/>
        <scheme val="minor"/>
      </rPr>
      <t>Alcaldía de Pijao: 110</t>
    </r>
    <r>
      <rPr>
        <sz val="10"/>
        <color theme="1"/>
        <rFont val="Calibri"/>
        <family val="2"/>
        <scheme val="minor"/>
      </rPr>
      <t xml:space="preserve"> NNA que desarrollaron mínimo 60 minutos de actividad física con el acompañamiento de monitor deportivo
</t>
    </r>
    <r>
      <rPr>
        <b/>
        <sz val="10"/>
        <color theme="1"/>
        <rFont val="Calibri"/>
        <family val="2"/>
        <scheme val="minor"/>
      </rPr>
      <t>Alcaldía de La Tebaida:</t>
    </r>
    <r>
      <rPr>
        <sz val="10"/>
        <color theme="1"/>
        <rFont val="Calibri"/>
        <family val="2"/>
        <scheme val="minor"/>
      </rPr>
      <t xml:space="preserve"> Microfútbol (grupo 01) 14 jóvenes;  Nación 21 jóvenes;  Futbol 3 jóvenes;  Microfútbol (grupo 02) 2 jóvenes;  Baloncesto 25 jóvenes; Fútbol de mujer 9 jóvenes; Fútbol 14 jóvenes; Actividad musicalizada 8 jóvenes; Nueva modalidad ajedrez 12 jóvenes; Nueva modalidad Hapkido 22 jóvenes; Nueva modalidad Brikdance 16 jóvenes
</t>
    </r>
    <r>
      <rPr>
        <b/>
        <sz val="10"/>
        <color theme="1"/>
        <rFont val="Calibri"/>
        <family val="2"/>
        <scheme val="minor"/>
      </rPr>
      <t>Alcaldía Quimbaya:</t>
    </r>
    <r>
      <rPr>
        <sz val="10"/>
        <color theme="1"/>
        <rFont val="Calibri"/>
        <family val="2"/>
        <scheme val="minor"/>
      </rPr>
      <t xml:space="preserve"> Contamos con apoyo de la gobernación con el programa deporte social comunitario con un monitor que realiza las actividades.
</t>
    </r>
    <r>
      <rPr>
        <b/>
        <sz val="10"/>
        <color theme="1"/>
        <rFont val="Calibri"/>
        <family val="2"/>
        <scheme val="minor"/>
      </rPr>
      <t xml:space="preserve">Alcaldía Córdoba: </t>
    </r>
    <r>
      <rPr>
        <sz val="10"/>
        <color theme="1"/>
        <rFont val="Calibri"/>
        <family val="2"/>
        <scheme val="minor"/>
      </rPr>
      <t xml:space="preserve">La Administración Municipal cuenta con la participación de 1308 de jovenes que realizan actividad fisica diaria, en  las escuelas de formación deportivas y culturales.  .  
</t>
    </r>
    <r>
      <rPr>
        <b/>
        <sz val="10"/>
        <color theme="1"/>
        <rFont val="Calibri"/>
        <family val="2"/>
        <scheme val="minor"/>
      </rPr>
      <t xml:space="preserve">Alcaldía de Calarcá: </t>
    </r>
    <r>
      <rPr>
        <sz val="10"/>
        <color theme="1"/>
        <rFont val="Calibri"/>
        <family val="2"/>
        <scheme val="minor"/>
      </rPr>
      <t xml:space="preserve">Fortalecimiento de escuelas de formación deportiva para la ocupación del tiempo libre de los y las jóvenes entre 14 hasta 28 años en el Municipio donde se ejecutó un presupuesto de $77.410.300, se beneficiaron  personas en actividades como fútbol, patinaje, baloncesto,  fútbol de salón y voleybol. 
</t>
    </r>
    <r>
      <rPr>
        <b/>
        <sz val="10"/>
        <color theme="1"/>
        <rFont val="Calibri"/>
        <family val="2"/>
        <scheme val="minor"/>
      </rPr>
      <t>Alcaldía de Filandia:</t>
    </r>
    <r>
      <rPr>
        <sz val="10"/>
        <color theme="1"/>
        <rFont val="Calibri"/>
        <family val="2"/>
        <scheme val="minor"/>
      </rPr>
      <t xml:space="preserve"> Cuadras activas: esta propuesta está enfocada en visitar las cuadras de los diferentes barrios del municipio de Filandia para dar clases de actividad física dirigida musicalizada.
</t>
    </r>
    <r>
      <rPr>
        <b/>
        <sz val="10"/>
        <color theme="1"/>
        <rFont val="Calibri"/>
        <family val="2"/>
        <scheme val="minor"/>
      </rPr>
      <t>Indeportes:</t>
    </r>
    <r>
      <rPr>
        <sz val="10"/>
        <color theme="1"/>
        <rFont val="Calibri"/>
        <family val="2"/>
        <scheme val="minor"/>
      </rPr>
      <t xml:space="preserve"> Actividad física:  En la presente vigencia se llevaron a cabo las diferentes actividades inherentes al fomento de los hábitos y estilos de vida saludables en el Departamento del Quindío, dichas actividades se reflejaron a través de las siguientes actividades con un total de 1.326  jóvenes entre 18 y 28 años beneficiadas, en  su mayoría las mujeres fueron las  mayores participantes.</t>
    </r>
    <r>
      <rPr>
        <b/>
        <sz val="10"/>
        <color theme="1"/>
        <rFont val="Calibri"/>
        <family val="2"/>
        <scheme val="minor"/>
      </rPr>
      <t xml:space="preserve">
Recreación: </t>
    </r>
    <r>
      <rPr>
        <sz val="10"/>
        <color theme="1"/>
        <rFont val="Calibri"/>
        <family val="2"/>
        <scheme val="minor"/>
      </rPr>
      <t>Las actividades técnicas que se llevaron a cabo en el año 2021 en el área de recreación estuvieron enfocadas a la promoción de hábitos y estilos de vida saludable como elemento básico de calidad de vida y bienestar social en los 12 municipios del departamento, participarón 685 jovenes entre 18 y 28 años, a traves de  actividades recreo-deportivas enfocadas a la inclusión y participación de las comunidades de población diferencial. Es así como indígenas, afrocolombianos, negritudes, personas victimas del conflicto armado y población con discapacidad fue objeto principal de dichas acciones técnicas las cuales fueron dirigidas al menos 2 veces por semana por el recurso humano cualificado del área técnica de INDEPORTES QUINDÍO.  El municipio de Calarcá se destacó por su gran participación de la población INDÍGENA EMBERÁ CHAMI KARIBIJÜA.</t>
    </r>
  </si>
  <si>
    <t xml:space="preserve">$ 110,000,000
$ 319,965,000
$ 392. 186.440
$ 130.000.000
$ 150.000.000 </t>
  </si>
  <si>
    <r>
      <rPr>
        <b/>
        <sz val="10"/>
        <color theme="1"/>
        <rFont val="Calibri"/>
        <family val="2"/>
        <scheme val="minor"/>
      </rPr>
      <t xml:space="preserve">Alcaldía de Montenegro: </t>
    </r>
    <r>
      <rPr>
        <sz val="10"/>
        <color theme="1"/>
        <rFont val="Calibri"/>
        <family val="2"/>
        <scheme val="minor"/>
      </rPr>
      <t xml:space="preserve">Las modalidades no convencionales que se practican en el municipio son: gimnasia, rogby , porrismo,  </t>
    </r>
    <r>
      <rPr>
        <b/>
        <sz val="10"/>
        <color theme="1"/>
        <rFont val="Calibri"/>
        <family val="2"/>
        <scheme val="minor"/>
      </rPr>
      <t xml:space="preserve">
Alcaldía de La Tebaida: </t>
    </r>
    <r>
      <rPr>
        <sz val="10"/>
        <color theme="1"/>
        <rFont val="Calibri"/>
        <family val="2"/>
        <scheme val="minor"/>
      </rPr>
      <t xml:space="preserve">Fútbol, micro futbol, baloncesto, natación, patinaje, actividad física musicalizada
</t>
    </r>
    <r>
      <rPr>
        <b/>
        <sz val="10"/>
        <color theme="1"/>
        <rFont val="Calibri"/>
        <family val="2"/>
        <scheme val="minor"/>
      </rPr>
      <t>Alcaldía de Circasia:</t>
    </r>
    <r>
      <rPr>
        <sz val="10"/>
        <color theme="1"/>
        <rFont val="Calibri"/>
        <family val="2"/>
        <scheme val="minor"/>
      </rPr>
      <t xml:space="preserve"> En la Secretaría de Gobierno y Desarrollo Social, con el coordinador de deportes se atendieron 900  jóvenes, durante estos dos últimos tres meses en los siguientes programas: Voleibol-futbol, torneo de voleibol, ciclismo y fútbol de salón garantizando los espacios de recreación para la juventud, domingo activo.</t>
    </r>
    <r>
      <rPr>
        <b/>
        <sz val="10"/>
        <color theme="1"/>
        <rFont val="Calibri"/>
        <family val="2"/>
        <scheme val="minor"/>
      </rPr>
      <t xml:space="preserve">
Alcaldía Pijao</t>
    </r>
    <r>
      <rPr>
        <sz val="10"/>
        <color theme="1"/>
        <rFont val="Calibri"/>
        <family val="2"/>
        <scheme val="minor"/>
      </rPr>
      <t xml:space="preserve">: 25 jóvenes practican juegos no convencionales con el acompañamiento monitorial.
</t>
    </r>
    <r>
      <rPr>
        <b/>
        <sz val="10"/>
        <color theme="1"/>
        <rFont val="Calibri"/>
        <family val="2"/>
        <scheme val="minor"/>
      </rPr>
      <t>Alcaldía Quimbaya:</t>
    </r>
    <r>
      <rPr>
        <sz val="10"/>
        <color theme="1"/>
        <rFont val="Calibri"/>
        <family val="2"/>
        <scheme val="minor"/>
      </rPr>
      <t xml:space="preserve"> Apoyo mediante monitoria de BMX.
</t>
    </r>
    <r>
      <rPr>
        <b/>
        <sz val="10"/>
        <color theme="1"/>
        <rFont val="Calibri"/>
        <family val="2"/>
        <scheme val="minor"/>
      </rPr>
      <t xml:space="preserve">Alcaldía Salento: </t>
    </r>
    <r>
      <rPr>
        <sz val="10"/>
        <color theme="1"/>
        <rFont val="Calibri"/>
        <family val="2"/>
        <scheme val="minor"/>
      </rPr>
      <t xml:space="preserve">La Subsecretaría de Cultura y Deporte está realizando actividades enmarcadas en apoyar los deportes no convencionales, en las cuales se trabaja en el mantenimiento preventivo del "Skate Park".
</t>
    </r>
    <r>
      <rPr>
        <b/>
        <sz val="10"/>
        <color theme="1"/>
        <rFont val="Calibri"/>
        <family val="2"/>
        <scheme val="minor"/>
      </rPr>
      <t xml:space="preserve">Alcaldía de Córdoba: </t>
    </r>
    <r>
      <rPr>
        <sz val="10"/>
        <color theme="1"/>
        <rFont val="Calibri"/>
        <family val="2"/>
        <scheme val="minor"/>
      </rPr>
      <t xml:space="preserve">No se cuenta con el deporte no convencional
</t>
    </r>
    <r>
      <rPr>
        <b/>
        <sz val="10"/>
        <color theme="1"/>
        <rFont val="Calibri"/>
        <family val="2"/>
        <scheme val="minor"/>
      </rPr>
      <t>Alcaldía de Filandia</t>
    </r>
    <r>
      <rPr>
        <sz val="10"/>
        <color theme="1"/>
        <rFont val="Calibri"/>
        <family val="2"/>
        <scheme val="minor"/>
      </rPr>
      <t xml:space="preserve">: En este punto se destaca la atención al grupo de población en situación de discapacidad, con quien se practica diferentes deportes, promoviendo su autoexploración y el mejoramiento de sus capacidades excepcionales.
</t>
    </r>
    <r>
      <rPr>
        <b/>
        <sz val="10"/>
        <color theme="1"/>
        <rFont val="Calibri"/>
        <family val="2"/>
        <scheme val="minor"/>
      </rPr>
      <t>Indeportes:</t>
    </r>
    <r>
      <rPr>
        <sz val="10"/>
        <color theme="1"/>
        <rFont val="Calibri"/>
        <family val="2"/>
        <scheme val="minor"/>
      </rPr>
      <t xml:space="preserve"> El instituto departamental del deporte y la recreación del Quindío a través de este proyecto desarrolló en el año 2021 diferentes acciones para el beneficio a deportistas y organismos deportivos del Departamento del Quindío con  apoyo económico, elementos deportivos y convenios interinstitucionales para las salidas a competencias a nivel local, regional y nacional. Las disciplinas apoyadas fueron: Tenis de campo en sillas de rueda, fútbol 5 visual, Fútbol Sala Auditivo, Tenis de mesa y Bowling Paranacional. 
</t>
    </r>
    <r>
      <rPr>
        <b/>
        <sz val="10"/>
        <color theme="1"/>
        <rFont val="Calibri"/>
        <family val="2"/>
        <scheme val="minor"/>
      </rPr>
      <t>Alcaldía de Buenavista</t>
    </r>
    <r>
      <rPr>
        <sz val="10"/>
        <color theme="1"/>
        <rFont val="Calibri"/>
        <family val="2"/>
        <scheme val="minor"/>
      </rPr>
      <t xml:space="preserve">: Contamos con un jóven de la población con discapacidad que se encuentra en proceso de vinculación para práctica de deporte no convencional (lanzamiento de bala y lanzamiento de disco)
</t>
    </r>
  </si>
  <si>
    <r>
      <rPr>
        <b/>
        <sz val="10"/>
        <color theme="1"/>
        <rFont val="Calibri"/>
        <family val="2"/>
        <scheme val="minor"/>
      </rPr>
      <t>Secretaria de Turismo, Industria y Comercio:</t>
    </r>
    <r>
      <rPr>
        <sz val="10"/>
        <color theme="1"/>
        <rFont val="Calibri"/>
        <family val="2"/>
        <scheme val="minor"/>
      </rPr>
      <t xml:space="preserve"> Para el cuarto triemstre de 2021,  los siguientes jóvenes: 
- Oreana Agreda Canelones
- Claudia Marcela Luna Abello
- Juan Pablo Clavijo.
- Danghelly Alpala Taimal
- Karen Natalia Fajardo
</t>
    </r>
    <r>
      <rPr>
        <sz val="10"/>
        <rFont val="Calibri"/>
        <family val="2"/>
        <scheme val="minor"/>
      </rPr>
      <t xml:space="preserve">
</t>
    </r>
    <r>
      <rPr>
        <b/>
        <sz val="10"/>
        <rFont val="Calibri"/>
        <family val="2"/>
        <scheme val="minor"/>
      </rPr>
      <t>Secretaría de Familia</t>
    </r>
    <r>
      <rPr>
        <sz val="10"/>
        <rFont val="Calibri"/>
        <family val="2"/>
        <scheme val="minor"/>
      </rPr>
      <t>: Informa la promoción del turismo de naturaleza de aventura a través de la participación de la feria ANATO.</t>
    </r>
  </si>
  <si>
    <t>1012000000
$ 1.500.000
$ 9.993.786</t>
  </si>
  <si>
    <r>
      <t xml:space="preserve">Secretaría de Cultura (Objetivo 1): </t>
    </r>
    <r>
      <rPr>
        <sz val="10"/>
        <color theme="1"/>
        <rFont val="Calibri"/>
        <family val="2"/>
        <scheme val="minor"/>
      </rPr>
      <t xml:space="preserve"> Se desarrollaron talleres de lectura y escritura con los jóvenes del CAE de la Primaria del municipio de Montenegro.</t>
    </r>
    <r>
      <rPr>
        <b/>
        <sz val="10"/>
        <color theme="1"/>
        <rFont val="Calibri"/>
        <family val="2"/>
        <scheme val="minor"/>
      </rPr>
      <t xml:space="preserve"> (Objetivo 2):</t>
    </r>
    <r>
      <rPr>
        <sz val="10"/>
        <color theme="1"/>
        <rFont val="Calibri"/>
        <family val="2"/>
        <scheme val="minor"/>
      </rPr>
      <t xml:space="preserve"> La convocatoria de estímulos (Natalia Montenegro Giraldo) ganadora de la " beca jóvenes creadores"  (creación)</t>
    </r>
    <r>
      <rPr>
        <b/>
        <sz val="10"/>
        <color theme="1"/>
        <rFont val="Calibri"/>
        <family val="2"/>
        <scheme val="minor"/>
      </rPr>
      <t>.</t>
    </r>
  </si>
  <si>
    <t>$ 139.800.000
$ 50.000.000</t>
  </si>
  <si>
    <r>
      <t>Secretaría de Cultura:</t>
    </r>
    <r>
      <rPr>
        <sz val="10"/>
        <color theme="1"/>
        <rFont val="Calibri"/>
        <family val="2"/>
        <scheme val="minor"/>
      </rPr>
      <t xml:space="preserve">  Desde los proyectos ganadores de concertación Departamental, ganaron 3 organizaciones cultruales que desarrollaron actividades con población juvenil como " FORMACIÓN INTEGRAL EN ARTES ESCÉNICAS PARA LA COMUNIDAD INFANTIL Y JUVENIL DEL DEPARTAMENTO DEL QUINDÍO 2021" , " EL HIP HOP COMO INSTRUMENTO DE PAZ EN LAS COMUNIDADES VULNERABLES" y "TALLER CREATIVO DE PLATAFORMAS DE CONTENIDOS INFORMATIVOS DIGITALES EN FORMATO AUDIBLE PODCAST, CON JÓVENES PRIVADOS DE LA LIBERTAD DEL SISTEMA DE RESPONSABILIDAD PENAL PARA ADOLESCENTES."</t>
    </r>
  </si>
  <si>
    <r>
      <rPr>
        <b/>
        <sz val="10"/>
        <color theme="1"/>
        <rFont val="Calibri"/>
        <family val="2"/>
        <scheme val="minor"/>
      </rPr>
      <t xml:space="preserve">Secretaría de Cultura: </t>
    </r>
    <r>
      <rPr>
        <sz val="10"/>
        <color theme="1"/>
        <rFont val="Calibri"/>
        <family val="2"/>
        <scheme val="minor"/>
      </rPr>
      <t>No reporta información en este indicador.</t>
    </r>
    <r>
      <rPr>
        <sz val="10"/>
        <color rgb="FFFF0000"/>
        <rFont val="Calibri"/>
        <family val="2"/>
        <scheme val="minor"/>
      </rPr>
      <t xml:space="preserve">
</t>
    </r>
  </si>
  <si>
    <t>$ 54.000.000
$ 7.600.000</t>
  </si>
  <si>
    <r>
      <rPr>
        <b/>
        <sz val="10"/>
        <color theme="1"/>
        <rFont val="Calibri"/>
        <family val="2"/>
        <scheme val="minor"/>
      </rPr>
      <t xml:space="preserve">Secretaría de Cultura: reporta </t>
    </r>
    <r>
      <rPr>
        <sz val="10"/>
        <color theme="1"/>
        <rFont val="Calibri"/>
        <family val="2"/>
        <scheme val="minor"/>
      </rPr>
      <t>La realización de seminarios en las áreas artísticas: música, teatro, artes plásticas y danza en las casas de la cultura, donde se dieron a jóvenes mas de 5000 seminarios en toda la vigencia 2021, en los 12 municipios del Departamento.</t>
    </r>
    <r>
      <rPr>
        <sz val="10"/>
        <rFont val="Calibri"/>
        <family val="2"/>
        <scheme val="minor"/>
      </rPr>
      <t xml:space="preserve">
</t>
    </r>
  </si>
  <si>
    <r>
      <rPr>
        <b/>
        <sz val="10"/>
        <rFont val="Calibri"/>
        <family val="2"/>
        <scheme val="minor"/>
      </rPr>
      <t xml:space="preserve">Secretaría de Familia: </t>
    </r>
    <r>
      <rPr>
        <sz val="10"/>
        <rFont val="Calibri"/>
        <family val="2"/>
        <scheme val="minor"/>
      </rPr>
      <t xml:space="preserve">Se actualizó un micro sitio en la página web de la Gobernación orientado a difundir y socializar las actividades realizadas en el marco de la implementación de la Política Pública de Juventud.
</t>
    </r>
    <r>
      <rPr>
        <b/>
        <sz val="10"/>
        <rFont val="Calibri"/>
        <family val="2"/>
        <scheme val="minor"/>
      </rPr>
      <t>Secretaría de Comunicaciones:</t>
    </r>
    <r>
      <rPr>
        <sz val="10"/>
        <rFont val="Calibri"/>
        <family val="2"/>
        <scheme val="minor"/>
      </rPr>
      <t xml:space="preserve"> No reportó información
</t>
    </r>
  </si>
  <si>
    <r>
      <rPr>
        <b/>
        <sz val="10"/>
        <rFont val="Calibri"/>
        <family val="2"/>
        <scheme val="minor"/>
      </rPr>
      <t xml:space="preserve">Universidad La Gran Colombia: </t>
    </r>
    <r>
      <rPr>
        <sz val="10"/>
        <rFont val="Calibri"/>
        <family val="2"/>
        <scheme val="minor"/>
      </rPr>
      <t xml:space="preserve">Modelo participativo de formulación de política pública de juventud del Departamento del Quindío (periodo de ejecución julio 2019 - diciembre de 2021).
</t>
    </r>
    <r>
      <rPr>
        <b/>
        <sz val="10"/>
        <rFont val="Calibri"/>
        <family val="2"/>
        <scheme val="minor"/>
      </rPr>
      <t>Corporación Universitaria Alexander Von Humboldt:</t>
    </r>
    <r>
      <rPr>
        <sz val="10"/>
        <rFont val="Calibri"/>
        <family val="2"/>
        <scheme val="minor"/>
      </rPr>
      <t xml:space="preserve"> La Facultad de Ciencias Humanas -Programa de psicología, realiza prácticas en instituciones públicas y privadas atendiendo población de niños y adolescentes. Del mismo modo está participando en el siguientes desarrollos investigativo a través la red de programas de psicología del eje cafetero: “Calidad de los vínculos y  prácticas de inclusión y exclusión: incidencia en la prevención de los comportamientos autodestructivos en estudiantes universitarios”.  En este desarrollo investigativo también participa la Unidad de Bienestar Institucional
1. Relación entre la presencia del fenómeno bullying y la ideación suicida en jóvenes de 11 a 15 años de instituciones educativas de Armenia - Quindío. 
2. Relación entre características de internalización y externalización y la desesperanza en adolescentes de 17 y 18 años de edad de Armenia Quindío. 
3. Medición de conductas prosociales en adolescentes entre 14 y 17 años en diferentes instituciones educativas en la ciudad de Armenia - Quindío 2019. 
4. Influencia de las características sociodemográficas en la presencia de  conductas prosociales en adolescentes entre 13-17 años de la ciudad de Armenia - Quindío del año 2019. 
5. Desarrollo de las funciones ejecutivas frías y cálidas en niños y adolescentes entre 6 y 18 años. 
6. Estructura cognitiva frente a la ética y la moral en adolescentes de 14 a 17 años en la ciudad de Armenia - Quindío.
Universidad San Buenaventura: No reportó Información.
</t>
    </r>
    <r>
      <rPr>
        <b/>
        <sz val="10"/>
        <rFont val="Calibri"/>
        <family val="2"/>
        <scheme val="minor"/>
      </rPr>
      <t>EAM:</t>
    </r>
    <r>
      <rPr>
        <sz val="10"/>
        <rFont val="Calibri"/>
        <family val="2"/>
        <scheme val="minor"/>
      </rPr>
      <t xml:space="preserve"> actualmente no se hay semilleros que manejen la temática de juventudes.
</t>
    </r>
    <r>
      <rPr>
        <b/>
        <sz val="10"/>
        <rFont val="Calibri"/>
        <family val="2"/>
        <scheme val="minor"/>
      </rPr>
      <t>Secretaría de Educación:</t>
    </r>
    <r>
      <rPr>
        <sz val="10"/>
        <rFont val="Calibri"/>
        <family val="2"/>
        <scheme val="minor"/>
      </rPr>
      <t xml:space="preserve"> Este indicador no es competencia de la Secretaría de Educación Departamental del Quindío, ya que dentro de sus competencias está el dirigir, planificar y prestar el servicio educativo en los niveles de preescolar, básica y media media en sus distintas modalidades, en condiciones de equidad, eficiencia y calidad.
</t>
    </r>
    <r>
      <rPr>
        <b/>
        <sz val="10"/>
        <rFont val="Calibri"/>
        <family val="2"/>
        <scheme val="minor"/>
      </rPr>
      <t>Secretaría TICS</t>
    </r>
    <r>
      <rPr>
        <sz val="10"/>
        <rFont val="Calibri"/>
        <family val="2"/>
        <scheme val="minor"/>
      </rPr>
      <t xml:space="preserve">: No reportó información
</t>
    </r>
  </si>
  <si>
    <r>
      <t>EAM:</t>
    </r>
    <r>
      <rPr>
        <sz val="10"/>
        <rFont val="Calibri"/>
        <family val="2"/>
        <scheme val="minor"/>
      </rPr>
      <t xml:space="preserve"> Hay una profesionalización en software y se ofrece una maestría en planeación estratégica 
</t>
    </r>
    <r>
      <rPr>
        <b/>
        <sz val="10"/>
        <rFont val="Calibri"/>
        <family val="2"/>
        <scheme val="minor"/>
      </rPr>
      <t>Universidad San Buenaventura:</t>
    </r>
    <r>
      <rPr>
        <sz val="10"/>
        <rFont val="Calibri"/>
        <family val="2"/>
        <scheme val="minor"/>
      </rPr>
      <t xml:space="preserve"> No reportó Información.
Universidad La Gran Colombia: Seminario de investigación "Ciudadanías Juveniles" con participación de 16 estudiantes de pregrado de la Universidad La Gran Colombia (periodo de ejecución julio 2019 - diciembre de 2021).
</t>
    </r>
    <r>
      <rPr>
        <b/>
        <sz val="10"/>
        <rFont val="Calibri"/>
        <family val="2"/>
        <scheme val="minor"/>
      </rPr>
      <t>Corporación Universitaria Alexander Von Humboldt</t>
    </r>
    <r>
      <rPr>
        <sz val="10"/>
        <rFont val="Calibri"/>
        <family val="2"/>
        <scheme val="minor"/>
      </rPr>
      <t xml:space="preserve">: La Facultad de Ciencias Sociales y Jurídicas - Programa de Derecho A través del semillero de investigación Sophia ha realizado dos investigaciones relacionadas con dinámicas juveniles: 
1. Procesos de participación política y democrática de movimientos sociales juveniles en el Departamento del Quindío
2. Percepción sobre los procesos de participación política y democrática de jóvenes que hacen parte de movimientos sociales juveniles en el departamento del Quindío.
Ambos proyectos están en etapa de finalización para su socialización en diciembre.
</t>
    </r>
    <r>
      <rPr>
        <b/>
        <sz val="10"/>
        <rFont val="Calibri"/>
        <family val="2"/>
        <scheme val="minor"/>
      </rPr>
      <t>Secretaría de Educación:</t>
    </r>
    <r>
      <rPr>
        <sz val="10"/>
        <rFont val="Calibri"/>
        <family val="2"/>
        <scheme val="minor"/>
      </rPr>
      <t xml:space="preserve"> Este indicador no es competencia de la Secretaría de Educación Departamental del Quindío, ya que dentro de sus competencias está el dirigir, planificar y prestar el servicio educativo en los niveles de preescolar, básica y media en sus distintas modalidades, en condiciones de equidad, eficiencia y calidad.</t>
    </r>
    <r>
      <rPr>
        <b/>
        <sz val="10"/>
        <rFont val="Calibri"/>
        <family val="2"/>
        <scheme val="minor"/>
      </rPr>
      <t xml:space="preserve">
Secretaría de Familia: </t>
    </r>
    <r>
      <rPr>
        <sz val="10"/>
        <rFont val="Calibri"/>
        <family val="2"/>
        <scheme val="minor"/>
      </rPr>
      <t xml:space="preserve">se realizó el curso de "Tú emprendimiento a otro nivel" y una alianza con la Universidad de Manizales para capacitar a los jóvenes en temas orientados a proyecto de vida. Además se encuentra en etapa de convocatoria  para el desarrollo de un diplomado de emeprendimiento.
</t>
    </r>
  </si>
  <si>
    <r>
      <rPr>
        <b/>
        <sz val="10"/>
        <rFont val="Calibri"/>
        <family val="2"/>
        <scheme val="minor"/>
      </rPr>
      <t>Secretaría de Familia:</t>
    </r>
    <r>
      <rPr>
        <sz val="10"/>
        <rFont val="Calibri"/>
        <family val="2"/>
        <scheme val="minor"/>
      </rPr>
      <t xml:space="preserve"> La Secretaría de Familia reporta la existencia de 11 espacios de participación los cuales tienen dentro de sus funciones hacer control social a lo público.
</t>
    </r>
    <r>
      <rPr>
        <b/>
        <sz val="10"/>
        <rFont val="Calibri"/>
        <family val="2"/>
        <scheme val="minor"/>
      </rPr>
      <t>Secretaría Planeación:</t>
    </r>
    <r>
      <rPr>
        <sz val="10"/>
        <rFont val="Calibri"/>
        <family val="2"/>
        <scheme val="minor"/>
      </rPr>
      <t xml:space="preserve"> No reportó información
</t>
    </r>
    <r>
      <rPr>
        <b/>
        <sz val="10"/>
        <rFont val="Calibri"/>
        <family val="2"/>
        <scheme val="minor"/>
      </rPr>
      <t>Dirección Privada:</t>
    </r>
    <r>
      <rPr>
        <sz val="10"/>
        <rFont val="Calibri"/>
        <family val="2"/>
        <scheme val="minor"/>
      </rPr>
      <t xml:space="preserve"> No reportó información
</t>
    </r>
    <r>
      <rPr>
        <b/>
        <sz val="10"/>
        <rFont val="Calibri"/>
        <family val="2"/>
        <scheme val="minor"/>
      </rPr>
      <t xml:space="preserve">
</t>
    </r>
  </si>
  <si>
    <r>
      <rPr>
        <b/>
        <sz val="10"/>
        <rFont val="Calibri"/>
        <family val="2"/>
        <scheme val="minor"/>
      </rPr>
      <t>Secretaría de Familia:</t>
    </r>
    <r>
      <rPr>
        <sz val="10"/>
        <rFont val="Calibri"/>
        <family val="2"/>
        <scheme val="minor"/>
      </rPr>
      <t xml:space="preserve"> Reporta avance en la implementación del sistema de información por medio de la difusión de las actividades realizadas a través de las redes sociales, además por medio del seguimiento de manera trimestral.</t>
    </r>
  </si>
  <si>
    <r>
      <rPr>
        <b/>
        <sz val="10"/>
        <color theme="1"/>
        <rFont val="Calibri"/>
        <family val="2"/>
        <scheme val="minor"/>
      </rPr>
      <t xml:space="preserve">Alcaldía de Circasia: </t>
    </r>
    <r>
      <rPr>
        <sz val="10"/>
        <color theme="1"/>
        <rFont val="Calibri"/>
        <family val="2"/>
        <scheme val="minor"/>
      </rPr>
      <t xml:space="preserve">Desde la administración municipal se implementa la Política Pública de Juventud del municipio de Circasia, y estamos en proceso de actualización con apoyo de la Gobernación del Quindío por medio de la  Secretaría de Familia.
</t>
    </r>
    <r>
      <rPr>
        <b/>
        <sz val="10"/>
        <color theme="1"/>
        <rFont val="Calibri"/>
        <family val="2"/>
        <scheme val="minor"/>
      </rPr>
      <t>Alcaldía de Quimbaya</t>
    </r>
    <r>
      <rPr>
        <sz val="10"/>
        <color theme="1"/>
        <rFont val="Calibri"/>
        <family val="2"/>
        <scheme val="minor"/>
      </rPr>
      <t xml:space="preserve">: Se encuentra ejecutando e implementando acciones de política y no se han realizado procesos de rendición pública de cuentas de ejecución de la Política Pública Municipal de Juventud. 
</t>
    </r>
    <r>
      <rPr>
        <b/>
        <sz val="10"/>
        <color theme="1"/>
        <rFont val="Calibri"/>
        <family val="2"/>
        <scheme val="minor"/>
      </rPr>
      <t xml:space="preserve">Alcaldía de Montenegro: </t>
    </r>
    <r>
      <rPr>
        <sz val="10"/>
        <color theme="1"/>
        <rFont val="Calibri"/>
        <family val="2"/>
        <scheme val="minor"/>
      </rPr>
      <t xml:space="preserve">No se han realizado rendiciones públicas de cuentas de la Política Pública ya que no se encuentra adoptada a la fecha. </t>
    </r>
    <r>
      <rPr>
        <b/>
        <sz val="10"/>
        <color theme="1"/>
        <rFont val="Calibri"/>
        <family val="2"/>
        <scheme val="minor"/>
      </rPr>
      <t xml:space="preserve">
Alcaldía Pijao:</t>
    </r>
    <r>
      <rPr>
        <sz val="10"/>
        <color theme="1"/>
        <rFont val="Calibri"/>
        <family val="2"/>
        <scheme val="minor"/>
      </rPr>
      <t xml:space="preserve"> Aún no tiene rendición pública.
</t>
    </r>
    <r>
      <rPr>
        <b/>
        <sz val="10"/>
        <color theme="1"/>
        <rFont val="Calibri"/>
        <family val="2"/>
        <scheme val="minor"/>
      </rPr>
      <t xml:space="preserve">Alcaldía de Calarcá: </t>
    </r>
    <r>
      <rPr>
        <sz val="10"/>
        <color theme="1"/>
        <rFont val="Calibri"/>
        <family val="2"/>
        <scheme val="minor"/>
      </rPr>
      <t xml:space="preserve">Se han realizado dos rendiciones de la Política Pública de Juventudes en Asamblea de Juventudes la primera en el mes de abril y la segunda en el mes de octubre del 2021. 
</t>
    </r>
    <r>
      <rPr>
        <b/>
        <sz val="10"/>
        <color theme="1"/>
        <rFont val="Calibri"/>
        <family val="2"/>
        <scheme val="minor"/>
      </rPr>
      <t xml:space="preserve">Alcaldía de Buenavista: </t>
    </r>
    <r>
      <rPr>
        <sz val="10"/>
        <color theme="1"/>
        <rFont val="Calibri"/>
        <family val="2"/>
        <scheme val="minor"/>
      </rPr>
      <t xml:space="preserve">No se realizó rendición de cuentas en el último trimestre del año.     
</t>
    </r>
    <r>
      <rPr>
        <b/>
        <sz val="10"/>
        <color theme="1"/>
        <rFont val="Calibri"/>
        <family val="2"/>
        <scheme val="minor"/>
      </rPr>
      <t>Alcaldía Córdoba</t>
    </r>
    <r>
      <rPr>
        <sz val="10"/>
        <color theme="1"/>
        <rFont val="Calibri"/>
        <family val="2"/>
        <scheme val="minor"/>
      </rPr>
      <t xml:space="preserve">: No cuenta con la Política Pública de Juventud, esta en proceso de construcción.
</t>
    </r>
    <r>
      <rPr>
        <b/>
        <sz val="10"/>
        <color theme="1"/>
        <rFont val="Calibri"/>
        <family val="2"/>
        <scheme val="minor"/>
      </rPr>
      <t>Alcaldía de La Tebaida: E</t>
    </r>
    <r>
      <rPr>
        <sz val="10"/>
        <color theme="1"/>
        <rFont val="Calibri"/>
        <family val="2"/>
        <scheme val="minor"/>
      </rPr>
      <t xml:space="preserve">n la fecha aún no se han realizado.       
</t>
    </r>
    <r>
      <rPr>
        <b/>
        <sz val="10"/>
        <color theme="1"/>
        <rFont val="Calibri"/>
        <family val="2"/>
        <scheme val="minor"/>
      </rPr>
      <t>Secretaría de Familia:</t>
    </r>
    <r>
      <rPr>
        <sz val="10"/>
        <color theme="1"/>
        <rFont val="Calibri"/>
        <family val="2"/>
        <scheme val="minor"/>
      </rPr>
      <t xml:space="preserve"> Reporta la realización de tres reportes en el año 2021, correspondientes al seguimiento de la implementación de la Política Pública de Juventud.
</t>
    </r>
    <r>
      <rPr>
        <b/>
        <sz val="10"/>
        <color theme="1"/>
        <rFont val="Calibri"/>
        <family val="2"/>
        <scheme val="minor"/>
      </rPr>
      <t>Secretaría de Planeación:</t>
    </r>
    <r>
      <rPr>
        <sz val="10"/>
        <color theme="1"/>
        <rFont val="Calibri"/>
        <family val="2"/>
        <scheme val="minor"/>
      </rPr>
      <t xml:space="preserve"> No reportó información. </t>
    </r>
  </si>
  <si>
    <r>
      <rPr>
        <b/>
        <sz val="10"/>
        <color theme="1"/>
        <rFont val="Calibri"/>
        <family val="2"/>
        <scheme val="minor"/>
      </rPr>
      <t>Alcaldía de Salento:</t>
    </r>
    <r>
      <rPr>
        <sz val="10"/>
        <color theme="1"/>
        <rFont val="Calibri"/>
        <family val="2"/>
        <scheme val="minor"/>
      </rPr>
      <t xml:space="preserve"> Actualmente en la Casa de la Juventud se encuentra la oficina de la Plataforma Municipal de Juventud y del grupo juvenil Revolución Salento. Se utiliza para eventos y actividades educativas, deportivas y culturales. Se espera que durante el cuatrienio 2020-2023 se realicen inversiones en adecuación y dotación de la Casa de la Juventud, con el fin de optimizar su funcionamiento.
</t>
    </r>
    <r>
      <rPr>
        <b/>
        <sz val="10"/>
        <color theme="1"/>
        <rFont val="Calibri"/>
        <family val="2"/>
        <scheme val="minor"/>
      </rPr>
      <t>Alcaldía de Buenavista:</t>
    </r>
    <r>
      <rPr>
        <sz val="10"/>
        <color theme="1"/>
        <rFont val="Calibri"/>
        <family val="2"/>
        <scheme val="minor"/>
      </rPr>
      <t xml:space="preserve"> Cuenta con el espacio de la casa de la juventud y se encuentra pendiente la reactivación de la misma. Se está haciendo uso de otros espacios para los encuentros de jóvenes (Casa de la Cultura, Concha Acústica)
</t>
    </r>
    <r>
      <rPr>
        <b/>
        <sz val="10"/>
        <color theme="1"/>
        <rFont val="Calibri"/>
        <family val="2"/>
        <scheme val="minor"/>
      </rPr>
      <t>Alcaldía Quimbaya:</t>
    </r>
    <r>
      <rPr>
        <sz val="10"/>
        <color theme="1"/>
        <rFont val="Calibri"/>
        <family val="2"/>
        <scheme val="minor"/>
      </rPr>
      <t xml:space="preserve"> No cuenta con casa de la juventud.
</t>
    </r>
    <r>
      <rPr>
        <b/>
        <sz val="10"/>
        <color theme="1"/>
        <rFont val="Calibri"/>
        <family val="2"/>
        <scheme val="minor"/>
      </rPr>
      <t xml:space="preserve">Alcaldía de Tebaida: </t>
    </r>
    <r>
      <rPr>
        <sz val="10"/>
        <color theme="1"/>
        <rFont val="Calibri"/>
        <family val="2"/>
        <scheme val="minor"/>
      </rPr>
      <t xml:space="preserve">Se cambió todo el cableado para una mayor cobertura de internet dentro de la casa, la cual se pondrá en uso una vez levantada la pandemia.
</t>
    </r>
    <r>
      <rPr>
        <b/>
        <sz val="10"/>
        <color theme="1"/>
        <rFont val="Calibri"/>
        <family val="2"/>
        <scheme val="minor"/>
      </rPr>
      <t>Alcaldía Circasia:</t>
    </r>
    <r>
      <rPr>
        <sz val="10"/>
        <color theme="1"/>
        <rFont val="Calibri"/>
        <family val="2"/>
        <scheme val="minor"/>
      </rPr>
      <t xml:space="preserve"> No cuenta con casa de la juventud.
</t>
    </r>
    <r>
      <rPr>
        <b/>
        <sz val="10"/>
        <color theme="1"/>
        <rFont val="Calibri"/>
        <family val="2"/>
        <scheme val="minor"/>
      </rPr>
      <t xml:space="preserve">Alcaldía de Armenia: </t>
    </r>
    <r>
      <rPr>
        <sz val="10"/>
        <color theme="1"/>
        <rFont val="Calibri"/>
        <family val="2"/>
        <scheme val="minor"/>
      </rPr>
      <t xml:space="preserve">Se viene adelantando a través de la consejería presidencial para la juventud la adecuación de la casa de la juventud para convertirse en centro sacúdete.
</t>
    </r>
    <r>
      <rPr>
        <b/>
        <sz val="10"/>
        <color theme="1"/>
        <rFont val="Calibri"/>
        <family val="2"/>
        <scheme val="minor"/>
      </rPr>
      <t>Alcaldía Montenegro:</t>
    </r>
    <r>
      <rPr>
        <sz val="10"/>
        <color theme="1"/>
        <rFont val="Calibri"/>
        <family val="2"/>
        <scheme val="minor"/>
      </rPr>
      <t xml:space="preserve"> La casa de la juventud actualmente está articulada con el proyecto cultivarte.
</t>
    </r>
    <r>
      <rPr>
        <b/>
        <sz val="10"/>
        <color theme="1"/>
        <rFont val="Calibri"/>
        <family val="2"/>
        <scheme val="minor"/>
      </rPr>
      <t>Alcaldía de Córdoba</t>
    </r>
    <r>
      <rPr>
        <sz val="10"/>
        <color theme="1"/>
        <rFont val="Calibri"/>
        <family val="2"/>
        <scheme val="minor"/>
      </rPr>
      <t xml:space="preserve">: Actualmente no se encuentra con la infraestructura de la casa de la Juventud, sin embargo se realizan actividades culturales en la casa de la cultura y deportivas en los escenarios deportivos.
</t>
    </r>
    <r>
      <rPr>
        <b/>
        <sz val="10"/>
        <color theme="1"/>
        <rFont val="Calibri"/>
        <family val="2"/>
        <scheme val="minor"/>
      </rPr>
      <t>Alcaldía de Filandia: C</t>
    </r>
    <r>
      <rPr>
        <sz val="10"/>
        <color theme="1"/>
        <rFont val="Calibri"/>
        <family val="2"/>
        <scheme val="minor"/>
      </rPr>
      <t xml:space="preserve">uenta con el espacio de la casa de la cultura que maneja diferentes programas y actividades para la población juvenil del municipio.
</t>
    </r>
    <r>
      <rPr>
        <b/>
        <sz val="10"/>
        <color theme="1"/>
        <rFont val="Calibri"/>
        <family val="2"/>
        <scheme val="minor"/>
      </rPr>
      <t>Secretaría de Familia</t>
    </r>
    <r>
      <rPr>
        <sz val="10"/>
        <color theme="1"/>
        <rFont val="Calibri"/>
        <family val="2"/>
        <scheme val="minor"/>
      </rPr>
      <t xml:space="preserve">: Reporta seis municipios del Departamento con casas de la juventud adecuadas y operando.  
</t>
    </r>
    <r>
      <rPr>
        <b/>
        <sz val="10"/>
        <rFont val="Calibri"/>
        <family val="2"/>
        <scheme val="minor"/>
      </rPr>
      <t xml:space="preserve">
</t>
    </r>
  </si>
  <si>
    <r>
      <rPr>
        <b/>
        <sz val="10"/>
        <color theme="1"/>
        <rFont val="Calibri"/>
        <family val="2"/>
        <scheme val="minor"/>
      </rPr>
      <t>Alcaldía de Filandia</t>
    </r>
    <r>
      <rPr>
        <sz val="10"/>
        <color theme="1"/>
        <rFont val="Calibri"/>
        <family val="2"/>
        <scheme val="minor"/>
      </rPr>
      <t xml:space="preserve">: Reporta la realización de visitas a las Instituciones Educativas del municipio para incentivar a la participación de los jóvenes en los CMJ; se gestionaron incentivos de las instituciones educativas para fomentar la participación e inscripción de jóvenes a este espacio; se han realizado capacitaciones virtuales sobre los CMJ, se logró la inscripción de 4 listas y actualmente se cuenta el Consejo de Juventud electo.
</t>
    </r>
    <r>
      <rPr>
        <b/>
        <sz val="10"/>
        <color theme="1"/>
        <rFont val="Calibri"/>
        <family val="2"/>
        <scheme val="minor"/>
      </rPr>
      <t>Alcaldía de Buenavista:</t>
    </r>
    <r>
      <rPr>
        <sz val="10"/>
        <color theme="1"/>
        <rFont val="Calibri"/>
        <family val="2"/>
        <scheme val="minor"/>
      </rPr>
      <t xml:space="preserve"> Se llevó a cabo las elecciones de los Cosejeros Municipales de Juventud.
</t>
    </r>
    <r>
      <rPr>
        <b/>
        <sz val="10"/>
        <color theme="1"/>
        <rFont val="Calibri"/>
        <family val="2"/>
        <scheme val="minor"/>
      </rPr>
      <t>Alcaldía Montenegro:</t>
    </r>
    <r>
      <rPr>
        <sz val="10"/>
        <color theme="1"/>
        <rFont val="Calibri"/>
        <family val="2"/>
        <scheme val="minor"/>
      </rPr>
      <t xml:space="preserve"> A la fecha el Consejo de Juventud se encuentra electo, el cual cuenta con trece Consejeros, apoyados desde la Administración Municipal.
</t>
    </r>
    <r>
      <rPr>
        <b/>
        <sz val="10"/>
        <color theme="1"/>
        <rFont val="Calibri"/>
        <family val="2"/>
        <scheme val="minor"/>
      </rPr>
      <t xml:space="preserve">Alcaldía de Salento: </t>
    </r>
    <r>
      <rPr>
        <sz val="10"/>
        <color theme="1"/>
        <rFont val="Calibri"/>
        <family val="2"/>
        <scheme val="minor"/>
      </rPr>
      <t>La Reg</t>
    </r>
    <r>
      <rPr>
        <sz val="10"/>
        <rFont val="Calibri"/>
        <family val="2"/>
        <scheme val="minor"/>
      </rPr>
      <t xml:space="preserve">istraduría Nacional del Estado Civil  y el Gobierno Nacional suspendió la convocatoria de elecciones de CMJS en todo el país, debido a la emergencia sanitaria causada por la COVID-19. No obstante, la administración municipal de Salento ya instaló el Comité de Seguimiento Electoral y conformó el Comité de Organización de dicha elección, donde se realizaron dos reuniones con autoridades civiles, electorales y de policía.
</t>
    </r>
    <r>
      <rPr>
        <b/>
        <sz val="10"/>
        <rFont val="Calibri"/>
        <family val="2"/>
        <scheme val="minor"/>
      </rPr>
      <t>Alcaldía Quimbaya</t>
    </r>
    <r>
      <rPr>
        <sz val="10"/>
        <rFont val="Calibri"/>
        <family val="2"/>
        <scheme val="minor"/>
      </rPr>
      <t xml:space="preserve">: No se han desarrollado procesos de liberación de liderazgo e incidencia a Consejeros de Juventud.   
</t>
    </r>
    <r>
      <rPr>
        <b/>
        <sz val="10"/>
        <rFont val="Calibri"/>
        <family val="2"/>
        <scheme val="minor"/>
      </rPr>
      <t>Alcaldía Calarcá:</t>
    </r>
    <r>
      <rPr>
        <sz val="10"/>
        <rFont val="Calibri"/>
        <family val="2"/>
        <scheme val="minor"/>
      </rPr>
      <t xml:space="preserve"> 9 Talleres de socialización de la Ley Estatutaria de Juventudes con las modificaciones del año 2018, para promover la participación de los jóvenes en las instancias del sistema de juventudes, incluido entidades, ello con el fin de capacitar a los posibles candidatos y líderes juveniles que podrían integrar el CMJ, además se realizaron talleres en las instituciones educativas del municipio de Calarcá y Corregimiento de Barcelona, asi mismo se realizaron diferentes piezas publicitarias dando a conocer el cronograma o calendario electoral y los tipos de participacion como independientes, por practicas organizativas o partidos políticos y por último se organizo una reunión con los jóvenes postulados al consejo municipal de juventudes del municipio quienes presentaban sus propuestas como futuros consejeros. 
</t>
    </r>
    <r>
      <rPr>
        <b/>
        <sz val="10"/>
        <rFont val="Calibri"/>
        <family val="2"/>
        <scheme val="minor"/>
      </rPr>
      <t>Alcaldía Pijao:</t>
    </r>
    <r>
      <rPr>
        <sz val="10"/>
        <rFont val="Calibri"/>
        <family val="2"/>
        <scheme val="minor"/>
      </rPr>
      <t xml:space="preserve"> Mesas de socialización y concertación para la creación del Consejo Municipal de Juventud.
</t>
    </r>
    <r>
      <rPr>
        <b/>
        <sz val="10"/>
        <rFont val="Calibri"/>
        <family val="2"/>
        <scheme val="minor"/>
      </rPr>
      <t>Alcaldía de Córdoba</t>
    </r>
    <r>
      <rPr>
        <sz val="10"/>
        <rFont val="Calibri"/>
        <family val="2"/>
        <scheme val="minor"/>
      </rPr>
      <t xml:space="preserve">: La administracion municipal por medio del enlace de juventud realizó un proceso de inscripción de cuatro listas,  de las cuales 3 son partidos politicos ASI con 3 participantes , Centro democrático 2 participantes y Cambio radical 2 participantes, y una de lista independiente Robles juveniles Córdoba donde hacen parte 7 participantes. Igualmente se realizan actividades por medio de la plataforma juvenil.
</t>
    </r>
    <r>
      <rPr>
        <b/>
        <sz val="10"/>
        <rFont val="Calibri"/>
        <family val="2"/>
        <scheme val="minor"/>
      </rPr>
      <t>Secretaría de Familia:</t>
    </r>
    <r>
      <rPr>
        <sz val="10"/>
        <rFont val="Calibri"/>
        <family val="2"/>
        <scheme val="minor"/>
      </rPr>
      <t xml:space="preserve"> Desde la Jefatura de Juventud, se realizaron capacitaciones acerca de la ley estatutaria 1622/2013 con énfasis en los Consejos Municipales de Juventud. Adicionalmente, se realizaron acciones de difusión y promoción del calendario electoral por las redes sociales, medios de comunicación disponibles  y en Instituciones Educativas y Prácticas y Procesos Organizativos juveniles de los doce municipios del Departamento.
</t>
    </r>
  </si>
  <si>
    <r>
      <t xml:space="preserve">
</t>
    </r>
    <r>
      <rPr>
        <b/>
        <sz val="10"/>
        <color theme="1"/>
        <rFont val="Calibri"/>
        <family val="2"/>
        <scheme val="minor"/>
      </rPr>
      <t xml:space="preserve">Alcaldía de Buenavista:  </t>
    </r>
    <r>
      <rPr>
        <sz val="10"/>
        <color theme="1"/>
        <rFont val="Calibri"/>
        <family val="2"/>
        <scheme val="minor"/>
      </rPr>
      <t xml:space="preserve">Se cuenta con una Plataforma Municipal de Juventud recientemente actualizada y reactivada. Se encuentra en proceso de creación de estatutos.
</t>
    </r>
    <r>
      <rPr>
        <b/>
        <sz val="10"/>
        <color theme="1"/>
        <rFont val="Calibri"/>
        <family val="2"/>
        <scheme val="minor"/>
      </rPr>
      <t xml:space="preserve">Alcaldía de Montenegro: </t>
    </r>
    <r>
      <rPr>
        <sz val="10"/>
        <color theme="1"/>
        <rFont val="Calibri"/>
        <family val="2"/>
        <scheme val="minor"/>
      </rPr>
      <t>Se cuenta con Plataforma de Juventud registrada, la cual se encuentra activa y operando.</t>
    </r>
    <r>
      <rPr>
        <b/>
        <sz val="10"/>
        <color theme="1"/>
        <rFont val="Calibri"/>
        <family val="2"/>
        <scheme val="minor"/>
      </rPr>
      <t xml:space="preserve">
Alcaldía de Salento:</t>
    </r>
    <r>
      <rPr>
        <sz val="10"/>
        <color theme="1"/>
        <rFont val="Calibri"/>
        <family val="2"/>
        <scheme val="minor"/>
      </rPr>
      <t xml:space="preserve"> Actualmente está en funcionamiento la Plataforma Municipal de Juventud, la cual cuenta con 10 integrantes.
</t>
    </r>
    <r>
      <rPr>
        <b/>
        <sz val="10"/>
        <color theme="1"/>
        <rFont val="Calibri"/>
        <family val="2"/>
        <scheme val="minor"/>
      </rPr>
      <t>Alcaldía Pijao:</t>
    </r>
    <r>
      <rPr>
        <sz val="10"/>
        <color theme="1"/>
        <rFont val="Calibri"/>
        <family val="2"/>
        <scheme val="minor"/>
      </rPr>
      <t xml:space="preserve"> El Municipio de Pijao cuenta con Plataforma juvenil, se está reactivando.
</t>
    </r>
    <r>
      <rPr>
        <b/>
        <sz val="10"/>
        <color theme="1"/>
        <rFont val="Calibri"/>
        <family val="2"/>
        <scheme val="minor"/>
      </rPr>
      <t>Alcaldía de Córdoba</t>
    </r>
    <r>
      <rPr>
        <sz val="10"/>
        <color theme="1"/>
        <rFont val="Calibri"/>
        <family val="2"/>
        <scheme val="minor"/>
      </rPr>
      <t xml:space="preserve">: Se cuenta con la Plataforma de Juventud la cual se encuentra activa y operando.          
</t>
    </r>
    <r>
      <rPr>
        <b/>
        <sz val="10"/>
        <color theme="1"/>
        <rFont val="Calibri"/>
        <family val="2"/>
        <scheme val="minor"/>
      </rPr>
      <t>Alcaldía Calarcá:</t>
    </r>
    <r>
      <rPr>
        <sz val="10"/>
        <color theme="1"/>
        <rFont val="Calibri"/>
        <family val="2"/>
        <scheme val="minor"/>
      </rPr>
      <t xml:space="preserve"> Acompañamiento a la elaboración del plan de trabajo de la Plataforma de Juventudes,  acompañamiento a las sesiones o actividades de la Plataforma de Juventud, acompañamiento y apoyo en la organización de la Plataforma de Juventud en actividades del plan de trabajo, estímulos de reconocimiento en el marco de la semana de la juventud (Agenda, lapicero, USB), realización de Comisión Concertación y Decisión de Juventudes (invitaciones, presentación, acta de reunión)
</t>
    </r>
    <r>
      <rPr>
        <b/>
        <sz val="10"/>
        <color theme="1"/>
        <rFont val="Calibri"/>
        <family val="2"/>
        <scheme val="minor"/>
      </rPr>
      <t>Alcaldía de La Tebaida</t>
    </r>
    <r>
      <rPr>
        <sz val="10"/>
        <color theme="1"/>
        <rFont val="Calibri"/>
        <family val="2"/>
        <scheme val="minor"/>
      </rPr>
      <t xml:space="preserve">: Reporta el apoyo a Plataforma Municipal de Juevntud en las sesiones y préstamo de la casa de la juventud para llevar a cabo sus reuniones. 
</t>
    </r>
    <r>
      <rPr>
        <b/>
        <sz val="10"/>
        <color theme="1"/>
        <rFont val="Calibri"/>
        <family val="2"/>
        <scheme val="minor"/>
      </rPr>
      <t>Secretaria de Familia:</t>
    </r>
    <r>
      <rPr>
        <sz val="10"/>
        <color theme="1"/>
        <rFont val="Calibri"/>
        <family val="2"/>
        <scheme val="minor"/>
      </rPr>
      <t xml:space="preserve"> Desde la jefatura de juventud,  se realizaron capacitaciones de promoción del Estatuto de Ciudadanía Juvenil y reuniones de asistencias técnicas a los enlaces municipales de juventud.
</t>
    </r>
    <r>
      <rPr>
        <b/>
        <sz val="10"/>
        <color theme="1"/>
        <rFont val="Calibri"/>
        <family val="2"/>
        <scheme val="minor"/>
      </rPr>
      <t>Alcaldía de Filandia:</t>
    </r>
    <r>
      <rPr>
        <sz val="10"/>
        <color theme="1"/>
        <rFont val="Calibri"/>
        <family val="2"/>
        <scheme val="minor"/>
      </rPr>
      <t xml:space="preserve"> El municipio esta en proceso de constitución de la Plataforma de Juventud. </t>
    </r>
  </si>
  <si>
    <r>
      <rPr>
        <sz val="10"/>
        <color rgb="FFFF0000"/>
        <rFont val="Calibri"/>
        <family val="2"/>
        <scheme val="minor"/>
      </rPr>
      <t xml:space="preserve">
</t>
    </r>
    <r>
      <rPr>
        <b/>
        <sz val="10"/>
        <color theme="1"/>
        <rFont val="Calibri"/>
        <family val="2"/>
        <scheme val="minor"/>
      </rPr>
      <t>Alcaldía de Buenavista:</t>
    </r>
    <r>
      <rPr>
        <sz val="10"/>
        <color theme="1"/>
        <rFont val="Calibri"/>
        <family val="2"/>
        <scheme val="minor"/>
      </rPr>
      <t xml:space="preserve"> Se realizó Asamblea Juvenil, en donde se reactivó la Plataforma Municipal de Juventud, y la elección de los representantes a la Plataforma Departamental de Juventud. 
</t>
    </r>
    <r>
      <rPr>
        <b/>
        <sz val="10"/>
        <color theme="1"/>
        <rFont val="Calibri"/>
        <family val="2"/>
        <scheme val="minor"/>
      </rPr>
      <t xml:space="preserve">Alcaldía de Salento: </t>
    </r>
    <r>
      <rPr>
        <sz val="10"/>
        <color theme="1"/>
        <rFont val="Calibri"/>
        <family val="2"/>
        <scheme val="minor"/>
      </rPr>
      <t xml:space="preserve">Hasta el momento se ha realizado el 13 de Febrero de 2021 la primera Asamblea Municipal de Juventud en el municipio de Salento.
</t>
    </r>
    <r>
      <rPr>
        <b/>
        <sz val="10"/>
        <color theme="1"/>
        <rFont val="Calibri"/>
        <family val="2"/>
        <scheme val="minor"/>
      </rPr>
      <t>Alcaldía de Montenegro:</t>
    </r>
    <r>
      <rPr>
        <sz val="10"/>
        <color theme="1"/>
        <rFont val="Calibri"/>
        <family val="2"/>
        <scheme val="minor"/>
      </rPr>
      <t xml:space="preserve"> El 29 de Octubre de 2021, se realizó la segunda Asamblea Municipal de Juventud.
</t>
    </r>
    <r>
      <rPr>
        <b/>
        <sz val="10"/>
        <color theme="1"/>
        <rFont val="Calibri"/>
        <family val="2"/>
        <scheme val="minor"/>
      </rPr>
      <t>Alcaldía de Córdoba:</t>
    </r>
    <r>
      <rPr>
        <sz val="10"/>
        <color theme="1"/>
        <rFont val="Calibri"/>
        <family val="2"/>
        <scheme val="minor"/>
      </rPr>
      <t xml:space="preserve"> No se han realizado asambleas juveniles.
</t>
    </r>
    <r>
      <rPr>
        <b/>
        <sz val="10"/>
        <color theme="1"/>
        <rFont val="Calibri"/>
        <family val="2"/>
        <scheme val="minor"/>
      </rPr>
      <t>Alcaldía de Calarcá:</t>
    </r>
    <r>
      <rPr>
        <sz val="10"/>
        <color theme="1"/>
        <rFont val="Calibri"/>
        <family val="2"/>
        <scheme val="minor"/>
      </rPr>
      <t xml:space="preserve"> Desde la Secretaría de Salud se han realizado dos Asambleas de Juventudes la primera en el mes de abril y la segunda en el mes de octubre del año 2021. 
</t>
    </r>
    <r>
      <rPr>
        <b/>
        <sz val="10"/>
        <color theme="1"/>
        <rFont val="Calibri"/>
        <family val="2"/>
        <scheme val="minor"/>
      </rPr>
      <t xml:space="preserve">Secretaria de Familia: </t>
    </r>
    <r>
      <rPr>
        <sz val="10"/>
        <color theme="1"/>
        <rFont val="Calibri"/>
        <family val="2"/>
        <scheme val="minor"/>
      </rPr>
      <t xml:space="preserve">Desde la Jefatura de Juventud se brindó asistencia técnica y /o capacitación sobre Estatuto de Ciudadanía Juvenil a enlaces de juventud y en Instituciones educativas de los municipios del Departamento del Quindío. 
</t>
    </r>
    <r>
      <rPr>
        <b/>
        <sz val="10"/>
        <color theme="1"/>
        <rFont val="Calibri"/>
        <family val="2"/>
        <scheme val="minor"/>
      </rPr>
      <t>Alcaldía de la Tebaida</t>
    </r>
    <r>
      <rPr>
        <sz val="10"/>
        <color theme="1"/>
        <rFont val="Calibri"/>
        <family val="2"/>
        <scheme val="minor"/>
      </rPr>
      <t xml:space="preserve">: el día 03 de diciembre se pudo realizar una pequeña mesa de trabajo con 5 jóvenes contándole un pequeño resumen de la Política Pública de Juventud. Teniendo en cuenta la poca asistencia de la sesión anterior se hace una segunda el 20 de diciembre, la cual también tuvo participación de 5 jóvenes. 
</t>
    </r>
    <r>
      <rPr>
        <sz val="10"/>
        <rFont val="Calibri"/>
        <family val="2"/>
        <scheme val="minor"/>
      </rPr>
      <t xml:space="preserve">
</t>
    </r>
  </si>
  <si>
    <t>PROGRAMADO 
(Meta al 2019)</t>
  </si>
  <si>
    <t>PROGRAMADO 
(Meta al 2018)</t>
  </si>
  <si>
    <t>PROGRAMADO 
(Meta al 2017)</t>
  </si>
  <si>
    <t>PROGRAMADO 
(Meta al 2016)</t>
  </si>
  <si>
    <t>PROGRAMADO 
(Meta al 2015)</t>
  </si>
  <si>
    <t>PROGRAMADO 
(Meta al 2014</t>
  </si>
  <si>
    <t>EC</t>
  </si>
  <si>
    <t>nd</t>
  </si>
  <si>
    <t>Se hizo acompañamiento a todos los municipios del Departamento en el fortalecimiento y conformación de plataformas municipales de juventud, quienes servirán de consejos de validación para las políticas públicas así como la implementación de las agendas juveniles</t>
  </si>
  <si>
    <t>Ya que la Ley 1622 fue adoptada en el 2013 y los Planes de Desarrollo tienen vigencia desde el 2012, las oficinas de juvetnud, políticas públicas, entre otros que se establecen en la misma, deben ser incluidos en los próximos planes de desarrollo a adoptarse en el año 2016, de esta forma esta acción se encuentra pendiente de realizarse</t>
  </si>
  <si>
    <t>El Quindío cuenta con 10 Plataformas Municipales de Juventud conformadas y en funcionamiento, una oficina Departamental de Juventud, así como una Política Pública Departamental y tres Políticas Municipales operando; estos elementos conforman la etapa inicial del Sistema Departamental de Juventud</t>
  </si>
  <si>
    <t>Actualmente sólo Armenia, Quimbaya y Circasia cuentan con Política Pública Municipal de Juventud, todos cuentan con Plataforma de Juventud, entre ellos, se constituyen tres sistemas municipales de juventud en etapa inicial</t>
  </si>
  <si>
    <t>10 emprendimientos identificados. 1 taller de sensibilización a emprendedores en mejora de capacidades de emprendimientos. Acompañamiento en la formulación de planes de negocios.</t>
  </si>
  <si>
    <t>Se logró hacer entrega de elementos técnicos y tecnológicos como dotación a las instituciones educativas del departamento, a través del convenio Gobernación del Quindío-MinTICs</t>
  </si>
  <si>
    <t>Identificación de 8 asociaciones con población red unidos y apoyo para presentación de proyectos para el programa de capitalización microempresarial.</t>
  </si>
  <si>
    <t>Pendiente entrega de información de la entidad ejecutora</t>
  </si>
  <si>
    <t>Se apoyaron diferentes unidades productivas a través de los comités locales de desarrollo rural y la Secretaría de Agricultura, donde participaron diferentes jóvenes del Departamento habitantes de zonas rurales</t>
  </si>
  <si>
    <t>Se vinculó a una asociacion de jovenes emprendedores a la red departamental de emprendimiento</t>
  </si>
  <si>
    <t>Se logró aumentar la cobertura educativa a niveles de media básica, técnica, tecnológica y profesional</t>
  </si>
  <si>
    <t>Se fortalecieron las aulas de apoyo de las instituciones educativas públicas del departamento</t>
  </si>
  <si>
    <t xml:space="preserve">Se aumentó el número de bachilleres que ingresan a pregrados en programas técnicos, tecnológicos o profesionales a un 80%, </t>
  </si>
  <si>
    <t>Se realizó una campaña de MatricúlateYa con la Secretaría de Educación, en todos los municipios del Departamento, logrando disminuir el índice de jóvenes desescolarizados, y a través de subsidios de transporte y educación se ha intentado mitigar el índice de deserción escolar</t>
  </si>
  <si>
    <t xml:space="preserve"> Se mantuvo el número de jóvenes beneficiarios de subsidios en transporte escolar y alimentación escolar. </t>
  </si>
  <si>
    <t>Acciones PROMOCIÓN DE LA SALUD Y PREVENCIÓN DE LOS RIESGOS: Se realizó abogacía, capacitación y Asesoría Técnica para Impulsar la implementación y/o fortalecimiento de los Servicios Amigables para adolescentes y jóvenes en los 12 municipios del Departamento; así mismo se coordinó acciones con DPS para el proceso piloto de jóvenes y adolescentes de más familias en acción en el municipio de la tebaida; se han  desarrollado acciones de seguimiento y evaluación en la adherencia a la norma técnica de detección de las alteraciones del desarrollo del joven en 11 IPS públicas de primer nivel de atención, en este proceso se establecieron planes de mejoramiento los cuales fueron notificados al área de jurídica para el respectivo proceso, dentro de las acciones sectorial se ha participado activamente en las mesas departamentales de CONPES 147 y del Programa de Educación para la Sexualidad y Construcción de Ciudadanía, en donde se han capacitado a las 54 instituciones educativas en salud sexual y reproductiva.</t>
  </si>
  <si>
    <t>Acciones ACTIVIDAD FISICA Y HABITOS DE VIDA SALUDABLE "QUINDIO FIRME, CON LA ACTIVIDAD FISICA: Se incrementó el porcentaje de jóvenes que participan en programas que articulan políticas públicas de salud con la creación de hábitos y estilos de vida saludable por medio de un programa de actividad física como instrumento útil para reconstruir el tejido social, alejar a los niños, jóvenes, adultos y a la población vulnerable de los riesgos de las adicciones, problemas derivados del sedentarismo y otros hábitos no saludables.  De igual forma, se implementó la estrategia GOLOMBIAO, que tiene como objetivo promover estilos de vida saludables y promoción de proyectos de vida a través del deporte.</t>
  </si>
  <si>
    <t xml:space="preserve">Acciones UNA RAZÓN MÁS PARA SONREIR: Se implementó un modelo de atención primaria en salud mental, que consiste en mejorar los servicios de atención psicológica para disminuir el flujo de pacientes con remisión a segundo nivel. </t>
  </si>
  <si>
    <t xml:space="preserve">Se implementó la estrategia GOLOMBIAO, así como las campañas de espacios libres de discriminación con el proyecto SEX TU MISMO, en todos los municipios del departamento, instituciones educativas y entidades públicas. </t>
  </si>
  <si>
    <t>Se ha implementado el plan departamental para la reducción del consumo de sustancias psicoactivas Ordenanza 051 del 2010, de igual forma se construyó el ´programa de orientación preventiva para disminuir la percepción de riesgo y actitud permisiva de la comunidad frenter al consumo de sustancias lícitas e ilícitas</t>
  </si>
  <si>
    <t>Se ha implementado el plan de acción anual del CONPES 147 con la oficina de equidad de género, e infancia y adolescencia de la Secretaría de Familia</t>
  </si>
  <si>
    <t>Se apoyaron actividades que creen y/o fortalezcan líneas de producto en las modalidades del agroturismo, ecoturismo, turismo de aventura, turismo cultural y temático y en la cual se beneficio la población juvenil</t>
  </si>
  <si>
    <t>Se han realizado en el año más de 7 acciones de fortalecimiento de expresiones culturales, artísticas y empresariales de jóvenes integrantes de comunidades alternas, entre ellos cuentan conciertos, reinados de diversidad sexual, rueedas de negocio, ferias, entre otros.</t>
  </si>
  <si>
    <t>Acciones ACCIÓN JOVEN: Se han realizado más de 20 acciones de fortalecimiento de expresiones culturales, artísticas y empresariales de jóvenes integrantes de comunidades alternas. Acciones FOMENTO AL ARTE Y LA CULTURA: VIVA LA CULTURA Y LA CREATIVIDAD: Se han apoyado más de 100 proyectos concertados para el fomento de las expresiones y actividades artísticas y culturales. Se han realizado más de 20 eventos y actividades artísticas, promovidos y desarrollados por jóvenes. De esta forma, se ha garantizado el derecho a la participación en la vida cultural de la Nación y el Departamento</t>
  </si>
  <si>
    <t>Acciones MODERNIZACIÓN TECNOLÓGICA: Se implementó el Centro de Atención al Ciudadano, niños, niñas y adolescentes, a través de herramientas tecnológicas de accesibilidad y participación en el acceso a la información definido por Gobierno en Línea, de igual forma se implementó un dominio web para el programa de juventud donde la ciudadania joven cuenta con acceso a toda la información sobre oferta pública, política de juventud, entre otros. A través de estas herramientas se ha logrado garantizar el derecho de los jóvenes a acceder a los documentos públicos.</t>
  </si>
  <si>
    <t>Acciones ACCIÓN JOVEN: Se creó el centro ideológico de prácticas políticas, empresariales y sociales, mediante el cual se promoció la formación y la capacitación sobre dinámicas e incidencia política, con los cuales se busca generar competencias sociales y capacidad técnica en espacios de participación en función de la garantía al derecho a participar en política, elegir y ser elegido, así como de participar en procesos de investigación, divulgación y capacitación sobre dinámicas juveniles</t>
  </si>
  <si>
    <t>Acciones ACCIÓN JOVEN: Se creó el centro ideológico de prácticas políticas, empresariales y sociales, mediante el cual se promoció la formación y la capacitación sobre dinámicas e incidencia política, con los cuales se busca generar competencias sociales y capacidad técnica en espacios de participación en función de la garantía al derecho a participar en política, elegir y ser elegido, así como de participar en procesos de investigación, divulgación y capacitación sobre dinámicas juveniles, ejercicio de veeduría y control social para la gestión pública e instalación de capacidad técnica en espacios de participación para adquisición de competencias en el desarrollo de comités para implementación de política pública y seguimiento a la misma.</t>
  </si>
  <si>
    <t>Acciones ACCIÓN JOVEN: Se creó el centro ideológico de prácticas políticas, empresariales y sociales, mediante el cual se promoció la formación y la capacitación sobre dinámicas e incidencia política, con los cuales se busca generar competencias sociales y capacidad técnica en espacios de participación en función de la garantía a la participación en procesos y prácticas organizativas, en ámbitos como el laboral y el educativo. De igual forma se incluyó a los jóvenes a través de una asociación de jóvenes emprendedores ante la red departamental de emprendimiento, espacio en el cual se hace gfestión y seguimiento a la participación productiva, laboral y económica de los jóvenes a través del plan estratégico de emprendimiento del Departamento.</t>
  </si>
  <si>
    <t>0.5 PP x encima de la linea producida</t>
  </si>
  <si>
    <t>&lt;305</t>
  </si>
  <si>
    <t>1 Prog Implem</t>
  </si>
  <si>
    <t>22,724,975</t>
  </si>
  <si>
    <t>8,212,963</t>
  </si>
  <si>
    <t>7,500,000</t>
  </si>
  <si>
    <t>5,250,000</t>
  </si>
  <si>
    <t>50,000,000
280,000,000</t>
  </si>
  <si>
    <t>27,750,000
231,270,386</t>
  </si>
  <si>
    <t>_</t>
  </si>
  <si>
    <t>1,097,002,022</t>
  </si>
  <si>
    <t>974,131,283</t>
  </si>
  <si>
    <t>25,000,000</t>
  </si>
  <si>
    <t>14,667,000</t>
  </si>
  <si>
    <t>41,876,800</t>
  </si>
  <si>
    <t>37,053,553</t>
  </si>
  <si>
    <t>45,000,000</t>
  </si>
  <si>
    <t>12,650,000</t>
  </si>
  <si>
    <t>65,000,000</t>
  </si>
  <si>
    <t>44,750,000</t>
  </si>
  <si>
    <t>_
2,000,000</t>
  </si>
  <si>
    <t>39,945,583</t>
  </si>
  <si>
    <t>39,902,249</t>
  </si>
  <si>
    <t>50,000,000</t>
  </si>
  <si>
    <t>47,157,475</t>
  </si>
  <si>
    <t>168,592,000</t>
  </si>
  <si>
    <t>68,343,000</t>
  </si>
  <si>
    <t xml:space="preserve">13,400,000
51,750,000
</t>
  </si>
  <si>
    <t xml:space="preserve">4,983,333
51,750,000
</t>
  </si>
  <si>
    <t>216,263,553</t>
  </si>
  <si>
    <t>121,396,000</t>
  </si>
  <si>
    <t>339,202,922</t>
  </si>
  <si>
    <t>20,000,000</t>
  </si>
  <si>
    <t>18,980,000</t>
  </si>
  <si>
    <t>1,122,790,002</t>
  </si>
  <si>
    <t>498,866,578</t>
  </si>
  <si>
    <t>Según solicitud de información realizada en el 2014 el Municipio de Quimbaya reportó cumplimiento frente a la adopción de politicas públicas de juventud, pues en la politica púublica de Infancia y Adolescencia se indica el rango de edad de juventud, sin embargo en el Plan de Desarrollo 2016 -2019 del mismo Municipio se estableció como meta la creación de una Politica Publica de Juventudes, asi que a partir de este año se cuenta solo con dos Politicas Municipales de Juventud vigentes Armenia y Circasia . 
Se realizó acompañamiento a todos los municipios del Departamento en la conformación y consolidación de plataformas juveniles, insumo inicial para validar la formulación de política pública una vez se inicie con dicho proceso.</t>
  </si>
  <si>
    <t xml:space="preserve">El Departamento del Quindío sólo cuenta con capacidad financiera y técnica para poner en funcionamiento oficinas de juventud, en el municipio de Armenia. A la fecha, sólo dos entes territoriales (Alcaldía de Armenia y Gobernación del Quindío) cuentan con almenos un funcionario de enlace que trabaja de manera exclusiva con el tema de juventud, los demas enlaces tienen aparte de juventud otros temas bajo su responsabilidad,  por lo cual sólo puede hablarse de dos oficinas de juventud hasta tanto se cuente con funcionarios encargados en los otros municipios. </t>
  </si>
  <si>
    <t>Se realizó armonización con dimensiones políticas programas y subprogramas del Plan de Desarrrollo Departamental 2016 -2019.
Todos los planes, políticas y programas del Departamento, tanto los contenidos en el Plan de Desarrollo Departamental y los Municipales, como políticas o planes adoptados por medio de Ordenanza, han sido armonizados con la Política Pública de Juventud del Departamento.</t>
  </si>
  <si>
    <t>El Departamento cuenta con un Sistema de Juventud, constituido por una política pública departamental de juventud, dos oficinas de juventud, 12 plataformas juveniles y contratistas de apoyo en cada ente territorial que sirven de enlace con el ente departamental para adelantar procesos juveniles, de igual forma se cuenta con un subsistema institucional integrado por todas las entidades involucradas en la implementacion de la politica.</t>
  </si>
  <si>
    <t xml:space="preserve">Los 12 municipios del Departamento cuentan con plataformas de juventud, inscritas ante las personerías municipales. De esta forma, cada plataforma cuenta con su agenda juvenil en proceso de implementación, con el responsable a nivel del ente territorial, puede constituirse en sistemas municipales de juventud, los cuales tienen que ver con un espacio de participación ciudadana, un enlace institucional y un documento de política pública o política institucional. Haciendo falta las políticas públicas, todos los municipios cuentan con políticas institucionales, es decir, oferta pública para los jóvenes en los planes municipales de desarrollo. </t>
  </si>
  <si>
    <t xml:space="preserve">
Se inició el proceso de diseño y puesta en marcha de un Centro para el desarrollo y fortalecimiento de la investigación, tecnología, ciencia e innovación. De igual forma, se inició el proceso de fortalecimiento de la segunda fase del proyecto I+D+I por parte de la Secretaría de turismo, Industria y Comercio. </t>
  </si>
  <si>
    <t xml:space="preserve">Según informacion suministrada por Turismo Industria y comercio se inicio el proceso de fortalecimiento del programa para el desarrollo y fortalecimiento de la investigación.
Se inició el proceso de diseño y puesta en marcha de un Centro para el desarrollo y fortalecimiento de la investigación, tecnología, ciencia e innovación. De igual forma, se inició el proceso de fortalecimiento de la segunda fase del proyecto I+D+I por parte de la Secretaría de turismo, Industria y Comercio. </t>
  </si>
  <si>
    <t>Según reporte del SENA (Unidad de emprendimiento) se han vinculado a los proyectos apoyados financieramente, un total de 207 jóvenes, quienes fueron empleados de manera directa. De igual forma, la Secretaría de Turismo, Industria y Comercio en convenio con la Cámara de Comercio de Armenia y el Quindío, reportaron la vinculación de  302 jóvenes al proyecto Quindío Innova I+D;  proyectos de startup a un total de 205 jóvenes. 
La Universidad  la Gran Colombia de Armenia reporta la asistencia y colaboración en la realización de 4 encuentros regionales de semilleros de investigación</t>
  </si>
  <si>
    <t xml:space="preserve">Se realizaron 5 festivales de identidades juveniles en los municipios de Circasia, Armenia, Génova, Córdoba y La Tebaida, en el marco de la Semana de la juventud, con el acompañamiento de la Gobernación del Quindío y las alcaldías municipales respectivas. </t>
  </si>
  <si>
    <t xml:space="preserve">Se continuó en el proceso de implementación del programa 40000 primeros empleos, a través de convocatorias dirigidas por la caja de compensación familiar COMFENALCO, en el cual se vincularon diferentes empresas del Departamento. Al momento no se reportan porcentajes de incidencia de los estímulos establecidos en Ley del Primer empleo pues la caja de compensación familiar no ha tramitado el registro de las mismas.  </t>
  </si>
  <si>
    <t xml:space="preserve">la linea base corresponde al cuarto trimestre 2012 para la ciudad de Armenia, quiere decir que se ha disminuido en 0.3pp.
Al 2016 la TTIA ha disminuido en 2.1 pp frente al 2012.
De igual forma, el Ministerio del Trabajo lidera el comité departamental de erradicación del trabajo infantil, que a su vez se ha conformado en los 12 municipios del Departamento, contando con diferentes acciones que le apuntan al mejoramiento del comportamiento de este indicador.
Se realizó un proceso contractual "País de los niños", a través del cual se implementó una estrategia de prevención y atención del abuso infantil, asi como de erradicación de las peores formas de trabajo infantil, y explotación infantil comercial. 
</t>
  </si>
  <si>
    <t>La Secretaría de Agricultura del Departamento reporta asistencia técnica y acompañamiento en la consolidación de iniciativas de negocio. 
Las Secretarías de Turismo, Industria y Comercio; y Agricultura, realizaron implementación de una plataforma para la constitución de la red de agronegocios que permitirá que compradores y vendedores de productos agricolas interactúen sin intermediación, mejorando procesos de comercialización y mercadeo en el Dpto. 
El SENA regional Quindío, cuenta con programas de articulación con la media en todas las instituciones educativas del nivel Departamental, los cuales tienen como objetivo desarrollar competencias socio-económicas y apoyo a poblaciones rurales, diferenciales y vulnerables</t>
  </si>
  <si>
    <t xml:space="preserve">
Según reporte del SENA (Unidad de emprendimiento) se han apoyado financieramente un total de 30 ideas de negocio con un monto de inversión total de $2.338.933.220</t>
  </si>
  <si>
    <t>La Red Regional de Emprendimiento cuenta con una asociación de jóvenes emprendedores vinculada, la cual es la Asociación Extasis de Buenavista, Quindío, siendo esta, la única asociación de su tipo vinculada desde el año 2015, con soporte de vinculación radicada en Secretaría de Turismo, Industria y Comercio y aprobada mediante acta de la Red</t>
  </si>
  <si>
    <t>Según reporte de Secretaría de Educación, la tasa de cobertura en básica secundaria en cuanto al consolidado de las 54 IE públicas del Dpto es de 14,928 estudiantes, lo que equivale al 41% del total que se encuentran inscritos en básica secundaria</t>
  </si>
  <si>
    <t>Según reporte de Secretaría de Educación, la tasa de cobertura en media vocacional en cuanto al consolidado de las 54 IE públicas del Dpto es de 5,423 estudiantes, lo que equivale al 41% del total que se encuentran inscritos en media vocacional</t>
  </si>
  <si>
    <t>Se implementaron modelos flexibles en primaria, secundaria y media vocacional: aceleración de los aprendizajes para menores en extraedad; canasta educativa; caminar en secundaria; estimulo a la permanencia; competencias laborales u ocupacionales; nivelación y alfabetización.</t>
  </si>
  <si>
    <t>Según reporte de Secretaría de Educación, la tasa de absorción de bachilleres, en cuanto al consolidado de las 54 IE públicas del Dpto es de 2454 estudiantes, lo que equivale al 19% del total que se encuentran inscritos en media vocacional</t>
  </si>
  <si>
    <t xml:space="preserve">Según promedio de reportes de las Universidades La Gran Colombia y Alexander Von Humboldt, la deserción universitaria en ambas instituciones se ubica alrededor de un 8,9 %.
El total de Universidades en el Quindío aun no reportan porcentajes de deserción según este indicador, sin embargo se ha oficiado, es así que al momento el indicador no cuenta con avance.
</t>
  </si>
  <si>
    <t xml:space="preserve">Según promedio de reportes de las Universidades La Gran Colombia y Alexander Von Humboldt, con relación a la cobertura universitaria en ambas instituciones, se encuentran inscritos un total de 3,983 estudiantes. 
Según reporte de la Universidad del Quindío, en total se encuentran inscritos, del departamento del Quindío, 9568 jóvenes. Según estadísticas reportadas en el Sistema Nacional de Información en Juventud y Adolescencia, la taza de cobertura universitaria del consolidado nacional es de un 51% según fuente SINIES del Ministerio de Educación. Se ha relacionado este indicador ya que Educación Departamental no maneja datos de cobertura universitaria, y el consolidado se da a partir de la estadística nacional. Sin embargo, es de tener en cuenta que según Sistema Nacional de Información (JUACO), para el total de matriculados a educación superior se constituye un 26% del total de jóvenes del Departamento.
También debe tenerse en cuenta que los recursos destinados para la promoción del acceso a la educación superior de los estudiantes de los municipios a través del Fondo Educativo Departamental, se reglamentó en el segundo semestre del 2016, es así que los estudiantes beneficiados, accederán a partir del primer semestre del 2017 según inscripciones solicitadas tanto en el nivel de técnica, tecnológica y universitaria. </t>
  </si>
  <si>
    <t>Según reporte de Secretaría de Salud Departamental, todas las EPS e IPS del departamento cuentan con servicios amigables, no presentandose en todos, un funcionamiento efectivo, dado el poco conocimiento sobre la estrategia, la poca participación de los adolescentes y jóvenes para dinamizar los servicios, y la falta de asistencia técnica del nivel central y departamental</t>
  </si>
  <si>
    <t>Desde el año 2013 al año 2015 se presentó un incremento en la cobertura, sin embargo del 2015 al 2016 se redujo la cobertura de 124.519 en el 2015 a 122,278 en el 2016 que representa el 86.7% de los jóvenes del Quindío. (Fuente JUACO).
Desde la Secretaría de Salud Departamental se viene acompañando técnicamente a los 12 municipios del Departamento en los procesos de identificación de población no sisbenizada.</t>
  </si>
  <si>
    <t>INDEPORTES Quindío reporta realización de torneos intercolegiados de nivel municipal, departamental y regional. De manera que las 54 IE del Departamento realizaron interclases, que a nivel municipal y departamental se efectuaron en válidas competitivas.
De igual forma, se han realizado campañas de hábitos y estilos de vida saludables en los municipios de Calarcá, La Tebaida, Circasia, Quimbaya, Montenegro y Génova.</t>
  </si>
  <si>
    <t xml:space="preserve">Las cátedras sobre sexualidad se mantienen bajo la discrecionalidad de las autoridades institucionales para intervenir la población estudiantil con módulos que no han sido estandarizados en los planes educativos institucionales.
Los 12 municipios del Departamento cuentan con cobertura del programa de prevención del embarazo en adolescentes, liderado por el ICBF y las Secretarías de Familia y Educación. </t>
  </si>
  <si>
    <t xml:space="preserve">Todos los municipios del Departamento han sido asistidos técnicamente por la Secretaría de Salud para la inclusión del componente de Salud Mental en los planes territoriales de salud. </t>
  </si>
  <si>
    <t xml:space="preserve">Se viene desarrollando en todo el departamento un programa de construcción de paz y reconciliación en el Quindío, liderado por la Secretaría del Interior del Departamento, el cual ha desarrollado procesos formativos en instituciones de educación media y superior. 
De igual forma, la Secretaría de Educación Departamental reporta cumplimiento del 100% con planes de convivencia escolar en todas las 54 instituciones educativas de caracter público, y en los 12 municipios del Quindío. 
Para el año 2016 Medicina Legal reporta un total de 143 muertes de jóvenes por causa externa en la modalidad de homicidios y hechos violentos.
</t>
  </si>
  <si>
    <t>Para el año 2016 Medicina Legal reporta un total de 30 muertes de jóvenes por causa externa en la modalidad de accidentes de tránsito.</t>
  </si>
  <si>
    <t>Para el año 2016 Medicina Legal reporta un total de 15 muertes de jóvenes por causa externa en la modalidad de suicidio.
Se realizó una actividad académica de tipo formativo, para operadores del servicio de salud, enlaces y entidades competentes, sobre la gestión del conocimiento e implementación de lineamientos para la prevención del suicidio. De igual forma se ha iniciado el proceso de consecución de información para la formulación de un plan de salud mental.</t>
  </si>
  <si>
    <t xml:space="preserve">Por parte de la Secretaría de Familia del Departamento, a través de la oficina de equidad de género, se ha realizado en todo el departamento campañas de prevención de la violencia intrafamiliar. De igual forma, a través del comité Departamental de mujeres, se han reportado informes, a los cuales se les ha hecho seguimiento mediante el SIVIGILA de la Secretaría de Salud. 
Se ha relacionado el indicador consignado en el Sistema Nacional de Información sobre Juventud y Adolescencia JUACO, que para el año 2016 el número de casos de violencia intrafamiliar involucrando jóvenes es de 441, teniendo con esto un aumento según la línea base establecida y la meta para esta anualidad. De igual forma, el ICBF no reporta operación del proceso de implementación de la política HAZPAZ, es así que lo concerniente a la misma se viene elaborando mediante las campañas y procesos que la Secretaría de Familia tiene a cargo. </t>
  </si>
  <si>
    <t>La Secretaría de Interior del Departamento, a través de la Dirección de Derechos Humanos, reporta un total de 67 adolescentes y jóvenes víctimas del reclutamiento por parte de grupos armados, lo que constituye un 0,46% del total de adolescentes y jóvenes víctimas del conflicto armado presentes en el Departamento. 
De igual forma, la Secretaría del Interior ha adelantado procesos de articulación y asistencia a los municipios para la atención a la población víctima. Se han fomentado los procesos de participación y apoyo a los proyectos productivos, así como la realización de eventos académicos y culturales.</t>
  </si>
  <si>
    <t>no existe información sobre programas de sexualidad implementados en el Departamento, sin embargo hay instituciones que con el apoyo de la oferta institucional del Departamento o Servicios amigables, han desarrollado talleres al respecto.
Todas las instituciones educativas del departamrnto cuentan con un programa de ciudadanía en implementación, según reportes de la Secretaría de Educación Departamental</t>
  </si>
  <si>
    <t>Se realizó asistencia técnica a los municipios del departamento para la formulación de planes territoriales para el consumo emergente de heroína. De igual forma, se asistió a los municipios para la formulación de una estrategia de prevención del consumo de sustancias, implementación de agendas programáticas del consejo de estupefacientes y de la ordenanza 051. 
No se reporta afectación del indicador ya que no existen estadísticas sobre niveles de prevalencia del consumo de sustancias. Los últimos datos reportados se dieron del año 2013 a través del observatorio Nacional de Drogas, sin embargo al momento el estudio no se ha actualizado.</t>
  </si>
  <si>
    <t xml:space="preserve">1278 casos reportados.
Se realizó un encuentro departamental de personeros estudiantiles en el marco de la implementación de un programa de prevención del embarazo en adolescentes, con el acompañamiento del ICBF, Secretaría de Familia y educación, para el desarrollo de capacidades y formación de formadores </t>
  </si>
  <si>
    <t xml:space="preserve">INDEPORTES Quindío reporta el apoyo a 20 deportistas en nivel talento, en proyección y de altos logros con el programa de incentivos económicos de acuerdo con su rendimiento deportivo para fases preparatorias y competitivas. No existe información sobre número de talentos deportivos que en el programa reportado, hayan quedado por fuera de algún tipo de apoyo, por lo cual se precisa un ejecutado del 100% del indicador para este año. </t>
  </si>
  <si>
    <t>INDEPORTES Quindío reporta el apoyo a 20 deportistas en nivel talento, en proyección y de altos logros con el programa de incentivos económicos de acuerdo con su rendimiento deportivo para fases preparatorias y competitivas</t>
  </si>
  <si>
    <t xml:space="preserve">Se desarrolló el programa de actividad física, el cual tiene como objetivo crear estilos de vida saludables, alimentación saludable, un mínimo de 150 minutos de actividad física semanal y espacios libres de humo. </t>
  </si>
  <si>
    <t xml:space="preserve">A través de la promotora de vivienda del departamento, y la Secretaría de Infraestructura Departamental, se ha fomentado el ejercicio de deportes no convencionales como skateboarding y BMX a través de la construcción de skateparks en el municipio de Salento. </t>
  </si>
  <si>
    <t xml:space="preserve">Se tiene previsto para la vigencia 2017 generar la oferta laboral calificada en auxiliares de guianza, turismo y recreación vinculando población joven a través de formación en competencias para la guianza, acompañamiento y recreación de visitantes. </t>
  </si>
  <si>
    <t xml:space="preserve">El Departamento cuenta con un Plan de Concertación Cultural, el cual incluye rubros y componentes destinados a apoyar población juvenil. 
El Plan Departamental de Concertación Cultural, tuvo una inversión total de $373.520.375 para la vigencia 2016, de los cuales el 95% se destinó a proyectos que incluyen población adolescente y joven. </t>
  </si>
  <si>
    <t>Según reporte de la Secretaría de Cultura Departamental, en cuanto a la ejecución para la vigencia 2016 del Programa Departamental de Concertación Cultural, se apoyó a un total de 24 proyectos culturales, beneficiando en total un aproximado de 18963 adolescentes y jóvenes de todos los municipios del Quindío en temas como: medios audiovisuales, danza, teatro, saberes y oficios tradicionales, patrimonio cultural, música, entre otros).</t>
  </si>
  <si>
    <t>Se realizó visita a todos los municipios con el fin de socializar los componentes estratégicos de la política pública de juventud con las plataformas juveniles y jóvenes en general para desarrollar agendas juveniles e implementar la política pública</t>
  </si>
  <si>
    <t xml:space="preserve">La Universidad Alexander Von Humboldt reporta para el cumplimiento de este indicador un total de : 16 trabajos de grado, 6 semilleros de investigación y 8 proyectos de pasantía, alrededor de la investigación sobre dinámicas juveniles. </t>
  </si>
  <si>
    <t>Se realizaron cuatro encuentros departamentales, dos de plataformas juveniles y dos de personeros estudiantiles, con el fin de capacitar sobre dinámicas juveniles y desarrollo de agendas juveniles, para la implementación de planes de trabajo y oferta pública</t>
  </si>
  <si>
    <t>Se logró que en todos los municipios del departamento cuenten con platafromas juveniles, las cuales según la ley estatutaria de juventud 1622 del 2013 y la inscripción y validación de las personerías municipales, son entre otras, veedurías juveniles, encargadas de hacer control social sobre los programas y presupuestos establecidos para los jóvenes</t>
  </si>
  <si>
    <t>Se realizó un proceso de construcción de diagnóstico social situacional de niños, niñas, adolescentes y jóvenes del departamento, el cual a través de anuarios estadísticos, sistema de vigilancia superior y plan de desarrollo departamental, se ha reportado todo lo concerniente a la información e indicadores sobre juventud, constituyendose este en contenido de sistema de informacion juvenil</t>
  </si>
  <si>
    <t>Se realizaron reportes trimestrales de ejecución de política pública y plan de desarrollo, lo cual se constituye en seguimiento a la implementación de la oferta pública dispuesta para los jóvenes desde el ente departamental</t>
  </si>
  <si>
    <t xml:space="preserve">A la fecha todos los municipios cuentan con un espacio para los jóvenes, sin embargo de los 9 municipios en donde se construyeron casas de la juventud, tan sólo tres están en funcionamiento, pese a que los programas que allí se implementan no tienen que ver directamente con jóvenes. O se destina el espacio para programas de mujeres, niños y organizaciones que lo solicitan, la oferta pública juvenil no se filtra a través de dichos espacios y los jóvenes no se han empoderado de los mismos, lo cual sumado a la falta de voluntad política para recuperar la infraestructura de las casas, dichos espacios se han ido perdiendo. </t>
  </si>
  <si>
    <t xml:space="preserve">a la fecha no se ha reglamentado la elección de consejos de juventud, ya que el referente nacional (Colombia Joven) ha solicitado aplazar dichas elecciones una vez se tome una decisión conforme a una elección unificada en todo el territorio nacional. Sin embargo todos los municipios cuentan con espacios de participación juvenil que suplen algunas funciones de los CMJ. </t>
  </si>
  <si>
    <t xml:space="preserve">Todos los municipios del Quindío cuentan con plataformas de juventud inscritas ante personerías municipales. </t>
  </si>
  <si>
    <t xml:space="preserve">Se ha realizado una asamblea departamental de juventud, y tres municipales, en Armenia, La Tebaida, Quimbaya y Salento respectivamente. </t>
  </si>
  <si>
    <t>&gt;85%</t>
  </si>
  <si>
    <t>&gt;40%</t>
  </si>
  <si>
    <t>MM</t>
  </si>
  <si>
    <t>24,350,000</t>
  </si>
  <si>
    <t>12,000,000</t>
  </si>
  <si>
    <t>12,175,000</t>
  </si>
  <si>
    <t>6,000,000</t>
  </si>
  <si>
    <t>75,800,000
77.140.000</t>
  </si>
  <si>
    <t>17340000
65.760.000</t>
  </si>
  <si>
    <t>75,800,000</t>
  </si>
  <si>
    <t>1,500,000</t>
  </si>
  <si>
    <t>194,460,000
321,400,000</t>
  </si>
  <si>
    <t>57.920.000
152.180.000</t>
  </si>
  <si>
    <t>28,500,000</t>
  </si>
  <si>
    <t xml:space="preserve">15,000,000
50.000.000
28.600.000
</t>
  </si>
  <si>
    <t>33.610.000
25.860.000</t>
  </si>
  <si>
    <t>139,500,000</t>
  </si>
  <si>
    <t>54,000,000</t>
  </si>
  <si>
    <t>96,950,000</t>
  </si>
  <si>
    <t>18,000,000</t>
  </si>
  <si>
    <t>82,000,000</t>
  </si>
  <si>
    <t>6,570,000</t>
  </si>
  <si>
    <t>250,400,000</t>
  </si>
  <si>
    <t>95,900,000</t>
  </si>
  <si>
    <t>25,750,000</t>
  </si>
  <si>
    <t xml:space="preserve">
25,750,000
104,000,000
</t>
  </si>
  <si>
    <t>6.970.000
26.340.000</t>
  </si>
  <si>
    <t>160000000
405.652.392</t>
  </si>
  <si>
    <t>65320127
222.770.997</t>
  </si>
  <si>
    <t>596252550
160000000</t>
  </si>
  <si>
    <t>398442300
65320127</t>
  </si>
  <si>
    <t>138,799,054</t>
  </si>
  <si>
    <t>1,359,830,870</t>
  </si>
  <si>
    <t>Los municipios de Armenia y Circasia cuentan con política pública adoptada y en proceso de implementación. Los municipios de Buenavista, Córdoba, Calarcá, Filandia, Pijao, Quimbaya y Salento se encuentran en proceso de consecución de información para la construcción de diagnósticos situacionales para formular las políticas respectivas, con el apoyo técnico de la oficina de Juventud de la Secretaría de familia</t>
  </si>
  <si>
    <t xml:space="preserve">Los municipios de Armenia, La Tebaida, Quimbaya y la Gobernación del Quindío, cuentan con oficinas de juventud con capacidad técnica, financiera y funcionarios de enlace. Para efectos de precisar la acción institucional de atención a los jóvenes, estos municipios cuentan con capacidades para el desarrollo de procesos. Si bien el resto de municipios cuentan con referentes o enlaces de juventud, estos en su mayoria tienen a cargo otras obligaciones en sus contratos o manuales de funciones, lo cual genera que no exista una disponibilidad exclusiva para este tema, algo a tener en cuenta si se busca dinamizar todos los procesos juveniles que se requieren para implementar sistemas territoriales de juventud. </t>
  </si>
  <si>
    <t xml:space="preserve">Los proyectos inscritos ante planeación departamental que hacen referencia a las metas institucionales para este ciclo vital en el plan de desarrollo, se encuentran armonizados con los diferentes planes, políticas y proyectos adoptados. Es así que al momento, ninguno de los actos administrativos adoptados como planes y políticas, desconocen las acciones recomendadas en términos de implementación de esta política.  </t>
  </si>
  <si>
    <t>El Sistema Departamental de Juventud viene funcionando a través de la operación de comités, mesas de participación, procesos de seguimiento a implementación y formulación de políticas públicas, y organización de procesos a nivel departamental a través de Asamblea Juvenil, plataformas juveniles y política de juventud.</t>
  </si>
  <si>
    <t xml:space="preserve">Todos los municipios del Departamento cuentan con plataformas juveniles inscritas como mecanismos de participación. De igual forma, se cuenta con enlaces, contratistas y funcionarios de planta, que filtran la ejecución de la oferta pública a través de programas dentro de los planes de desarrollo territoriales. </t>
  </si>
  <si>
    <t>La Secretaría de Turismo, Industria y Comercio reporta que se realizó el acompañamiento a la estructuración de los parametros requeridos en la formulación y fortalecimiento de un proyecto de I+D+I  (Innovación, Desarrollo e Investigació). Mediante la formulación de  tres (3) estrategias (Quindío Sí emprende, Red Empleo y Fortalecimiento Empresarial), se vienen apoyando  unidades de emprendimiento y se genera alianza con ACOPI Regional Centro Occidente, Secretaría de Agricultura, Interior y Familia.  (Las unidades de emprendimiento están en proceso de selección, de acuerdo con las estrategias establecidas). 
A la fecha aun no se cuenta con reportes de apoyo y financiación de proyectos de conformidad con la convocatoria para esta vigencia por parte del fondo emprender del SENA.  La tasa de participación se modificará una vez se hayan reportado el número de proyectos presentados y apoyados financieramente.</t>
  </si>
  <si>
    <t>Para el primer trimestre de la presente vigencia, la Secretaría de Turismo, Industria y Comercio reporta la consolidación de los términos para publicar, al siguiente trismestre del año, la convocatoria a iniciativas que se verían beneficiadas por el proyecto I+D+I</t>
  </si>
  <si>
    <t xml:space="preserve">Se está apoyando en el proceso de legalización del convenio con Invima para beneficiar a 17 organizaciones rurales con notificación y permiso sanitario. A la fecha se han formalizado tres (3) empresas:  Asdeguin - Frutos Córdoba - Asociación de Relevo Generación, ASORGEC. 
Se tienen 15 apalancamientos a organizaciones rurales en temas de maquinaria, equipos y herramientas,  se asistió a la feria de Agroexpo y se dio apoyo en la formulación de proyectos productivos . No. ASOCIACIONES / EMPRESAS PRODUCTOS
1 Cooperativa de Caficultores Del Quindío Cafés especiales
2 Asemcafe Cafés especiales
3 Lumin Aderezos deshidratados
4 Green like Aromáticas saborizadas
5 Cafe La Morelia Cafés especiales
6 Licorera La Española Licores y bebidas
7 Fried Banana Snak de plátano y banano
8 Planto Snak de plátano
9 Chef Sazón Salsas y Aderezos
10 Amaltea Productos transformados a base de frutas
11 Sabimax. Bebidas refrescantes a base de Sábila
12 Da Luz, tortas, dulces Tortas dulces y galletería
13 Full Taste Coffee Cafés Especiales
14 Vino de Café Don Cleofe Vino a base de Café
15 Caféquipe Productos lácteos a base de café, galleterías a base de café.
Se han beneficiado 600 mujeres rurales del Departamento, con capacitaciones en temas de asociatividad y  organizacionales  en todos los municipios del Departamento. Municipio de Pijao Apamcafé Asociación de mujeres productoras de la asociación Paisaje Mujer y Café. Con este grupo de mujeres se trabaja en formación y capacitación cada 8 días en diferentes temas, desde la producción, con énfasis en Buenas Prácticas Agrícolas, como temas de emprendimiento y asociatividad. Con este grupo de mujeres se viene adelantando con el concurso de la Alcaldía de Pijao, el Comité de Cafeteros y Smurfit Cartón Colombia.
La Universidad la Gran Colombia de Armenia reporta asistencia y colaboración en la realización de dos encuentros regionales de semilleros de investigación, y participación de los estudiantes a un encuentro nacional de investigación jurídica.
Para la presente vigencia, la cámara de comercio de Armenia, creó el Centro de Iniciativas Empresariales (CIE) que ofrece asesorías y acompañamiento a emprendedores y emprendimientos de reciente creación. Se han vinculado al proyecto a 65 jóvenes con ideas de negocio. </t>
  </si>
  <si>
    <t xml:space="preserve">La caja de compensación familiar COMFENALCO reporta implementación de los programas: 40000 primeros empleos y EstadoJoven, con el fin de asistir en el proceso de inserción laboral de personas en el rango juvenil, así como mejorar el acceso a prácticas profesionales en entidades públicas y privadas del Departamento. Un total de 219 empresas se han beneficiado del programa 40000 primeros empleos; 683 jóvenes han sido contratados por este programa; 21 entidades públicas se encuentran vinculadas; y un total de 70 jóvenes se encuentran en proceso de legalización de las prácticas formativas en el marco del programa Estado Joven. . 
En el marco de la Ley 1780 del 2016 y la Ley de primer empleo, se han creado 275 nuevas empresas. De igual forma, La Cámara de Comercio de Armenia y el Quindío, creó el centro de iniciativas empresariales (CIE), que ofrece asesorías y acompañamiento a emprendedores y emprendimientos de reciente creación y a la fecha se han atendido 65 personas con ideas de negocio. </t>
  </si>
  <si>
    <t>Según reportes de Planeación Departamental, este indicador será relacionado una vez se expidan estadísticas interanuales, las cuales para la presente, se establecerá una vez termine la vigencia. 
Por parte de La Secretaría de Familia se realizaron dos (2)  Comités de Primera Infancia, Infancia, Adolescencia y Familia del departamento del Quindío donde se aprobó el Plan de Acción para la erradicación del trabajo infantil. Se realizaron jornadas de prevención del consumo de spa, promoción de proyecto de vida, y salud sexual y reproductiva en diferentes Instituciones Educativas. Se dió inicio a la fase precontractual del programa de derechos y deberes que pretende fortalecer los los NNA y su entorno para prevenir su vulneración. Este proyecto se ejecutará por valor $ 33.190.000 dando cumplimiento a su vez a  la implementación de la Politica Pública de primera infancia, infancia y adolescencia (meta 184).</t>
  </si>
  <si>
    <t>Este componente hace relación a una meta conjunta entre las secretarías de turismo, industria y comercio y  Agriciltura, instancias que  apoyaron con la creación de una herramienta web como  plataforma para la red de agronegocios, de tal manera que continúe su operacion en el segundo semestre del 2017. La plataforma busca generar dinámica comercial entre productores agropecuarios, compradores mayoristas, minoristas, con el consumidor final.  
Por parte de la Secretaría de Agricultura se creó un grupo multiplicador en el municipio de Filandia corregimiento la India que actualmente son estudiantes de la Institución Educativa Francisco Miranda con enfoque pedagógico Agropecuario, y el segundo grupo multiplicador conformado por 20 jóvenes estudiantes de la institución educativa José María Córdoba (Códoba) cuyo  orientación apunta hacia temas  pedagógicos agropecurios. En cuanto a las mujeres multiplicadoras se creó el grupo con 10 beneficiarias del Municipio de Córdoba. Se continúa con el apoyo y asistencia al grupo que se creó para su sostenimiento y beneficio de los proyectos que se presenten.
Se han realizado capacitaciones a 300 jovenes y mujeres rurales campesinas,  en temas de asociatividad, emprendimiento, comercializacion en  los  municipios GÉNOVA-FILANDIA-MONTENEGRO-FILANDIA-BUENAVIST A-CIRCASIA-CALARCÁ</t>
  </si>
  <si>
    <t xml:space="preserve">Según reporte de la Secretaría de Turismo, Industria y Comercio, se estructuraron los parametros requeridos en la formulación y fortalecimiento de un proyecto de I+D+I  (Innovación, Desarrollo e Investigació), instancia que servirá en el fomento de ruedas de negocio y fortalecimiento de capacidades productivas para mejorar el acceso a fuentes de financiación y cofinanciación de proyectos como fondo emprender, y otros fondos de garantías. 
De igual forma, se viene adelantando el diseño de un ecosistema regional de emprendimiento y asociatividad, a través del cual se han desarrollado las siguientes acciones:
- Se encuentra en fase de validación  el Plan de Acción para su puesta en marcha.
- Se han adelantado ruedas de empleo y ruedas de servicio a la comunidad.
- Se han realizado acercamientos con las entidades para la firma del acuerdo por el empleo.
- se han brindado oportunidades de empleo a traves de las empresas privadas para población victima.
De igual forma, la unidad de emprendimiento del SENA aun no reporta asignación de recursos de cofinanciación según convocatoria anual de fondo emprender. Es así que una vez se cuente con los datos del mismo, se reportará movimiento del indicador. </t>
  </si>
  <si>
    <t xml:space="preserve">
La Secretaría de Turismo,Industria y Comercio viene adelantando el diseño de un ecosistema regional de emprendimiento y asociatividad, a través del cual se han desarrollado las siguientes acciones:
- Se encuentra en fase de validación  el Plan de Acción para su puesta en marcha.
- Se han adelantado ruedas de empleo y ruedas de servicio a la comunidad.
- Se han realizado acercamientos con las entidades para la firma del acuerdo por el empleo.
- se han brindado oportunidades de empleo a traves de las empresas privadas para población victima.</t>
  </si>
  <si>
    <t>El Departamento del Quindío, a través de la Secretaría de Educación, en respuesta  a una de las estrategias implementadas por el Ministerio de Educación Nacional para el Acceso y Permanencia de los niños, niñas, jóvenes al sistema educativo, concurre con un recurso para la contratación del Transporte Escolar y lo transfiere a cada Alcaldía Municipal no certificada del Dpto, que son las directas responsables de la contratación del mismo. A la fecha se realizó y transferencia a todos los municipios y se encuentra en estudio la adición de recursos a algunas de ellas. 
El Programa de Alimentación Escolar PAE viene cumpliéndose a través del contrato de suministro 01 de 2017 con el Consorcio Nutriendo Futuros por el Quindío y atención a las necesidades asociadas en la estrategia PAE en el SIMAT. Así mismo, se realizó la contratación de la Interventoría con la Universidad del Quindío y Contratación del Equipo PAE para seguimiento y control del mismo. Lo anterior en cumplimiento de la Resolución 16432 de 2015.</t>
  </si>
  <si>
    <t>Se vinculó mediante operador a un equipo de intérpretes y modelos lingüstícos que acompañan los menores en las aulas, 25 profesionales docentes de apoyo en areas de psicología, fonoaudiología, terapia ocupacional, psicopedagogos; cuatro modelos lingüísticos, nueve intérpretes de señas, dos profesionales en asistencia técnica para convivencia en el aula, tres pfofesionales encargados de diagnosticar clínicamente y dos capacitadores docentes de apoyo.</t>
  </si>
  <si>
    <t xml:space="preserve">La Secretaría de Educación reporta el diseño de instructivo para formalizar convenios, socialización del diseño, acompañamiento para el diligenciamiento del protocolo, plan de acción, articulaciones con instituciones públicas y privadas de educación superior técnica y tecnológica; y, seguimiento a la ejecución. 
Se realizó convenio con la Fundación Providencia 2000  tendiente al ofrecimiento de alimentación (almuerzos) a  ciento veiniocho (128)  estudiantes egresados de las Instituciones Educativas  Oficiales adscritas al Departamento del Quindío, que se encuentran cursando estudios de educación superior en la Universidad del Quindío.
Mediante el Decreto departamental No. 00981 del 11/11/2016 que reglamenta la Ordenanza de 2014 se implementó el programa de fortalecimiento de acceso a la educación superior, técnica y tecnológica con el fin de beneficiar al mejor estudiantes en pruebas saber de las instituciones educativas oficiales del departamento adscritas a la Secretaría de Educación Departamental. Para la ejecucion del recurso asignado para el cumplimiento de esta meta se registró el  proyecto de inversión denominado Implementación de un Fondo de Apoyo Departamental para el Acceso y la Permanencia de la Educacion Técnica, Tecnológica y Superioir en el Departamento del Quindio. Mediante la resolución No. 01165 del 30/06/2017 se reconoció estímulo económico con cargo al proyecto anteriormente mencionado a 42 estudiantes 
De igual forma, las Universidades no registran promedios de deserción o cobertura, hasta finalizar vigencias, así que al término no se relaciona avance en el indicador. </t>
  </si>
  <si>
    <t>La Secretaría de Salud realizó socialización de protocolo de VIH, análisis de base de datos SIVIGILA con el fin de evidenciar la calidad del dato notificado, así mismo se realizó seguimiento de pacientes que viven con VIH y hepatitis a fin de identificar barreras en la atención. Se desarrolla el primer comité de la vigencia 2017, con participación de todo el sector salud y acompañante permanentes. 
Se ha realizado capacitación  sobre proyecto de vida, con base a planeación familiar en colegios, IPS y EPS del Departamento.
Se realizaron jornadas de socialización y/o capacitación en el modelo de servicios de salud amigables para adolescentes y jóvenes, redes sociales y/o comunitarias y el modelo de veeduría social juvenil, durante los días 23 y 24 de mayo de 2017 a EPS, IPS y planes locales de salud territoriales de los 12 municipios de competencia departamental. 
La Secretaría de Familia ha venido realizando  talleres sobre salud sexual y reproductiva, proyectos de vida, resolución pacífica de conflictos y prevención de violencias en diferentes Instituciones Educativas del Departamento. Estos talleres vienen desarrollándose en ciclos formativos en las IE de los muncipios de Buenavista, Córdoba, Génova, Pijao, Salento y en las colinas de Armenia. Se realizó Jornada Educativa en el Instituto Montenegro en compañía de la Jefatura de la Mujer con el apoyo del programa Generaciones con Bienestar (SEDECOM).</t>
  </si>
  <si>
    <t>Con el equipo de contratistas para la afiliación y el acompañamiento del área de aseguramiento se han realizado actividades como: Puerta a puerta en cada uno de los Municipios - Ferias de afiliación - Divulgación de la oferta mediante afiches, radio, perifoneo.
Visitas a las IPS del Departamento y a las EPS para inducir a los usuarios atendidos a la afiliación. Apoyando el proceso con visitas a las alcaldías de cada Municipio.
Se  ejecutaron las siguientes actividades que ayudan a aumentar la afiliación al SGSS:
1 Consulta en bases de datos de la población atendidos por las IPS sin afiliación, para inducirlos a la afiliación. 
2. Proceso de afiliación por oficio mediante la resolución 1268 del 25 abril de 2017
3. Grupo interdisciplinario de contratistas contratado por la secretaria para apoyar el proceso de afiliación.</t>
  </si>
  <si>
    <t xml:space="preserve">Se apoyó el proceso de inscripción en las disciplinas deportivas (fútbol, baloncesto, fútbol sala, fútbol de salón, porras, tenis de mesa, atletismo, natación, ajedrez, balonmano, voleibol). Según reporte de INDEPORTES Quindío, todas las 54 IE públicas del Departamento han adelantado juegos intercolegiados, resultando pendiente para el siguiente trimestre del año, la realización de torneos departamentales con los equipos que han ascendido. </t>
  </si>
  <si>
    <t>La Secretaría de Salud, reporta que en el subprograma de maternidad segura, durante el primer semestre del 2017 se realizaron asitencias técnicas  sobre la herramienta web materna, censo materno, guias y protocolos de atencion control prenatal, consulta preconcepcional, charlas educatvas sobre derechos sexuales, reproductivos, proyecto de vida con base a planificacion familiar a colegios y comunidades y lideres comunitarios.
Se ha participado en la implementación y adopción de la ley organica de la salud, y se crea el subcomite de maternidad segura.
Se han vinculado 2.450 mujeres embarazadas, se cuantificaron 28 embarazadas menores de 14 años y se han realizados  2 capacitaciones, para la captación  temprana de las embarazadas, antes de las 12 semanas de gestación en  IPS y EPS del departamento. 
Se implementa la ruta de interrupción voluntaria del embarazo de acuerdo a la sentencia  c-355 de 2006</t>
  </si>
  <si>
    <t>* Se llevó a cabo mesa de trabajo con la Universidad San Buenaventura para continuar con el proceso de la investigación en conducta suicida.
 *Continúa el curso de salud mental en entornos de vida en conjunto con el Hospital Mental de Filandia y Sena.
* Se llevó a cabo reunión con la Dra. Carolina de Laboratorios Novartis con el fin de organizar y coordinar el seminario Departamental de salud mental en el mes de noviembre.
* Se llevó a cabo la Ferian andina de Buenas practicas en prevención y tratamiento de farmacodependencia, con la asistencias de 350 personas del departamento y el pais.
* Se elaboraron los estudios previos para la contratación de una entidad que acompañe el ajuste e implementación de la política de salud mental en el Departamento.
* Se realizó la  notificación de los casos reportados en el SIVIGILA, en los eventos de interés en salud pública para la dimensión de convivencia social y salud mental
*  Se realizan las unidades de análisis de los casos de especial atención y alta vulnerabilidad hasta la semana epidemiologica 12.
* Se realiza visita a las IPS para la recolección de las Historias Clinicas de Unidades de analisis por mortalidad por suicidio.
* Se lleva a cabo la noticación de los casos reportados por intoxicaciones por sustancias psicoactivas.
* Se llevaron a cabo dos mesas técnicas frente a los eventos de la dimensión de convivencia social y salud mental.
* Se inicia el  curso de salud mental en entornos de vida, la dimensión participa como docente o tutor en el proceso de formación del curso (8 sesiones, 4 de las cuales son responsabilidad de Secretaria de Salud Departamental).
*Mesa tecnica de trabajo con operadores de ICBF de todos los Municipios, con el fin de revisar rutas y atención integral a la población objeto.
* Se llevó acabo la celebración del Día mundial de la salud con el simposio de salud mental "HABLEMOS DE DEPRESIÓN" como parte de las estrategias de sensibilización para la implementación del modelo APS para el Departamento, a este evento asisten 140 personas de todas las instituciones del departamento y Municipios.
* Se desarrollaron mesas de asesoria, asistencia tecnica y acompañamiento al municipio de montenegro.
* Se realizaron conferencia en la Universidad Alexander Von Humbolt sobre la Ley 1616 del 2013 ley de salud mental, a estudiantes, docentes y comunidad en general, como parte de la sensibilizaciòn para la construcciòn de la politica de salud mental.</t>
  </si>
  <si>
    <t xml:space="preserve">Las 54 IE del Departamento cuentan con comités de convivencia escolar, de igual forma, en los 12 municipios han sido conformados dichos comités. La Secretaría de Educación Departamental reporta cumplimiento del indicador, a través de la contratación de un equipo de trabajo encargado de asistir los comités y las instituciones educativas. No se reporta asignación presupuestal para esta meta, así como ejecución, ya que los rubros para este fin, han sido destinados desde los componentes de eficiencia y eficacia en los procesos administrativos, a través del programa de Funcionamiento y prestación del servicio educativo (Meta 74) en las IE del Departamento.
A partir de la ejecución de los objetos de los contratos de los profesionales se ha logrado dinamizar el 55 % de los comités de convivencia escolar,  mediante el desarrollo de  activiades en las IE que cada uno de ellos tiene a su cargo, promoción de la importancia del comité al interior de la IE y de su operatividad, sensibilización a docentes frente al proceso de convivencia en las IE y trabajo consistente en  asesorar la revisión de los manuales de convivencia.
</t>
  </si>
  <si>
    <t xml:space="preserve">La Secretaría del Interior del Departamento, reporta cumplimiento frente a la formulación y socialización del plan departamental de seguridad y convivencia. De manera que en los 12 municipios se han adoptado planes consecuentes con la implementación del mismo. Actualmente esta iniciativa  se encuentra en implementación mediante la gestión de los procesos contratuales de los proyectos.
Se vienen desarrollando procesos de capacitación y promoción de acciones restaurativas con jóvenes vinculados al sistema de responsabilidad penal para adolescentes, en articulación entre la Secretaría de Familia e Interior Departamental. Se realizó una feria de talentos, se ha apoyado el acompañamiento del grupo de jóvenes que hacen parte de la modalidad de externado y que han sido parte del centro de atención especializada,e n actividades sociales que realiza la secretaría de familia, como actividad restaurativa. </t>
  </si>
  <si>
    <t>El Instituto Departamental  de Transito del Quindío reporta en cuanto al Plan de Seguridad Vial, que se formuló en el año 2016 y este año se empezó la implementacion con la educación vial a más de 4000 personas y se han visitado 4 colegios 11 empresas de transporte, 11 campañas a transporte escolar y a motociclistas (en tareas externas)</t>
  </si>
  <si>
    <t xml:space="preserve">Por parte de la Secretaría de Familia, a través de la oficina de equidad de género, se continúa el proceso de seguimiento a los comités municipales de mujer, así como al departamental; a través de los cuales se desarrollan procesos de capacitación y prevención de la violencia intrafamiliar y de género.
Si bien se viene trabajando en la acción recomendada, no se halla disponibilidad sobre la estadística que vincula jóvenes en el ámbito de la violencia intrafamiliar, por lo cual el indicador se encuentra sin avance. De igual forma, la Secretaría de Familia en el proceso de inicio de formulación de la política pública departamental de familia, viene estableciendo criterior para la consecución de información con el fin de crear cartillas informativas con enfoque preventivo de la violencia intrafamiliar. </t>
  </si>
  <si>
    <t>La Secretaría de Interior del Departamento reporta realización de procesos de capacitación a través de mesas de participación de víctimas en los 12 municipios. De igual forma, se ha brindado asistencia y capacitación alrededor de proyectos de población dentro del enfoque diferencial que se encuentran dentro del sistema de información sobre víctimas del conflicto, entre ellos organizaciones, población LGBTI y personas con discapacidad.
Se han atendido once municipios con capacitaciones: 
 Montenegro, Buenavista, Pijao, Calarcá, La Tebaida, Circasia, Génova,Filandia, Córdoba, Salento
Propuestas presentadas: 3 
Propuestas apoyadas: 2
Se brindó apoyo a las actividades realizadas por las líderes de los enfoques diferenciales Mujer y LGBTI.
Municipios asistidos: Buenavista, Calarcá, Circasia, Salento, Montenegro, Armenia.
Subcomités y Comités  apoyados: 15
 Pijao,Calarcá,Salento,Filandia,Quimbaya,Montenegro y Circasia,Buenavista,Salento</t>
  </si>
  <si>
    <t>Se ha realizado capacitación  sobre proyecto de vida con base en la planeación familiar en colegios, IPS y EPS del Departamento.
Se realizaron jornadas de socialización y/o capacitación en el modelo de servicios de salud amigables para adolescentes y jóvenes, redes sociales y/o comunitarias y el modelo de veeduría social juvenil en EPS, IPS y planes locales de salud territoriales de los 12 municipios de competencia departamental. De igual forma, esta meta se ve complementada con la oferta formativa implementada por la Secretaría de Familia a través de los talleres de sexualidad, prevención de violencias y habilidades para la vida desarrollados en diferentes IE del Departamento.</t>
  </si>
  <si>
    <t>L a Secretaría de Salud reporta realización de la ferian Andina de Buenas prácticas en prevención y tratamiento de farmacodependencia, con la asistencias de 350 personas del departamento y el país. Se coordinó la mesa técnica de trabajo con operadores de ICBF de todo el Departamento, con el fin de revisar rutas y atención integral a la población objeto.
La Secretaría de Familia del Departamento reporta cumplimiento de la meta para vigencia 2017 frente a la elaboración del plan integral de prevención del consumo de sustancias psicoactivas, el cual se encuentra en proceso de socialización. De igual forma, como parte del plan integral, se ha aplicado en los diferentes municipios del departamento, un módulo educativo para mejorar la capacidad de respuesta institucional frente a los casos reportados en el consumo de SPA.
No se reporta afectación del indicador ya que no existen estadísticas sobre niveles de prevalencia del consumo de sustancias. Los últimos datos reportados se dieron del año 2013 a través del observatorio Nacional de Drogas, sin embargo al momento el estudio no se ha actualizado.</t>
  </si>
  <si>
    <t>Se realizó socialización de protocolo de VIH, análisis de base de datos SIVIGILA con el fin de evidenciar la calidad del dato notificado, así mismo se realizó seguimiento de pacientes que viven con VIH y hepatitis a fin de identificar barreras en la atención. Se desarrolla el primer comité de la vigencia 2017, con participación de todo el sector salud y acompañante permanentes</t>
  </si>
  <si>
    <t>INDEPORTES Quindío reporta que se ha brindado incentivo económico a veinte deportistas  (mensual vencido) de las siguientes disciplinas: levantamiento de pesas, triatlón, bolos, bádminton, bmx, downhill, tenis de campo discapacidad, atletismo salto alto, atletismo lanzamiento de jabalina discapacidad, atletismo lanzamiento de bala. Así mismo se brindó apoyo a las ligas de triatlón, patinaje, natacion, pesas, hapkido, tejo, futbol, ajedrez y de atletismo para asistir a eventos deportivos de carácter federado. Adicionalmente se brinda asesoría   profesional en  planeación, jurídicos, técnicos, logísticos y de gestión documental a las ligas del Departamento del Quindío.
De igual forma, se apoyó el proceso de inscripción en las disciplinas deportivas (fútbol, baloncesto, fútbol sala, fútbol de salón, porras, tenis de mesa, atletismo, natación, ajedrez, balonmano, voleibol...) A las instituciones educativas para participar en los juegos intercolegiados 2017</t>
  </si>
  <si>
    <t>INDEPORTES Quindío reporta que se están brindando servicios de apoyo con técnicos deportivos en las siguientes disciplinas: karate, taekwondo, atletismo, triatlón, natación discapacidad, patinaje, judo, levantamiento de pesas, hapkido, tenis de mesa, bolo, fútbol, BMX, Tenis de campo, atletismpo discapacidad, fútbol discapacidad, futbol sala, ajedrez, lucha y karate-do. De igual forma, la Promotora de Vivienda Departamental viene desarrollando un proyecto de construcción de escenarios deportivos, entre los cuales se encuentran los skatepark que se entregaron en los municipios de Córdoba y Salento.</t>
  </si>
  <si>
    <t>INDEPORTES Quindío reporta que se desarrollaron las fases municipales de juegos intercolegiados en 11 municipios, Génova no realiza fase municipal pero participa en la departamental, la fase departamental se  dará inicio el 19 de agosto con el acto de inauguración en el Estadio centenario   en los deportes de futbol,  futbol de salón, tejo, sapo. De manera permanente, los municipios vienen siendo acompañados en estas actividades de promoción de los estilos de vida saludable. Adicionalmente, todos los municipios del Departamento han sido apoyados en el desarrollo del programa de campamentos juveniles, con el apoyo de COLDEPORTES</t>
  </si>
  <si>
    <t xml:space="preserve">La promotora de vivienda del Quindío, reporta cumplimiento del apoyo a deportes no convencionales como el skateboarding y el BMX a través de la construcción y mantenimiento del skatepark del municipio de Córdoba, Quindío. </t>
  </si>
  <si>
    <t xml:space="preserve">Se ha apoyado en la capacitación a jóvenes como vigías turisticos, en el programa de competitividad del Quindío como destino turístico.
De igual forma, la secretaría de Turismo, Industria y Comercio viene apoyando mediante fortalecimiento empresarial, 3 clusters estratégicos en Salud y Bienestar, Construcción y Turismo, así como una ruta competitiva en Cafés Especiales; de ls cuales se vienen beneficiando diferentes jóvenes emprendedores. </t>
  </si>
  <si>
    <t xml:space="preserve">El Departamento cuenta con un Plan de Concertación Cultural, a través del cual se apoyan emprendimientos, escuelas y procesos culturales que son liderados por jóvenes. Se realizaron convocatorias de Concertación y Estímulos para la promoción difusión y circulación de las artes en el Departamento del Quindío, apoyo a instituciones beneficiadas de confinanciación por haber ganado convocatoria de Concertacion  Nacional, así como la celebración de un contrato interadministrativo para la revisión y elección de los proyectos y seguimiento a ejecución de los proyectos ganadores.
Todas las acciones recomendadas en el eje de promoción y acceso a la oferta cultural se encuentran relacionados con esta meta del plan de desarrollo, la cual está encaminada tanto en la promoción de los estimulos financieros a las iniciativas artísticas, como en la promoción de talentos y escuelas en el Departamento. En total, todos los municipios del Quindío cuentan con oferta cultural y artistica a través de casas de la cultura, así como un red de bibliotecas. 
</t>
  </si>
  <si>
    <t xml:space="preserve">La Secretaría de Familia del Departamento, a través de la oficina de juventud realizó un proceso de divulgación de la política pública de juventud, a través del ejercicio de asistencia técnica a alcaldías y plataformas juveniles que se ha desarrollado en todos los municipios del Departamento. Adicionalmente, a través de la asamblea departamental, y el apoyo en la realización de las asambleas municipales al momento realizadas, se han efectuado procesos de socialización de avances y componentes de la política departamental de juventud. </t>
  </si>
  <si>
    <t xml:space="preserve">LA Universidad La Gran Colombia de Armenia, reporta el cumplimiento del indicador a través del grupo de investigación Derecho, Estado y ciudadanía, mediante el proyecto de investigación: lineamientos para el diseño , implementación y evaluación de la política pública de infancia y adolescencia del Departamento del Quindío desde el enfoque de las capacidades; liderado por dos jóvenes estudiantes de la Institución. 
De igual forma, la Universidad Alexander Von Humboldt reporta la realización de 12 proyectos relacionados con dinámicas juveniles en la modalidad de trabajos de grado y 4 en la modalidad de proyectos de investigación, que hacen parte del programa de psicología. A través del programa de Derecho, se han realizado 2 proyectos de investigación y un proyecto como trabajo de grado, alrededor de dinámicas juveniles. </t>
  </si>
  <si>
    <t xml:space="preserve">La Secretaría de Interior reporta realización de convocatorias y exposición ante alcaldes de los municipios, representantes de la comunidad LGTBI, juventud, veedurías, organizaciones de personas con discapacidad, entre otros; para la elección de miembros principales y suplentes del Consejo Departamental de Participación.
Dicho consejo definió venidos (22) miembros elegidos por sectores.   
A través del Decreto nro. 967 de noviembre de 2016 " por medio del cual se crea el Consejo Departamental de Participación ciudadana" y el decreto 095 del 03 de febrero de 2017 el cual modifica y adiciona el decreto 967 de 2016.  
Para el treinta de mayo de 2017 se instaló el Consejo Departamental de Participación Ciudadana y se celebró su primera sesión ordinaria.
</t>
  </si>
  <si>
    <t xml:space="preserve">El Departamento cuenta con 12 plataformas juveniles, las cuales, se constituyen en veedurías, según registros de inscripción ante personerías municipales, encargadas entre otras, del proceso de control social y seguimiento frente a la implementación de agendas juveniles en los municipios y el Departamento. </t>
  </si>
  <si>
    <t>La Secretaría de Planeación Departamental reporta que durante el primer semestre del año 2017, el funcionamiento del Observatorio se desarrolló con el apoyo de pasantes y practicantes que sirvieron de apoyo en la revisión de elementos fundamentales para la reorientación del Observatorio de acuerdo con la meta de producto establecida en el Plan de Desarrollo. Para ello, se planeó en el primer semestre una revisión de los indicadores y variables de las Metas de Resultados y los problemas del departamento; así como la información cargada dentro del SIG Institucional, para contar con los elementos que harán parte del sistema de información del Observatorio. De esta forma, con el propósito de maximizar los recursos asignados para el proyecto, se tienen planeados su ejecución en el segundo semestre del año,  con el apoyo de un contratista en la consolidación de la información estadística y de los productos de la vigencia y a partir del mes de agosto se contará con el apoyo del ingeniero programador para el desarrollo del sistema de información. </t>
  </si>
  <si>
    <t>A través del Consejo Departamental de Política Social se presentó un primer reporte sobre el proceso de implementación de la Política Pública de Juventud. Es así que conforme al documento de ordenanza 032 que adopta la política pública de juventud, se presentó como informe de rendición de cuentas de la implementación de la misma, mediante intervención en el consejo realizado en el primer trimestre de la presente vigencia. 
De igual forma, a través de la realización de la asamblea juvenil departamental, se presentó informe de avances de la implementación de la política para la vigencia 2016 y el primer trimestre del 2017.</t>
  </si>
  <si>
    <t xml:space="preserve">Las casas de la juventud, en cuanto espacios de infraestructura provistos para el desarrollo de esta población, es de tener en cuenta que todos los municipios cuentan con infraestructura para este fin. Sin embargo, en consideración a las casas de la juventud que fueron entregadas en comodato con fecha del año 2000, sólo la del municipio de Armenia funciona adecuadamente, en el resto de municipios se han acondicionado casas de la cultura y otros centros, para tales fines. De igual forma, la oficina de juventud del departamento ha venido realizando encuentros con plataformas alrededor de proyectos de utilización y mejoramiento de casas de la juventud especialmente en los municipios de Buenavista, La Tebaida, Filandia y Salento. </t>
  </si>
  <si>
    <t xml:space="preserve">a la fecha no se ha reglamentado la elección de consejos de juventud, ya que el referente nacional (Colombia Joven) ha solicitado aplazar dichas elecciones una vez se tome una decisión conforme a una elección unificada en todo el territorio nacional. Sin embargo todos los municipios cuentan con espacios de participación juvenil que suplen algunas funciones de los CMJ., como lo son las plataformas juveniles. De igual manera, a través de los procesos de caácitación en ley estatutaria juvenil, se han desarrollado componentes formativos sobre la importancia de estos consejos. </t>
  </si>
  <si>
    <t>Todos los municipios del Departamento cuentan con plataformas juveniles, las cuales se encuentran debidamente registradas ante personerías municipales y operando a través de sus respectivas agendas. La oficina de juventud ha acompañado a todos los municipios en el proceso de consolidación de estas plataformas, así como en la elaboración de reglamentos de funcionamiento, módulos formativos, proyectos de acuerdo juvenil, entre otros.</t>
  </si>
  <si>
    <t>Se ha realizado un total de 10 Asambleas Juveniles, al momento, una Departamental y nueve en los municipios de Armenia, Calarcá, Córdoba, Filandia, La Tebaida, Montenegro, Quimbaya y Salento, respectivamente.</t>
  </si>
  <si>
    <t xml:space="preserve">$                 - </t>
  </si>
  <si>
    <t>$                           -</t>
  </si>
  <si>
    <t>$70.000.000
$38.000.000</t>
  </si>
  <si>
    <t>$0
$35.601.442</t>
  </si>
  <si>
    <t xml:space="preserve">En la actualidad el departamento del Quindío cuenta con 5 políticas públicas, las cuales son: el municipio de Armenia, Circasia, Salento, Buenavista y el departamento del Quindío. Los municipios de Filandia, Quimbaya, Montenegro, Calarcá,  La Tebaida y Córdoba se encuentran en proceso de construcción del diagnostico social situacional para lograr formular la política y su posterior adopción </t>
  </si>
  <si>
    <t>Los municipios de La Tebaida, Quimbaya, Montenegro, Armenia, Salento, Calarcá, Filandia y Circasia cuentan con personal, el cual funge como enlaces de juventud con capacidad política y técnica.</t>
  </si>
  <si>
    <t>Actualmente la matriz estratégica de planificación de la política pública de juventud se encuentra 100% armonizada con el plan de desarrollo en defensa del bien común 2016-2019, por otro lado se tiene planteado socializar ante el consejo de política social los avances del proceso de implementación de la política a corte del 31 de diciembre del 2017</t>
  </si>
  <si>
    <t>Actualmente la secretaría de familia a través de la oficina de juventud lidera el sistema departamental de juventud el cual está conformado por 12 enlaces de juventud y 12 plataformas, finalmente la oficina de juventud con el propósito de dar cumplimiento a la ley 1885 del 01 de marzo del 2018, está adelantando las acciones necesarias para la conformación de la plataforma departamental.</t>
  </si>
  <si>
    <t xml:space="preserve">Los municipios del departamento cuentan con personal idóneo para liderar los procesos juveniles municipales. </t>
  </si>
  <si>
    <t xml:space="preserve">Para el apoyo de unidades de emprendimiento para jóvenes emprendedores, se viene adelantando el proceso de caracterización y selección de las iniciativas, realizando diagnóstico de los productos a comercializar, canales de distribución, precios, infraestructura y recurso humano.
Se caracterizaron 48 iniciativas y se da inicio al proceso de selección de iniciativas a apoyar.
Para el apoyo de unidades de emprendimiento para jóvenes emprendedores, se viene adelantando el proceso de caracterización y selección de las iniciativas, realizando diagnóstico de los productos a comercializar, canales de distribución, precios, infraestructura y recurso humano.
*Se caracterizaron y se seleccionaron 17 iniciativas y emprendimientos a las cuales se les realizará el proceso de intervención y proceso 
* Se aplicó el formato Diagnóstico a 10 unidades de emprendimiento
* Se intervinieron en diferentes áreas 8 unidades de emprendimiento* Participación 2 unidades de emprendimiento en Expocamello 2018
* Apoyo en la participación de 11 emprendedores en Agroexplora 2018
* Asistencia técnica a 8 emprendimientos en creación a Fan Page, Páginas Web y E-mails.
empleo:
* Se realizaron acercamientos con la Dirección Territorial del Ministerio del Trabajo con el objetivo de articular actividades y acciones en el marco del Acuerdo Territorial Para la Promoción del Empleo del cual hace parte esta entidad, adicionalmente se realizó articulación con la secretaria técnica de la subcomisión de política salarial con el fin de programar y ejecutar capacitaciones y talleres en temas pertinentes para el territorio; entre estas capacitaciones están: Formalización laboral, Fortalecimiento de las normas en Seguridad y Salud en el Trabajo. 
* Por medio de la ejecución del convenio J074 se realizó 98 registros de hojas de vida, 129 actualizaciones y 227 colocaciones en la plataforma de la Agencia Pública de Empleo de los contratistas de la secretaria de Interior, Infraestructura y planeación. 
* Se participó en la micro rueda del Día Internacional de la Mujer, realizada en el centro comercial Unicentro mediante el convenio J074 con la Alcaldía de Armenia, SENA y Gobernación del Quindío, donde participaron 9 empresas de la región, se ofertaron 67 vacantes y se realizó registros de hojas de vida, orientación y aplicación a las diferentes ofertas laborales a 27 dentro de las cuales se encontraban 4 en condición de migrantes Venezolanos.  
* En la ejecución del convenio J074 con Alcaldía, SENA y Gobernación del Quindío se participó en la rueda de empleo con el aula Móvil de SENA realizada del 12 al 17 de Marzo en los municipios de Armenia, Calarcá, Montenegro, Filandia y Tebaida, donde se proporcionó orientación, registro de hojas de vida y aplicación a las diferentes vacantes ofertadas (105) a 102 ciudadanos de los diferentes municipios antes mencionados incluidos 9 migrantes Venezolanos."
• En la ejecución del convenio J074 con Alcaldía, SENA y Gobernación del Quindío se inscribieron 1107 personas, se realizaron 1198 colocaciones y se publicaron 1419 vacantes de los cuales 451 son hombres y 656 son mujeres
• Se han realizado 6 capacitaciones en temas  de inclusión laboral a 90 personas
</t>
  </si>
  <si>
    <t>Meta 39: 
Con relación a los tres clúster conformados e implementados “Quindío Destino Vital, uXarteTIC y Clúster de Construcción e Infraestructura   se han adelantado las siguientes acciones:
CLUSTER QUINDÍO DESTINO VITAL, TURISMO DE SALUD Y BIENESTAR
* Se radicó el proyecto CLUS2-17, el cual tiene como objetivo el fortalecimiento del Clúster de Turismo de Salud y Bienestar del Quindío a través de procesos de innovación para el acceso a nuevos mercados nacionales e internacionales.
* Se asistió por primera vez a la vitrina turística ANATO 2018, con el fin de dar a conocer la oferta turística del clúster Quindío Destino Vital.
* Se adjudicó el proyecto por un valor de $328.406.570
* Se realizó acompañamiento a las empresas del clúster en el día mundial del bienestar
* Participación de la Gobernación del Quindío en el Conversatorio con expertos de la región en desarrollo de proyectos de inversión realizado en la universidad la Gran Colombia
* Se gestionaron diferentes pautas publicitarias en medios de comunicación para promoción de las iniciativas clúster
CLUSTER UXARTETIC
* Se firmó el convenio entre el Departamento del Quindío y Parquesoft Quindío, cuyo objeto es: “Aunar esfuerzos entre el Parque tecnológico de Software del Quindío   (PARQUESOFT)  y el Departamento del Quindío para fortalecer la iniciativa clúster uXarte TIC, a través de la estructuración de su portafolio de productos, servicios y comercialización, con el propósito de facilitar el acceso a mercados nacionales e internacionales e impulsar la competitividad empresarial del Departamento".
* Se inicio la misión exploratoria a Brasil para posibles acuerdos comerciales entre empresarios del cluster y otros actores
* Se da inicio al diplomado en Usabilidad para 30 empresas del sector TIC.
CLÚSTER DE CONSTRUCCIÓN E INFRAESTRUCTURA
* En el marco del fortalecimiento de la iniciativa clúster, se viene promoviendo espacios de capacitación y muestras de casos exitosos en el desarrollo de la iniciativa, haciendo acercamientos con Director del Clúster Construcción de Medellín y Antioquia, brindando pautas que fortalecen la cadena de valor de la iniciativa.
El porcentaje de avance en el primer trimestres se estima en un 33.3% por cada clúster  
Meta 40:
Con el fin de diseñar, formular y poner en marcha el  Centro  para el desarrollo y el  fortalecimiento de la investigación, tecnología,  Ciencia e Innovación, se han adelantado acercamiento con RUTA N (CENTRO DE INNOVACIÓN Y NEGOCIOS DE MEDELLÍN), empresa pionera en el desarrollo de esta iniciativa a nivel nacional. 
Actualmente, cpntamos con un borrador de la propuesta del centro, sin embargo se encuentra en reestructuración la propuesta presentada por Ruta N
Meta 42:
Para el diseño de un proyecto de I+D+I, se viene estructurando la metodología y la identificación de alternativas para la selección del proyecto a intervenir.* Con el fin de diseñar, formular y poner en marcha el  Centro  para el desarrollo y el  fortalecimiento de la investigación, tecnología,  Ciencia e Innovación, se han adelantado acercamiento con RUTA N (CENTRO DE INNOVACIÓN Y NEGOCIOS DE MEDELLÍN), empresa pionera en el desarrollo de esta iniciativa a nivel nacional. 
* Actualmente, contamos con un borrador de la propuesta del centro, sin embargo se encuentra en reestructuración la propuesta presentada por Ruta N.
* Vinculación y apoyo del Departamento del Quindío al Centro Grancolombiano de Interpretación del Paisaje Cultural Cafetero, en sus componentes de Ciencia, Tecnología e Innovación.</t>
  </si>
  <si>
    <t xml:space="preserve">Meta 38: 
Dentro del proceso de fortalecimiento a las rutas competitivas se tiene  un avance estimado de un 25% respecto a cada una de las rutas, para lo cual se han desarrollado las siguientes acciones:
Se prestó apoyo con clúster de cueros, se realiza análisis de necesidades y la inclusión de actores para el fortalecimiento del clúster. (Departamento, SENA, Cámara de Comercio, Universidad del Quindío, universidad Von Humboldt, alcaldía de Armenia, Alcaldía de Calarcá y comité de ganaderos)
Para las rutas competitivas de turismo (Tumbaga) y cafés especiales (Kaldia), se vine acompañando en la inclusión de actividades en el plan de acción de las dos rutas.
A partir del año 2016 se viene identificando sectores importantes dentro de las cadenas productivas del departamento, con potencial para implementar una ruta competitiva, dentro de esos procesos se ha identificado que la industria del mueble y la industria  gastronómica tienen las condiciones necesarias para conformarse como una ruta competitiva, se viene trabajando con los dos sectores para determinar cuál sería la alternativa más viable que garantice un proceso efectivo y permita su consolidación.
* Se iniciaron las mesas de trabajo de la Rura Tumbaga permitiendo la estructuración del plan de trabajo de la misma
Meta 43:
Para el apoyo de unidades de emprendimiento para jóvenes emprendedores, se viene adelantando el proceso de caracterización y selección de las iniciativas, realizando diagnóstico de los productos a comercializar, canales de distribución, precios, infraestructura y recurso humano.
*Se caracterizaron y se seleccionaron 17 iniciativas y emprendimientos a las cuales se les realizará el proceso de intervención y proceso 
* Se aplicó el formato Diagnóstico a 10 unidades de emprendimiento
* Se intervinieron en diferentes areas 8 unidades de emprendimiento
Meta 45:
Se apoyaron Unidades de emprendimiento de grupos poblacionales con enfoque diferencial mediante:
* Caracterización de emprendimientos en los barrios priorizados en los municipios del departamento, encontrando que: 6 en Calarcá, 3 en Génova, 1 en Quimbaya, 11 en Montenegro, 4 en Córdoba, 8 en Salento, 5 en Circasia, 5 en Armenia y 3 en La Tebaida.
* Se trabajó en la formulación de los proyectos productivos para victimas conflicto: Se han realizado 9 mesas de trabajo con representantes de las Secretarías de Turismo Industria y Comercio, Planeación, Agricultura, Interior y de la Mesa Departamental de Víctimas para la formulación del proyecto y su inscripción en el Banco de Proyectos de la Unidad Nacional de Víctimas.
* Se realizó caracterizacióm a 54 emprendimientos de grupos poblacionales con enfoque diferencial de los cuales 20 unidades fueron seleccionados para reslizar la fase de diagnóstico
* 10 unidades seleccionadas para realizar un acompañamiento de asistencia tecnica por parte de la secretaría.
* 10 unidades de emprendimiento apoyadas en la feria Expoartesanal 2018
* 20 unidades de emprendimiento apoyadas en la feria artesanal de Calarcá
* 5 unidades de emprendimiento apoyadas en la feria Expoeje café
* Se inicio en articulación con el DPS el programa de emprendimiento colectivo con una socialización del programa donde asistieron 32 representantes de diferentes asociaciones; se postularon 18 asociaciones productores, de las cuales 7 cumplen con requisitos a la fecha                                                                                                                                                                                                                                                                                                                      "LA SECRETARIA DE AGRICULTURA Se han apalancado 17 iniciativas rurales, con la realización de las siguientes acciones de apoyo: 
1.Apoyo jurídico requerido para el fortalecimiento de iniciativas productivas rurales existentes en el Departamento.
2.Formulado y realizado  seguimiento de los proyectos y metodologías MGA WEB, formatos de Ministerio, ONG’s, Agencias de Desarrollo y demás entidades pertinentes.                                                                                                                                                                                                                                            3. Generación de alternativas y estrategias administrativas, financieras y ténicas segun el caso para los productos elaborados a las 36 Asociaciones, emprendimientos y empresas.                                                                                                                             
4. Jornadas de trabajo temas de postcosecha y alistamiento de la oferta.                                                                                                                                         5. Seguimiento a las asociaciones, emprendimientos e iniciativas rurales apalancadas por la dirección de emprendimiento rural durante las vigencias anteriores.                                                                                                                                                                                                 
6. Desarrollo de estrategias de marketing .                                                                                                                       
7. Elaboración del borrador de  un portafolio de productos y servicios de las  asociaciones, emprendimientos y/o empresas rurales beneficiadas para promoción y difusión de los mismos.
8.Identificación de oportunidades de negocios y acuerdos comerciales."
</t>
  </si>
  <si>
    <t>Se apoyaron a los sectores productivos como lo son el hortifructicultor, cafetero, lacteo y piscicola mediante las siguientes acciones para la preparación en la rueda de negocio:
1. Identificación de oportunidades de negocios.
2. Acuerdos comerciales.
3. Alistamiento de la oferta en temas de mercadeo, publicidad y promoción de los productos.</t>
  </si>
  <si>
    <t>Comfenalco Quindío a través de la ejecucion del programa 40,000 primeros empleos durante el año 2018 le brindo la posibilidad a 10 empresas de beneficirase con el auxilio económico de este proyecto, les permite obtener, por la vinculación de jóvenes sin experiencia laboral. A la fecha los cupos que se estan otorgando corresponden a saldos de esta inciativa. De igual manera 15 jóvenes han sido contratados por estás empresas.
Frente al programa estado jóven, en el presente año 2018, 13 identidades públicas han tenido la oportunidad de contar con jóvenes prácticantes en diferentes áreas como administración, economía, ingenierias, biología entre otras cosas. a través de esta estrategia 32 jóvenes lograron vincularse en el primer semestre a las plazas postuladas por el sector público del departamento del Quindío. Para el segundo semestre de la actual vigencia, se contara con 100 cupos más para que prácticantes que requieran realizar su pasantia, puedan acceder al programa que les permite contar con un auxilio económico de práctica mensual y afiliación a los subsistemas de seguridad social. ambos programas son operados con recursos del subsidio familiar.  
La Camara de Comercio de Armenia, Quindío reportó convenio con COMFECAMARAS y el BID (banco interamericano de desarrollo), el cual está orientado a personas entre 18 y 35 años de edad, en los componentes de fortalecieminto de los ecosistemas locales de emprendimiento, oferta de servicios empresariales y getión del conocimiento con el fin de fortalecer las competencias del emprendedor, ayudar al creciemiento y consolidación sostenible de la unidad empresarial y conectar esfuerzos, interese y sueños empresariales, con otras regiones para sacar negocios adelante; finalmente se reporta 634 empresas matriculadas con la ley 1780 del 2014.Dentro de la implementación del programa de gestión financiera (SOLIDIARIO), en el segundo trimestre de 2018, se han desarrollado las siguientes acciones:
* Se realizó adición y prorroga al convenio firmado entre el departamento del Quindío y la Cooperativa de Ahorro y Crédito cafetera COFINCAFE, permitiendo llegar a más beneficiados al programa SOLIDIARIO, cuyo objetivo es llegar e impactar a las personas que con regularidad  acceden a los populares créditos GOTA A  GOTA, brindándoles una gran oportunidad de acceder  a este convenio con una tasa  de vendedores, conductores y demás personas que estén inmersas en el llamado crédito  “gota a gota”.
* Se realizó la socialización del programa solidario en los diferentes municipios del departamento del Quindío (Armenia, Quimbaya, Montenegro, Córdoba, Filandia, Calarcá, La Tebaida, Circasia Y Génova).
* Se realizaron:
Solicitudes 289
Aprobadas 193
Negadas 96
* 271 unidades productivas apoyados financieramente a través de la colocación de crédito flexible "Solidiario".</t>
  </si>
  <si>
    <t xml:space="preserve">Como parte de las acciones realizadas para la Implementación de la  estrategia  de prevención y atención de la erradicación del abuso, explotación sexual comercial, trabajo infantil y peores formas de trabajo, y actividades delictivas, se realizó el acompañamiento a la estrategia denominada “Presentes Contra el Trabajo Infantil” en articulación con el Instituto Colombiano de Bienestar Familiar y otras entidades encargas de la prevención del trabajo infantil en los municipios de Calarcá, Quimbaya y Armenia. 
Población atendida: 60 jóvenes, 50 adultos </t>
  </si>
  <si>
    <t>Meta 20: 
Capacitamos doscientos cincuenta (250)   jóvenes,  mujeres, población vulnerable y con enfoque diferencial como líderes ambientales en el departamento. En el 2018 lanzamos el programa de formación de líderes ambientales, el cual surge de la planeación estratégica de la dirección de desarrollo rural y medio ambiente de la secretaria de agricultura, gobernación del Quindío, con el fin de contribuir a la meta número 20 del plan departamental de desarrollo “En defensa de un bien común”; y apunta al desarrollo de actividades académicas, prácticas encaminadas a un desarrollo sostenible, dirigido por profesionales que apuntan a la construcción de líderes ambientales del departamento con herramientas prácticas y centradas a los problemas ambientales y necesidades de las comunidades rurales y urbanas del departamento.
Meta 22:
Se idetificaron los posibles productores que conformaran los grupos multiplicadores de conocimiento, quienes a traves de su experiencia transmitiran los conocimientos a hijos y/o trabajadores en todo lo realcionado con procesos de calidad de cafe. Los productores sensiblizados se encuentran en los municipios de Circasia, Quimbaya y Calarca. La transmision de conociento será medida a través de indicadores como: procesos en cosecha, recoleccion, beneficio, almacenamiento, entre otros.  
Meta 28:
No se reportaron observaciones
Meta 29:  
Para la creación e implementación del FIDER se realizaron las siguientes acciones:
1.se apoyo en el  seguimiento al convenio realizado con el banco agrario de Colombia donde se ejecuta el programa préstamos a campesinos bajo el fondo de garantías complementarias FAG; donde se han visitado a los deudores logrando arreglo con 13 personas.                                                            
2. elaboración de un documento del plan estratégico para la implementación, puesta en marcha y Modelo de Funcionamiento Técnico del fondo.                                                                            
3.Estudios previos para el convenio con la entidad financiera que se encargará de la operación del fondo.</t>
  </si>
  <si>
    <t>Se realizó capacitación a 350 a  jóvenes y mujeres rurales pertenecientes a asociaciones o emprendimientos rurales en todos los municipios del departamento en temas como :
1.Elaboración de estrategias y alternativas de fortalecimiento organizacional en el área administrativa.
2. Educación financiera.
3.Matrices de  costos de producción.
4.Escala de precios de productos .</t>
  </si>
  <si>
    <t>Dentro de la implementación del programa de gestión financiera (SOLIDIARIO), en el primer trimestre de 2018, se han desarrollado las siguientes acciones:
* Se realizo adición y prorroga al convenio firmado entre el departamento del Quindío y la Cooperativa de Ahorro y Crédito cafetera COFINCAFE, permitiendo llegar a más beneficiados al programa SOLIDIARIO, cuyo objetivo es llegar e impactar a las personas que con regularidad  acceden a los populares créditos GOTA A  GOTA, brindándoles una gran oportunidad de acceder  a este convenio con una tasa  de vendedores, conductores y demás personas que estén inmersas en el llamado crédito  “gota a gota”.
* Se realizó la socialización del programa solidario en los diferentes municipios del departamento del Quindío (Armenia, Quimbaya, Montenegro, Córdoba, Filandia, Calarcá, La Tebaida, Circasia Y Génova). * Se aplicó el formato Diagnóstico a 10 unidades de emprendimiento.
* Se intervinieron en diferentes áreas 8 unidades de emprendimiento.
* Participacion 2 unidades de emprendimiento en Expocamello 2018
* Apoyo en la participación de 11 emprededores en Agroexplora 2018
* Asistencia técnica a 8 emprendimientos en creación a Fan Page, Páginas Web y E-mails.</t>
  </si>
  <si>
    <t>Meta 41:
La formulación del proyecto de Red de conocimiento de Agro negocios, se planteó desarrollarla por fases y se construye bajo una metodología participativa con los actores del sector agropecuario. Se desarrollaron las siguientes acciones:
* Se caracterizaron 85 asociaciones productoras agrícolas y se han levantado análisis estadísticos con la cantidad de asociaciones por municipios, cadena productiva, y método de comercialización.
 * Se desarrolló el primer encuentro de actores del sector agropecuario, el cual tuvo como objetivo la interacción y programación del plan de trabajo durante el 2018 y en donde asistieron: Universidad del Quindío, Finagro, Agencia de Desarrollo Rural, Programa Sena emprende rural, Secretaria de Agricultura y Ministerio de Agricultura a través de su programa Agronet, Secretaria de desarrollo económico y productivo de la Alcaldía de Armenia como representantes de las Umatas.
 * Se realizo difusión y promoción de la red por medio de medios de comunicación buscando la vinculación de actores que pueden ser integrantes de la Red de Conocimiento de Agro negocios.
 * Se realizaron acercamientos con la Organización de las Naciones Unidas para la Alimentación FAO, con el fin de que sea el actor de carácter internacional.
Meta 44: 
El Ecosistema Regional de Emprendimiento y Asociatividad se diseñó en el año 2016, para el primer trimestre del año 2018, en el marco de este ecosistema, se han desarrollado las siguientes acciones:      
* La secretaría de Turismo, Industria y Comercio realizó mesa técnica de la Red Regional de Emprendimiento y Parquesoft para revisar, ajustar y plantear la socialización de las actividades y cronograma propuestos dentro del plan de acción del Ecosistema Regional de Emprendimiento para la vigencia 2018.
* Se realizó mesa de trabajo junto con los miembros del Ecosistema y representantes de las entidades miembros del Acuerdo Territorial Para la Promoción del Empleo, con el fin de realizar retroalimentación de las actividades ejecutadas durante el 2017, hacer seguimiento al plan de acción del acuerdo y realizar la planeación de actividades a ejecutar para el 1er semestre 2018.
* Se realizaron acercamientos con la Dirección Territorial del Ministerio del Trabajo con el objetivo de articular actividades y acciones en el marco del Acuerdo Territorial Para la Promoción del Empleo del cual hace parte esta entidad, adicionalmente se realizó articulación con la secretaria técnica de la subcomisión de política salarial con el fin de programar y ejecutar capacitaciones y talleres en temas pertinentes para el territorio; entre estas capacitaciones están: Formalización laboral, Fortalecimiento de las normas en Seguridad y Salud en el Trabajo. 
* Por medio de la ejecución del convenio J074 se realizó 98 registros de hojas de vida, 129 actualizaciones y 227 colocaciones en la plataforma de la Agencia Pública de Empleo de los contratistas de la secretaria de Interior, Infraestructura y planeación. 
* Se participó en la micro rueda del Día Internacional de la Mujer, realizada en el centro comercial Unicentro mediante el convenio J074 con la Alcaldía de Armenia, SENA y Gobernación del Quindío, donde participaron 9 empresas de la región, se ofertaron 67 vacantes y se realizó registros de hojas de vida, orientación y aplicación a las diferentes ofertas laborales a 27 dentro de las cuales se encontraban 4 en condición de migrantes Venezolanos.  
* En la ejecución del convenio J074 con Alcaldía, SENA y Gobernación del Quindío se participó en la rueda de empleo con el aula Móvil de SENA realizada del 12 al 17 de Marzo en los municipios de Armenia, Calarcá, Montenegro, Filandia y Tebaida, donde se proporcionó orientación, registro de hojas de vida y aplicación a las diferentes vacantes ofertadas (105) a 102 ciudadanos de los diferentes municipios antes mencionados incluidos 9 migrantes Venezolanos."El Ecosistema Regional de Emprendimiento y Asociatividad se diseñó en el año 2016, para el segundo trimestre del año 2018, en el marco de este ecosistema, se han desarrollado las siguientes acciones:      
* La secretaría de Turismo, Industria y Comercio realizó mesa técnica de la Red Regional de Emprendimiento y Parquesoft para revisar, ajustar y plantear la socialización de las actividades y cronograma propuestos dentro del plan de acción del Ecosistema Regional de Emprendimiento para la vigencia 2018.
* Se realizó mesa de trabajo junto con los miembros del Ecosistema y representantes de las entidades miembros del Acuerdo Territorial Para la Promoción del Empleo, con el fin de realizar retroalimentación de las actividades ejecutadas durante el 2017, hacer seguimiento al plan de acción del acuerdo y realizar la planeación de actividades a ejecutar para el 1er semestre 2018.
* Se creó la mesa técnica para el diseño y logística del 2do congreso latinoamericano de emprendimiento
* Participación en la primera convocatoria del programa EMPRENDELO liderado por el BID y Confecamaras, apoyando 10 emprendedores.
* Apoyo a las mesas técnicas para la realización del 2do Congreso Latinoamericano de Emprendimiento.
Empleo:
* Se realizaron acercamientos con la Dirección Territorial del Ministerio del Trabajo con el objetivo de articular actividades y acciones en el marco del Acuerdo Territorial Para la Promoción del Empleo del cual hace parte esta entidad, adicionalmente se realizó articulación con la secretaria técnica de la subcomisión de política salarial con el fin de programar y ejecutar capacitaciones y talleres en temas pertinentes para el territorio; entre estas capacitaciones están: Formalización laboral, Fortalecimiento de las normas en Seguridad y Salud en el Trabajo. 
* Por medio de la ejecución del convenio J074 se realizó 98 registros de hojas de vida, 129 actualizaciones y 227 colocaciones en la plataforma de la Agencia Pública de Empleo de los contratistas de la secretaria de Interior, Infraestructura y planeación. 
* Se participó en la micro rueda del Día Internacional de la Mujer, realizada en el centro comercial Unicentro mediante el convenio J074 con la Alcaldía de Armenia, SENA y Gobernación del Quindío, donde participaron 9 empresas de la región, se ofertaron 67 vacantes y se realizó registros de hojas de vida, orientación y aplicación a las diferentes ofertas laborales a 27 dentro de las cuales se encontraban 4 en condición de migrantes Venezolanos.  
* En la ejecución del convenio J074 con Alcaldía, SENA y Gobernación del Quindío se participó en la rueda de empleo con el aula Móvil de SENA realizada del 12 al 17 de Marzo en los municipios de Armenia, Calarcá, Montenegro, Filandia y Tebaida, donde se proporcionó orientación, registro de hojas de vida y aplicación a las diferentes vacantes ofertadas (105) a 102 ciudadanos de los diferentes municipios antes mencionados incluidos 9 migrantes Venezolanos."
* Se realizó la Semana por el empleo, realizando las siguientes actividades:
1. Participación en Expotrabajo y en el foro de Inclusión Laboral
2. Se realizó la mesa de trabajo con empresarios "empresarios por el Empleo"
3. Feria de Empleo con XX registros
* Vacantes y Registros
COLOCACIONES PÚBLICAS: 423
COLOCACIONES PRIVADAS: 331
VACANTES  GESTIONADAS: 42
* Se realizaron 6 capacitaciones en temas  de inclusión laboral a 90 personas
* Jornadas de empleabilidad en las comunas de la ciudad de Armenia (
* Apoyo a la relaización de la Microrueda de empleo en la APE SENA
* Jornada de acompañamiento al Aula Movil SENA, ORIENTADOS: 317, POSTULADOS: 205, INSCRITOS: 181. (Municipios de Armenia, Montenegro, Circasia, Quimbaya, La Tebaida, Barcelona)
* Empresas registradas en el Servicio Público de Empleo 244.
* COLOCACIONES: 2022. (30/9/2018)</t>
  </si>
  <si>
    <t>Se implementó el Programa para el acceso y la permanencia de niños, niñas y jóvenes en las 54  Instituciones Educativas oficiales de los 11 municipios no certificados del Departamento del Quindio, garantizándose  la seguridad  y el servicio del aseo  en sus instalaciones. Al cierre del primer trimestre la cobertura educativa era de 40.461 estudiantes.</t>
  </si>
  <si>
    <t>Respecto a las Metas Producto establecidas: Meta Producto 65 - Meta Producto 89
El Departamento del Quindío,  a junio 30 de 2018, sostuvo los 2.232 docentes, directivos y administrativos viabilizados por el Ministerio de Educación Nacional vinculados a la Secretaría de Educación Departamental.
El Programa de jornada única, al corte del 30 de junio del año 2018, contaba con  17,542 estudiantes matriculados en 47 instituciones educativas del departamento
Meta Producto  74:
Meta Programada Año 2018: 2.232 
Avance de la Meta al II Trimetsre del Año 2018: 2.232
Meta Programada 89:
Meta Programada Año 2018: 17.500
Avance de la Meta al II Trimetsre del Año 2018: 17.542
Recusos Programados a 2018: $139.292.232.834
Recursos Ejecutados al II Trimestre del Año 2018: $54.492.617.533</t>
  </si>
  <si>
    <t>A crecer
Aceleración del Aprendizaje
Caminar por Secundaria
Escuela Nueva
Media Rural
Modalidad Virtual Asistida UCN
Pensar
Post Primaria
Programa para Jóvenes en Extraedad y Adultos</t>
  </si>
  <si>
    <t>Reporte del ministerio de educación nacional Lista de Informes departamentales de Educación Superior, extraido 22/11/2018 https://www.mineducacion.gov.co/sistemasdeinformacion/1735/w3-article-212352.html</t>
  </si>
  <si>
    <t>Respecto a las Metas Establecidas: Meta Producto 66 - Meta Producto 67
Ante el deber de dar consecución a la estrategia de acceso y permanencia (PAE), esta misma entidad, luego del ajuste de la necesidad a proveer con relación a los lineamientos establecidos por el MINISTERIO DE EDUCACIÓN NACIONAL, mediante el nuevo documento técnico – aplicable desde el 1 de febrero de 2018 – y contenido en la Resolución No 29452 de 2017, así como a los mecanismos de selección contenidos en los literales a y d del numeral 2 del artículo 2 de la Ley 1150 de 2007; se aprestó al desarrollo de proceso de selección abreviada, a través del mecanismo de ADQUISICIÓN EN BOLSA DE PRODUCTOS ante la BMC BOLSA MERCANTIL DE COLOMBIA, en virtud de lo establecido en los artículos 2.2.1.2.1.2.11 a 2.2.1.2.1.2.19 del Decreto 1082 de 2015. 
Consecuente con lo anterior, y luego de agotadas las diferentes etapas contenidas dentro del referido PROCEDIMIENTO DE ADQUISICIÓN EN BOLSAS DE PRODUCTOS, se obtuvo como operador seleccionado para efectos de la ejecución del Programa de Alimentación Escolar – PAE -, a la UNIÓN TEMPORAL UNIDOS POR LOS NIÑOS DEL QUINDÍO, en desarrollo de rueda de negociación Nro. 086 del día 08 de Mayo; situación que permitió el inicio de la operación del programa el día 21 de mayo de 2018, a través de la entrega de los complementos alimentarios a favor de la población beneficiaria y focalizada en virtud del lineamiento técnico contenido en la Resolución No 29452 de 2017, proferida por el MEN.
No obstante todo lo anterior, teniendo en cuenta que el PROCEDIMIENTO DE ADQUISICIÓN EN BOLSAS DE PRODUCTOS - en virtud de lo establecido en el artículo 2.2.1.2.1.2.11 del Decreto 1082 de 2015 - se circunscribe y sujeta al contenido del Reglamento propio de la Bolsa; y como quiera que la UNIÓN TEMPORAL UNIDOS POR LOS NIÑOS DEL QUINDÍO, NO CUMPLIÓ con la constitución oportuna de las garantías requeridas para el trámite de la operación - descritas en el Artículo 3.6.2.1.5.2 del referido reglamento -, incurrió en la causal objetiva establecida para la DECLARATORIA DE INCUMPLIMIENTO DE LA OPERACIÓN, contenida a su vez en el numeral 2 del artículo 6.5.1.1.3 del Reglamento de la BOLSA MERCANTIL DE COLOMBIA – BMC -. Situación anterior por la cual, previo el desarrollo de Comité Arbitral celebrado el día 31 de mayo de 2018 – contenida en acta No 46 de la fecha, de la BOLSA MERCANTIL DE COLOMBIA – BMC - la declaratoria de terminación de la operación con base en la causal de incumplimiento anteriormente referida, al tenor de las reglas y procedimientos contenidos en los artículos 6.5.2.1.1 y 3.6.2.1.6.1 del mismo Reglamento.  De acuerdo a  lo anterior se inició un nuevo procedimiento ante la Bolsa Mercantil de Colombia que permitió el pasado 20 de Junio llevar a cabo una nueva Reuda de Negocios en la que se adjudico a la Sociedad Comisionista Vendedora Comiagro el negocio del suministro de alimentaicón escolar PAE con el operador Semillas de Paz para la operaicón del programa en el II semestre del año.
Se continuó con  la implementación  del programa de transporte escolar en el Departamento del Quindío,  para los estudiantes que residen en el sector rural y deben acudir a las cabeceras municipales a cursar el nivel de basica secundaria y media, como una de las estrategias para garantizar el acceso y la  permanencia  de los niños, niñas y jóvenes en el  sistema  educativo, el Departamento a Junio 30 de 2018, ha concurrido con la transferencia de recursos a los 11 municipios, beneficiando una poblacion total de  2.977 estudiantes. 
La relación de recursos transferidos y alumnos beneficiados por municipio es la siguiente:
Municipio Buenavista: $ 32.543.883           116 Alumnos
Municipio Calarcá: $ 265.156.588              380 Alumnos
Municipio Circasia: $ 94.499.993                 93 Alumnos
Municipio Córdoba: $ 48.243.988               226 Alumnos
Municipio Filandia: $ 105.502.358              382 Alumnos
Municipio Génova: $ 106.258.963               251 Alumnos   
Municipio La Tebaida: $ 75.878.392            401 Alumnos
Municipio Montenegro: $ 66.907.204           384 Alumnos
Municipio de Pijao: $ 81.484.131                159 Alumnos            
Municipio de Quimbaya: $ 88.239.840         419 Alumnos   
Municipio de Salento: $ 70.001.667             166 Alumnos
Meta Producto  66:
Meta Programada Año 2018: 4.500 
Avance de la Meta al II Trimetsre del Año 2018: 3.816
Recusos Programados a 2018: $10.192.163.205
Recursos Ejecutados al II Trimestre del Año 2018: $8.743.552.291
Meta Programada 67:
Meta Programada Año 2018: 1
Avance de la Meta al II Trimetsre del Año 2018: 1
Recusos Programados a 2018: $11.090.800.000
Recursos Ejecutados al II Trimestre del Año 2018: $879.509.456</t>
  </si>
  <si>
    <t>reporte del ministerio de educación nacional Lista de Informes departamentales de Educación Superior, extraido 22/11/2018 https://www.mineducacion.gov.co/sistemasdeinformacion/1735/w3-article-212352.html. información con corte 2017 teniendo en cuenta que la misma es entregada año vencido</t>
  </si>
  <si>
    <t>reporte del ministerio de educación nacional Lista de Informes departamentales de Educación Superior, extraido 22/11/2018 https://www.mineducacion.gov.co/sistemasdeinformacion/1735/w3-article-212352.html, información con corte 2017 teniendo en cuenta que la misma es entregada año vencido</t>
  </si>
  <si>
    <t>En los 12 municipios, se realizaron procesos orientados al desarrollo de la política Nacional, la cual está establecida para realizar acciones en las estrategias de abordaje integral de la mujer antes, durante y después del evento obstétrico, Salud Sexual y Reproductiva (SSR) de adolescentes y jóvenes, Abordaje integral de las violencias de género y violencias sexuales incluyendo colectivos LGTBI y Acceso universal a prevención y atención integral en ITS-VIH/SIDA con enfoque de vulnerabilidad. información extraida del POAI CORTE 30 DE SEPTIEMBRE</t>
  </si>
  <si>
    <t xml:space="preserve">Se continuó el fortalecimiento en los 12 municipios del departamento  los procesos de identificación de la población no sisbenizada y no afiliada, a  través de visitas y capacitaciones, con la afiliación de 2025 nuevos afiliados al régimen subsidiado; personas que cumplen requisitos para pertenecer al régimen subsidiado, además la canalización de personas para realizar el proceso del SISBEN. </t>
  </si>
  <si>
    <t xml:space="preserve">El Instituo Municipal del Deporte y la Recreación de Armenia reportó que atiende a los jovenes de Armenia a traves de los programas institucionales, cabe resaltar que el recurso del presupuesto no esta focalizado a los ciclos vitales sino a los programas ya mencionados en la presente matriz: 78000 personas beneficiadas
• Se iniciaron el mes de febrero de 2018 las visitas informativas a las alcaldías de los 12 municipios sobre la temática del proyecto CAMPAMENTOS JUVENILES 2018, involucrando secretarios de deporte, líderes juveniles, estudiantes de colegios y diferentes fundaciones que trabajan con jóvenes.
• Se realizo acompañamiento y asistencia técnica continua a los grupos organizados de campistas de los 12 municipios del departamento, se realizaron talleres con la temática del programa, jornadas de actividad física, recreación y ocupación del tiempo libre con los jóvenes pertenecientes al programa. 
• Se orientó capacitación sobre los lineamientos técnicos del programa 2018, a los secretarios de deportes y líderes campistas de los diferentes municipios 
• Se realizaron talleres de capacitación en los municipios de Armenia, Córdoba, Génova, La Tebaida, Pijao, Quimbaya, Salento, Montenegro, Circasia, Calarcá, involucrando adolescentes y jóvenes hombres y mujeres entre los 13 y 28 años en temas de: Campismo, supervivencia, pionerismo, senderismo, recreación, primeros auxilios y nutrición entre otros.
• Se realizó el campamento municipal en Armenia, en el Estadio de atletismo, Villa olímpica, con participación de 180 campistas de los grupos: truchas, fundación drago de la Mariela, entre otros.
• Se realizó el 3 Campamento municipal para personas con capacidades especiales en el parque sadequi del municipio de Quimbaya con participación de 37 personas.
• Se realizo el Campamento Departamental en el parque “AGUA Y GUADUA”, del municipio de Córdoba, en el mes de octubre
Se brindó apoyo mediante actividades  con gestor y monitores del programa de hábitos y estilos de vida saludables y actividad física en los doce municipios del departamento. </t>
  </si>
  <si>
    <t>La Secretaria de Salud Departamental realizo acciones de asesoria y asistencia tecnica a los 12 municipio en la Estrategia Nacional de Servicios de Salud Amigables y el Modelo de veeduría social juvenil a los servicios de salud amigables para adolescentes y jóvenes, este proceso incluye:
• Capaciacion al sector salud de los 12 municipios del Departamento.
•Visita de asesoría y asistencia técnica a las 12 ESE de primer nivel de atención del Departamento, en el proceso de fortalecimiento de los servicios amigables y el desarrollo de las veedurías sociales juveniles</t>
  </si>
  <si>
    <t xml:space="preserve">Es de anotar que como se ha informado en los reportes anteriores, la Política Nacional de Salud Mental no ha sido presentada por parte del Ministerio de Salud y Protección Social y hasta tanto no sea presentada oficialmente el Departamento no podrá desarrollar el proceso de adopción e implementación.
Sin embargo y en marco de la sensibilización para la adopción de la Política se han desarrollado los siguientes eventos para generación de capacidad técnica
Entrenamiento en MH-GAP dirigido a médicos, enfermeras, psicólogos   de las IPS públicas y Privadas, Centros penitenciarios, CAE la Primavera y Universidades.
Se realiza acompañamiento a los comités de convivencia Escolar de Filandia, Córdoba y Pijao
Se realiza capacitación a Padres de familia, docentes de los municipios de Buenavista, Córdoba
En el mes de septiembre se desarrolla la agenda departamental en conmemoración del día mundial de prevención del suicidio donde se llevan a cabo las siguientes actividades, Diseño de estrategia parque soff Quindío, taller con medios de comunicación, tercer seminario departamental en actualización en investigación prevención de la conducta suicida, movilización social  caminata 5K por la vida, memorial fundación jardines a víctimas de suicidio y capacitación a la regional  de sanidad de la policía equipos de salud mental Eje Cafetero
</t>
  </si>
  <si>
    <t>Se fortalecieron los 54 Comités de Convivencia Escolar en las Instituciones Educativas Oficiales, en los 11 municipios.  Proceso que continua durante la vigencia del año escloar, a través de la Intervención de profesionales, quienes hacen acompañamiento permanente, en aras de mejorar y mantener los ambientes de convivencia escolar en favor del desarrollo integral y el aprendizaje de los estudiantes.</t>
  </si>
  <si>
    <t>Meta: 219
Con relación a la implementación de once (11) programas de prevención del delito y medicación de conflictos en comunidades focalizadas del departamento, para la vigencia 2018, se ha logrado intervenir en cuatro (4) barrios e igual número de programas enmarcados en las estrategias de:
- Centro de interés – spa
- Club ciudadano 
- Proyectos productivos y emprenderismo
- Club adulto mayor
Impactando a cerca de ciento setenta y cinco personas (175) en los siguientes barrios:
Calarcá:
- Barrio Llanitos de Guárala
Pijao: 
- Calle Larga
- La Playita
- Fundadores
Meta: 220
Se han realizado las primeras intervenciones de acuerdo a los cronogramas de trabajo para la vigencia 2018, en ocho (8) municipios del departamento: 
1. Génova 
2. Córdoba
3. Buena vista
4. Calarcá. 
5. Salento.
6. Circasia.
7. Montenegro
8. Filandia
Con los siguientes programas:
Centro de interés – spa, Centro de interés agresividad – violencia, Club de progenitores, Capacitación docente, Centro De Interés Transición Sexo-Afectiva, Club de ciudadanos, Centro de interés liderazgo.
Así mismo el departamento a través de las diferentes estrategias de la meta ha intervenido nuevamente municipios ya actuados en la vigencia 2016/2017, debido a solicitud de la comunidad, en las siguientes:
1. Génova. 
2. Pijao. 
3. Buenavista.
4. Calarcá.
5. La Tebaida. 
6. Quimbaya.
7. Salento.
8. Circasia.
9. Montenegro.
10. Filandia.
Estrategias realizadas:
Atención psicológica personalizada, Club de ciudadanos, Proyectos productivos y emprenderismo, Club adulto mayor, Semillero Cultural De Zancos Para Niños y Jóvenes, Capacitación Padres , Centro De Interés - Estilos Cognitivos Diversos, Encuentro Multicolor, Centro De Interés Cultural, Deporte.</t>
  </si>
  <si>
    <t xml:space="preserve">Meta: 215
En cuanto al fortalecimiento de los tres (3) programas de prevención y superación del Sistema de responsabilidad penal para adolescentes, una vez superada la etapa de ley garantías, el departamento hará las gestiones pertinentes para brindar su apoyo interadministrativo con otras entidades para iniciar dicho fortalecimiento. 
Meta: 188
Para Implementar  dos (2) estrategias de prevención para adolescentes y jóvenes en riesgo social y/o vinculados a la Ley de responsabilidad  penal, la Secretaría de Familia en conjunto con la Secretaría de Interior  han venido implementado la estrategia de Prevención y No Reincidencia al Sistema de Responsabilidad Penal para Adolescentes por medio del Cortometraje “Dragones de papel” con su manual metodológico, el cual se materializa por medio cinco (5) sesiones educativas y cines foros, actualmente se vienen trabajando en Instituciones Educativas y varios barrios vulnerables del Departamento con una cobertura de los 12 municipios. De igual manera se realizó el primer comité del sistema de responsabilidad penal para adolescentes del departamento donde se socializó el plan de acción para el 2018.
Jóvenes Impactados 316 desde la oficina de juventud.
Estrategia de Barrismo Social: Con el objetivo de fortalecer los procesos de convivencia entre los barristas quindianos, se han venido realizando encuentros pedagógicos en instituciones educativas de Armenia, La Tebaida y Calarcá, espacios en los que se empoderan a jóvenes de los grados novenos a undécimo sobre la importancia de resignificar el concepto ‘barrista’ en el Quindío, promoviendo la convivencia pacífica entre las barras más representativas del Departamento, así como las problemáticas relacionadas con las barras, con el objetivo de mejorar la convivencia entre los jóvenes, fortalecer el núcleo familiar, y crear procesos de transformación encaminados a la paz y el buen comportamiento ciudadano.
Jóvenes impactados 149 
</t>
  </si>
  <si>
    <t>El personal para señalizacion se encuentra contratado hasta el mes de Junio como medida para disminuir la accidenalidad, son 2 pintores y 4 reguladores, los cuales ya han intervenido los municipios de Cordoba, Circasia y Salento.
El municipio de Cordoba ya esta finalizado.</t>
  </si>
  <si>
    <t xml:space="preserve">La secreataria de salud departamental realizo el taller regional para la presentación, analisis y revisión de la Politica Nacional de Salud Mental en conjunto con el Ministerio de Salud y Protección Social, para ello se convoco a los 12  municipios y organizaciónes departamentales y a los Departamentos de Caldas, Risaralda, Antioquia, Valle y Tolima, se conto con un aproximado de  100 personas participantes en el proceso, es de anotar que tambien se socilizo el Conpes de salud mental. Por lo que el Departamento se encuentra a la espera de los lineamiento finales para realizar el proceso de adopción de la misma.
De igual forma la Secretaria de Salud Departamental constituyo el Consejo Departamental de Salud Mental y ha asumido la secretaria tecnica y el equipo interdisciplinario y los ha establecido a traves de resolucion 292 y 293 del mes de marzo, que permitira operativizar la adopción de la politica en el departamento.
La Secretaria de Salud Departamental cuenta con el sistema de vigilancia epidemiologica que le permite realizar seguimiento  a los casos reportados por intento de suicidio que llegan a los servicios de urgencia, es asi que la dimension de convivencia social y salud mental  realiza seguimiento a los casos reportados en menores de edad, gestantes y reincidentes a través de visita domiciliaria, gestion del riesgo a través de eps, comisarias de familia, y se trabaja de manera articulada con los orientadores del departamento, los planes locales de salud .
</t>
  </si>
  <si>
    <t>Se realizo gestion de riesgo mediante seguimiento a caso reportados por violencia intrafamiliar menores de edad, gestantes, reincidentes y poblacion vulnerable. Ademas se brindo asesoria y asistencia tecnica en getion para la gestion para la formulacion de un proyecto conjunto en acompañamiento con el Ministerio del Interior, Ministerio de Salud y la  UNODC (Naciones Unidas contra droga y el delito) entre Montenegro, Salento y Calarca para abordar problematicas de suicidio, violencia intrafamiliar y consumo de SPA.
Para la implementación de la política pública de equidad de género y mujer se están realizando actividades tales como: Asistencia Técnica  a los 12 municipios del departamento en cuanto a la conformación y consolidación de espacios de participación como lo son los consejos comunitarios de mujeres, a través de visitas y realización de talleres de socialización de política pública de género y rutas de atención. De igual forma se realizó una feria de mujeres emprendedoras y empresarias, con la participación de 42 mujeres como resultado de esta actividad se logró el fortalecimiento de los procesos de emprendimiento que vienen desarrollando las mujeres de los municipios de Buenavista, Filandia, Circasia, Córdoba, Calarcá, Montenegro y Armenia,  dándole así cumplimiento al componente de fortalecimiento productivo de la política pública de equidad de género. Se conformó el comité regional de mecanismos de género, el cual tiene como objetivo realizar, asistir metodológicamente para el abordaje de planes y proyectos encaminados a la equidad de género, entre los departamentos de Caldas, Quindío y Risaralda. Se realizó un comité institucional para el seguimiento a la política pública de equidad de género con los actores que intervienen  de la política con el fin de realizar un plan de acción para el cumplimiento de las metas allí establecidas. Se realizó el reporte del último trimestre de la vigencia 2017 de seguimiento al plan indicativo de la política pública de equidad de género. Se está realizando el proceso de conformación de una red departamental de mujeres cafeteras, a través del fortalecimiento asociativo que permita promover la generación de ingresos y el emprendimiento de las mujeres cafeteras, actualmente se encuentran constituidas legalmente Buenavista, Pijao, Córdoba, Filandia y en proceso de conformación los municipios de Circasia y Quimbaya. 
Se han beneficiado directa e indirectamente  536 mujeres</t>
  </si>
  <si>
    <t xml:space="preserve">Capacitaciones dirigidas a jóvenes de grados 10 y 11 de las Instituciones educativas de los doce municipios, además de instituciones de estudios superiores del departamento.
Para garantizar la articulación institucional para la prevención a las violaciones DDHH e infracciones al DIH en los 12 municipios del Departamento, la dirección de protección de los derechos y atención a la población ha adelantado capacitaciones en DDHH en los municipios de Calarcá, La Tebaida y Armenia, impactando a ochenta y cinco (85) personas en los municipios mencionados.  </t>
  </si>
  <si>
    <t>Se entregó el informe final del contrato para el diseño e implementación de la estrategia de atención integral para la población en condición de vulnerabilidad extrema en el Departamento del Quindío, específicamente en cuanto a trabajadoras sexuales, reincidencia delictiva, reclusión intramural, jóvenes en riesgo y habitantes de calle. Como parte de la implementación se realizaron intervenciones personales, familiares y apoyos psicosociales a los diferentes grupos objeto de la intervención. Igualmente se implementó la estrategia de inclusión social en 13 barrios priorizados del departamento a través de la estrategia y se desarrollaron temas como emprendimiento, fortalecimiento familiar y convivencia. De este proceso se beneficiaron los 12 municipios del departamento y el corregimiento de Barcelona beneficiando, aproximadamente 300 personas de diferentes grupo de edad. Por parte del grupo de atención a población vulnerable de la Secretaría se adelantaron actividades tales como implementación de los planes de acción participativos elaborados en el 2017 en 13 barrios priorizados del Departamento, uno por cada municipio y el corregimiento de Barcelona. Igualmente se están construyendo los planes de acción participativos en 19 barrios nuevos que aún no habían tenido intervención por parte de la Secretaría, estos Barrios hacen parte de los 44 barrios priorizados por la Gobernación . Actualmente se están realizando actos masivos con la comunidad (deportivos, cine foro, convites, entre otros), también se participó de la conformación de la mesa de inclusión social y generación de ingresos del Departamento.</t>
  </si>
  <si>
    <t>En los 12 municipios se realizaron procesos orientados al desarrollo de la política Nacional, la cual está establecida para realizar acciones en las estrategias de abordaje integral de la mujer antes, durante y después del evento obstétrico, Salud Sexual y Reproductiva (SSR) de adolescentes y jóvenes, abordaje integral de las violencias de género y violencias sexuales incluyendo colectivos LGTBI y acceso universal a prevención y atención integral en ITS-VIH/SIDA con enfoque de vulnerabilidad.</t>
  </si>
  <si>
    <t xml:space="preserve">Meta: 138
La secreataria de salud departamental realizo  solicitud de los planes de accion a las instictuciones que   hacen parte del Comité Drogas, lo anterior se encuentra enmarcado en el Plan Integral de Drogas del Quindio 2016 -2019. Así mismo se brindo asistencia tecnica a los municipios de Quimbaya, Montenegro y la Tebaida.
De igual forma y con el fin de operartivizar el Sistema Unico de Indicadores de los Centros de Atencion a la Drogadiccion que permite obtener datos  de los personas que reciben tratamiento se ha realizado gestion con el nivel nacional  para lograr el buen funcionamiento de la plataforma, a la fecha la secretaria de salud desde la Dimension de Convivencia Social y Salud mental y en el area especifica de sustancias psicoactivas ha brindado asistencia tecnica a Hospital Mental de Filandia, Fenacorsol, Clinica el Prado, Red Salud, Faro, CAE la Primavera y Despetares.
Se realizo fortalecimiento de atencion de los usuarios de los programas de mantenimiento con metadona a traves de la articulacion de la Dimension de Salud Sexual, Derechos Sexuales y Reproductivos y la Dimension de Convivencia Social y Salud Mental desde la linea de sustancias psicoactivas.
Se realiza la gestión con UNODC, Ministerio de Salud y Ministerio de Justicia para el entrenamiento en el nuevo modelo de atencion integral a personas con transtornos por uso de sustancias MAITUS, el cual actualiza la estrategia TREATNET, donde participaron 20 profesionales que hacen parte de instituciones que desarrollan acciones en sustancias psicoactivas.
En la implementación del Plan Departamental de la reducción del consumo de sustancias psicoactivas el departamento se encuentra en ajuste al documento modelo 2016-2019, para su adopción a través de decreto departamental; se reactivó el Comité Departamental de Drogas con énfasis en Reducción del Consumo y se realiza seguimiento a los planes de acción de las instituciones que hacen parte del comité departamental de drogas, con prioridad en los municipios de Montenegro, Córdoba y Quimbaya.
Meta: 141 
En la implementación de la estrategia para mantener la edad de inicio de consumo de tabaco en los adolescentes escolarizados, la secretaria de Salud realiza trabajo conjunto con la Secretaria de Educación Departamental apoyando a los equipos educativos con profesionales que asisten a realizar las visitas correspondientes en un total de 6 municipios, en una Institución Educativa por municipio. (Liceo Quindío Salento, Instituto Fundadores Montenegro, General Santander Calarcá, Instituto Tebaida, Instituto Quimbaya, Ciudadela Córdoba). La secretaria de salud departamental realiza  seguimiento a los planes de acción de  las instituciones que   hacen parte del Comité Drogas, lo anterior se encuentra enmarcado en el Plan Integral de Drogas del Quindío 2016 -2019.
Se realiza Segundo Comité Departamental de Drogas con énfasis en Reducción del Consumo de Sustancias Psicoactivas.
Se realizó acompañamiento a la mesa de trabajo de la Institución Educativa el Naranjal. Acompañamiento para el desarrollo de una propuesta frente al manejo de sustancias psicoactiva, conductas suicidas y trastornos mentales.
Se realizó visita de acompañamiento a los tres programas de mantenimiento con metadona en coordinación con el fondo rotatorio de estupefacientes y medicamentos y afines con el fin de fortalecer la capacidad técnica y el proceso de atención de los usuarios consumidores de heroína vinculados a los diferentes programas.
Se realiza gestión para realizar pasantía  en la implementación de la estrategia de zonas de orientación escolar en el municipio de Dosquebradas (Risaralda), dirigida a profesionales donde se contó con la participación de docentes orientadores, personal directivo de instituciones educativas y profesionales de la Secretaria de Educación Departamental
</t>
  </si>
  <si>
    <t xml:space="preserve">Para la implementación  de la estrategia de prevención del consumo de sustancias psicoactivas  (SPA):
A. Se  realizaron  jornadas de ocupación del tiempo libre en La Tebaida, Salento, Pijao, Armenia,  Calarcá, Montenegro. 
B. Se realizó evento académico orientado a jóvenes del Departamento “JÓVENES CONSTRUYENDO PREVENCIÓN”, capacitándolos en competencias y habilidades idóneas para impactar positivamente sus entornos buscando mitigar el consumo de Sustancias psicoactivas, en este evento se generaron propuestas de implementación de actividades para la prevención del consumo de SPA, las cuales se radicaron en las 12 alcaldías municipales del Departamento. En este evento se impactaron aproximadamente 200 jóvenes de manera directa y se espera que estos jóvenes intervengan sus entornos impactando cada uno 5 jóvenes más.
D. Asistencia técnica y apoyo a la implantación en los municipios del departamento del Quindío exceptuando la plataforma y enlace de juventud de Filandia.
E. Se impactaron 4 Instituciones Educativas con la estrategia ZOE (Zona de orientación escolar) </t>
  </si>
  <si>
    <t>En los 12 municipios del departamento se continuo con el proceso de canalizar acciones de promoción de la salud en el desarrollo de la política Nacional de sexualidad, derechos sexuales y reproductivos, enfocado a la orientación del desarrollo de la política Nacional, la cual está establecida para realizar acciones de promoción de los derechos sexuales y reproductivos y la equidad de género; Prevención y atención integral en salud sexual y reproductiva desde un enfoque de derechos.</t>
  </si>
  <si>
    <t>Se brindó apoyo económico a veinte dos deportistas de las siguientes disciplinas: bolo convencional y  discapacidad, triatlón, pesas, BMX, atletismo convencional , atletismo discapacidad, tenis de campo discapacidad y bádmington.</t>
  </si>
  <si>
    <t xml:space="preserve">Se garantizaron servicios de apoyo con técnicos para fortalecer el proceso deportivo que adelantan las ligas con los deportistas de altos logros y reserva deportiva  en las siguientes disciplinas: atletismo, balonmano, bmx, bowling, futbol, futbol de salon, hapkido, judo, karate, levantamiento de pesas, natacion, patinaje, taekwondo y tenis de campo. Se esta fortaleciendo el proceso de escuelas de iniciacion con la contratacion de monitores en las siguientes disciplinas deportivas: Armenia  -futbol sala discapacidad,  Armenia - futbol sala convencional, Circasia -  levantamiento de pesas,ajedrez,tejo,futbol, gimnasia ritmica, atletismo, convencional y discapacidad, lucha, bolos, ciclismo ,triatlon y tenis de mesa. Adicionalmente  se brindó apoyo   profesional en procesos de planeación, jurídicos, técnicos, logísticos y de gestión documental del área técnica del instituto departamental de deporte y recreación del Quindío Indeportes Quindío. El recurso de rendimientos financieros se va ejecutando a medida que va ingresando el recurso
</t>
  </si>
  <si>
    <t>Se brindó apoyo con promotores deportivos del programa Apoyo al Deporte formativo, deporte social comunitario y juegos  tradicionales, en los doce municipios del departamento. Adicionalmente se brindó  apoyo  profesional en los procesos de planeación y de gestión documental del área técnica del instituto departamental de deporte y recreación del Quindío Indeportes Quindío</t>
  </si>
  <si>
    <t>Contratos de Prestacion de Servicios, suministro, enfocados a la planificacion de planes, programas y proyectos de vivienda, infraestructura y equipamiento colectivo y comunitario</t>
  </si>
  <si>
    <t>Para mejorar la competitividad del Quindío como destino turístico , se continuó con los siguientes proyectos:    
1. Clúster (Naturaleza y Salud y Bienestar); se apoyó en el desarrollo de los ajustes realizados al proyecto: “Fortalecimiento del Clúster de turismo de Salud y Bienestar del Quindío a través de procesos de innovación para el acceso a nuevos mercados nacionales e internacionales”. Convocatoria: CLUS2-17. Debido a que el proyecto tuvo que ser radicado nuevamente ante Innpulsa Colombia el 26 de marzo de 2018.                                                                                                                    
2. Plan Estratégico de Turismo (Se encuentra en proceso de validación)                                                           
3. Proyecto de Turismo Responsable (Mediante las campañas de formalización y de prevención de ESCNNA Explotación sexual Comercial de niños, niñas y adolescentes); se realizan campañas de capacitación y sensibilización de conducta a todos los prestadores de servicios turísticos; entre ellos balseros, operadores turísticos de cabalgatas y establecimientos de alojamientos de hospedaje. Alianzas realizadas con Corpocultura, Policia de Turismo, Municipio de Armenia, Quimbaya y Buenavista para impactar a los jóvenes por medio de las campañas de turismo responsable.</t>
  </si>
  <si>
    <t>meta 114: Se apoyaron veintidos  (22) proyectos y/o actividades de formación, difusión, circulación, creación, investigación, planeación y de espacios para el disfrute de las artes así: 
Dos (2) proyectos, en ejecución, por parte de la Asociación de Músicos Profesionales del Quindío, con el propósito de apoyar las escuelas de formación de los diferentes municipios y realizar conciertos institucionales, didácticos, turísticos y de gala requeridos por el departamento.
Un (1) Proyecto, de exposiciones en artes visuales. 
Dieciocho (18) Proyectos de formación que integran las Primarias Artísticas que  han incorporado a su plan de estudios áreas como música y danza en  instituciones educativas.  Igualmente, se adelantan procesos de formación impartidos en las Casas de la Cultura en àreas como teatro y artes plàsticas, logrando cobertura en todo el territorio quindiano.
Un (1) Proyecto para financiaciòn y promociòn de eventos en todo el departamento del Quindìo.  Información extraida del POAI corte 30 de septiembre teniendo en cuenta que por medio de oficio con radicado SFAM-100-1364 de fecha 18 de octubre de 2018 y recibido el 23 de octubre de 2018, el cual a la fecha de diligenciamiento (22 de noviembre de 2018) no ha sido allegada a la inofrmación solicitada a la Secretaría de Famillia</t>
  </si>
  <si>
    <t xml:space="preserve">                                                                                                                                                                                                                        Meta: 115
A la fecha el proceso de Concertaciòn se encuentra en etapa de adjudicaciòn de recursos. Se beneficiaron veintiocho (28) proyectos.
Meta: 116
A la fecha el  programa departamental de Estímulos a la Investigación, Creación y Producción Artística y Cultural se encuentra en proceso de adjudicaciòn de recursos. Se benefiaràn dieciseis (16) proyectos.   Información extraida del POAI corte 30 de septiembre teniendo en cuenta que por medio de oficio con radicado SFAM-100-1364 de fecha 18 de octubre de 2018  y recibido el 23 de octubre de 2018, el cual a la fecha de diligenciamiento (22 de noviembre de 2018) no ha sido allegada a la información solicitada a la Secretaría de Famillia</t>
  </si>
  <si>
    <t>Meta: 117
A la fecha la convocatoria de emprendimiento cultural se encuentra en proceso de adjudicaciòn de recursos. Se beneficiaron dos (2) proyectos de emprendimiento.
Meta: 119
En el Apoyo a proyectos y/o actividades en gestión, investigación,  protección, divulgación y salvaguardia del patrimonio y diversidad cultural se han adelantdo los siguientes procesos
*Un (1) proyecto de divulgación y salvaguardia del patrimonio y diversidad cultural, consistente en la elaboración de murales para la difusión del Paisaje Cultural Cafetero (PCC) en el Corregimiento de La Virginia del municipio de Calarcá Quindío. 
*Un (1) proyecto para realizar encuentros de Vigias del Patrimonio del departamento del Quindìo.
*Una (1) actividad de formaciòn para el fortalecimiento de fiestas y celebraciones tradicionales de los municipios del Quindìo.                  
*Un (1) proyecto para consolidar el Centro de Documentaciòn del Patrimonio Cultural. Información extraida del POAI corte 30 de septiembre teniendo en cuenta que por medio de oficio con radicado SFAM-100-1364 de fecha 18 de octubre de 2018 recibido el 23 de octubre de 2018 el cual a la fecha de diligenciamiento (22 de noviembre de 2018) no ha sido allegada a la inofrmación solicitada a la Secretaría de Famillia</t>
  </si>
  <si>
    <t>La Oficina Departamental de Juventud cuenta con personal encargado de socializar, verificar la implementación y realizar talleres tendientes a fortalecer y dar cumplimiento a la política pública departamental de juventud adopatada por medio de la ordenanza 032 del 2014.</t>
  </si>
  <si>
    <t>Reporte Universidad Von Humbolt: La Facultad de Ciencias Humanas realizo prácticas en instituciones públicas y privadas atendiendo población de niños y adolescentes
Reporte Universidad del Quindío:
Desde el 2016 la Universidad del Quindío desarrollo los siguientes proyectos de investigación enfocados a las dinámicas juveniles así: 
1) LO AMBIENTAL EN EL PENSAMIENTO DE JÓVENES UNIVERSITARIOS: una experiencia en universidades de Colombia, Bolivia y Ecuador.
2)  Significado del embarazo desde la mirada de las adolescentes
3) Variables motivacionales de la clase de Educación Física en Colombia, España, Argentina y Brasil. Investigaciones que concluirán en el año 2018.
La Universidad del Quindío a través de la Vicerrectoría de Extensión y Desarrollo Social ha implementado acciones encaminadas a fortalecer la dinámica de la Educación Continuada. En coordinación con las Facultades, unidades administrativas y/o la Vicerrectoría, se ha mejorado la oferta de servicios de educación no formal dirigida a estudiantes, administrativos, docentes y/o egresados, desde la experiencia en formación y de acuerdo a las necesidades del entorno.
La Vicerrectoría de Extensión y Desarrollo Social, partiendo del compromiso adquirido por la Universidad en el proceso de implementación de nuevas plataformas, da inicio a la adaptación de todos estos recursos, en la modalidad educativa denominada Educación Continuada, con el fin de contribuir a la composición académica del paquete diverso que constituye la oferta de estas actividades. De manera que se pueda poner a disposición de los estudiantes y docentes la posibilidad de complementar, actualizar y suplir sus conocimientos en temas específicos, pero bajo una estructura reglamentada de educación no formal. De los 269 proyectos de extensión se identificaron 214 de educación continuada, lo cual equivale a un 79.6% del total.  De ellos se sacaron una serie de pilotos que sirvieron como soporte en el proceso de implementación del sistema, logrando culminar alrededor de 30 casos exitosos entre los que se puede destacar los Diplomados del Instituto de Bellas Artes, Inglés (Presencial, Sábados y Niños), Docencia Universitaria, Semillero Universitario y Prosaber, entre otros. Los eventos que mayor representatividad presentaron durante el 2017 corresponden en un 47.7% a Seminarios – Capacitaciones, el 27.6% a cursos y el 24.8% a Diplomados.
En la clasificación de cursos y diplomados el mayor porcentaje corresponde a la modalidad de extensión remunerada. De igual manera, se desarrolló propuesta para el desarrollo del Diplomado de Liderazgo y ciclo de eventos de desarrollo personal, liderazgo y emprendimiento, para ser desarrollados en la vigencia 2018.
Durante la vigencia 2017, el equipo profesional de la Unidad de Emprendimiento, Desarrollo Empresarial y Negocios – UEDEN-, ha realizado proceso de asesoría y consejería a 100 ideas de negocios, relacionadas con apuestas productivas de la región, para un total de 136 personas asesoradas.
El Centro de Estudios y Prácticas Pedagógicas y Sociales CEPAS es un laboratorio de práctica para todos los programas de la Universidad constituyéndose en una unidad de extensión y proyección social de la Universidad del Quindío, creado con el principal propósito de ser un espacio Socio-pedagógico que fortalecido desde el conocimiento, la investigación y las prácticas, beneficie el proceso integral de la población infantil y adolescente socialmente vulnerable, principalmente trabajadores en situación de peligro y desvinculados del conflicto armado, es por esto que en el 2017 la se atienden a los beneficiarios de cada modalidad mediante intervención interdisciplinaria individual, familiar y acompañamiento para resolver las situaciones que dieron origen para el ingreso al proceso administrativo de restablecimiento de derechos y se logró disminuir la deserción estudiantil de los beneficiarios de los programas.
En el 2017 se desarrolló una estrategia de prevención con la cual se busca contribuir a la generación de espacios de reflexión y acciones de promoción de entornos protectores con padres, madres, cuidadores, docentes y agentes educativos, como agentes de transformación y desarrollo social, que les permita comprender sobre la forma como se establecen sus dinámicas familiares se adaptan a los cambios propios de la dinámica familiar, reconocen sus capacidades y recursos para superar los desafíos que surgen y construyen relaciones armónicas y pacíficas.
Finalmentel, desde la Secretaria del Interior se cuenta con el observatorio del delito, el cual viene realizando acciones de investigacion con el Sistema de Responsabilidad Penal para Adolescentes.
Los grupos en formación estan conformados por personas adultas mayores de 23 años en temas de Administración Pública.</t>
  </si>
  <si>
    <t xml:space="preserve">El Departamento cuenta con 12 plataformas juveniles, las cuales, se constituyen en veedurías, según registros de inscripción ante personerías municipales, encargadas entre otras, del proceso de control social y seguimiento frente a la implementación de agendas juveniles en los municipios y el Departamento. 
</t>
  </si>
  <si>
    <t>La Secretaría de Planeación Departamental reportó que durante el primer semestre del año 2017, el funcionamiento del Observatorio se desarrolló con el apoyo de pasantes y practicantes que sirvieron de apoyo en la revisión de elementos fundamentales para la reorientación del Observatorio de acuerdo con la meta de producto establecida en el Plan de Desarrollo. Para ello, se planeó en el primer semestre una revisión de los indicadores y variables de las Metas de Resultados y los problemas del departamento; así como la información cargada dentro del SIG Institucional, para contar con los elementos que harán parte del sistema de información del Observatorio. De esta forma, con el propósito de maximizar los recursos asignados para el proyecto, se tienen planeados su ejecución en el segundo semestre del año,  con el apoyo de un contratista en la consolidación de la información estadística y de los productos de la vigencia y a partir del mes de agosto se contó con el apoyo del ingeniero programador para el desarrollo del sistema de información.  además se socializó con plataformas de juventud y alcaldías todo lo atinente con Política Pública de juventud.</t>
  </si>
  <si>
    <t>EL 2 de febrero de la presente vigencia la Oficina de Juventud realizó la Asamblea Departamental de Juventud, siendo este el máximo espacio de consulta, rendición de cuentas y socializacion de las actividades realizadas para los jóvenes, además 6 municipios reportan la realización de Asambleas Municipales ( Armenia, Calarcá, Córdoba, La Tebaida, Montenegro,  y Salento, respectivamente). Para el segundo semestre se realizó la Asamblea Departamental de Juventud en las instalaciones del salon Bolivar en el piso 4 de CAD el día 19 de julio.</t>
  </si>
  <si>
    <t>Las casas de la juventud, en cuanto espacios de infraestructura provistos para el desarrollo de esta población, es de tener en cuenta que todos los municipios cuentan con infraestructura para este fin. Sin embargo, en consideración a las casas de la juventud que fueron entregadas en comodato con fecha del año 2000, sólo la del municipio de Armenia y La Tebaida funcionan adecuadamente, en el resto de municipios se han acondicionado casas de la cultura y otros centros, para tales fines. De igual forma, la oficina de juventud del departamento ha venido realizando encuentros con plataformas alrededor de proyectos de utilización y mejoramiento de casas de la juventud especialmente en los municipios de Armenia, La Tebaida y Pijao.</t>
  </si>
  <si>
    <t xml:space="preserve">A la fecha la ley 1885 del 01 de marzo del 2018, reglamenta la elección de los consejos municipales de juventud, dándole al consejo nacional electoral y a la registraduría un periodo de dos años para la realización de las elecciones, siendo esta institución la responsable de realizar el proceso. Sin embargo, todos los municipios cuentan con espacios de participación juvenil que suplen algunas funciones de los CMJ. </t>
  </si>
  <si>
    <t>Todos los municipios del Departamento cuentan con plataformas juveniles, las cuales se encuentran debidamente registradas ante personerías municipales y operando a través de sus respectivas agendas. Además el día 7 de junio se constituyó la Plataforma Departamental de juventud la cual se encuentra reconocida y registrada en la Procuraduría General de la Nación regional Quindío</t>
  </si>
  <si>
    <t>Se realizaron un total de 11 Asambleas Juveniles, al momento, dos Departamentales y 6 en los municipios de Armenia, Calarcá, Córdoba, La Tebaida, Montenegro,  Salento,  Buenavista,  Filandia  y Circasia, respectivamente. Y dos asambleas departamentales cumpliendo con lo establecido en el estatuto de ciudadanía juvenil</t>
  </si>
  <si>
    <t>0.8</t>
  </si>
  <si>
    <t>6.5</t>
  </si>
  <si>
    <t>22.5</t>
  </si>
  <si>
    <t>0.9</t>
  </si>
  <si>
    <t>8.7%</t>
  </si>
  <si>
    <t>7.5</t>
  </si>
  <si>
    <t xml:space="preserve">164.200.000  / aportado por sec de industia y comercio  / 415.120.588  aportado por la sec de agricultura </t>
  </si>
  <si>
    <t xml:space="preserve">139.334.000 ejecutados por sec de industria y comercio  / 170.583.776 aportado por la sec de agricultura </t>
  </si>
  <si>
    <t>meta 65: $6.437.930.092
meta 66: $11.013.055.420.24
meta 67: $1.300.000.000</t>
  </si>
  <si>
    <t>meta 65: $2.690.516.005
meta 66: $7.974.450.790
meta 67: 0</t>
  </si>
  <si>
    <t>Meta 68: $25.000.000
Meta 69: $5.000.000
Meta 72: $5.000.000
Meta 73: $15.080.000</t>
  </si>
  <si>
    <t>Meta 68:  $4.405.000
Meta 69: $4.400.000
Meta 72: 0
Meta 73: $15.900.000</t>
  </si>
  <si>
    <t>actividades realizadas con presupuesto propio de las universidades</t>
  </si>
  <si>
    <t>n/A</t>
  </si>
  <si>
    <t>84 millones</t>
  </si>
  <si>
    <t xml:space="preserve">84 millones </t>
  </si>
  <si>
    <t>En la actualidad el departamento del Quindío cuenta con 7 políticas públicas, las cuales son: el municipio de Armenia, Calarca,  Filandia,  Circasia, Salento, Buenavista y el departamento del Quindío. Los municipios de Quimbaya, Montenegro, Calarcá,  La Tebaida y Córdoba se encuentran en proceso de construcción del diagnostico social situacional para lograr formular la política y su posterior adopción.</t>
  </si>
  <si>
    <t>Actualmente la matriz estratégica de planificación de la política pública de juventud se encuentra 100% armonizada con el plan de desarrollo en defensa del bien común 2016-2019, por otro lado se socializo  ante el consejo de política social los avances del proceso de implementación de la política en septiembre de la presente vigencia. Ademas se socilizo y valido el documento de ajuste a politica publica.</t>
  </si>
  <si>
    <t>Actualmente la secretaría de familia a través de la oficina de juventud lidera el sistema departamental de juventud el cual está conformado por  12 plataformas, Asamble de Juventud finalmente la oficina de juventud con el propósito de dar cumplimiento a la ley 1885 conformó la plataforma departamental de juventud y reglamento la comisión de concertación y decisión</t>
  </si>
  <si>
    <t>El Proyecto "Desarrollo de capacidades de I+D+i para incrementar la competitividad en empresas y emprendimientos del Departamento del Quindío, Occidente", se encuentra en su fase de cierre, hasta la fecha se han realizado las siguientes gestiones:
* Se ha fotalecido el Proyecto de I+D+i "Desarrollo de capacidades de I+D+i para incrementar la competitividad en empresas y emprendimientos del Departamento del Quindío, Occidente", mediante la puesta en marcha de las salas de ideación con 250 personas beneficiadas, con espacios propicios para el desarrollo de capacidades de I+D+I.
* Se logró la puesta en marcha de la sala de coworking, un espacio adecuado para el trabajo colaborativo donde empresarios y emprendedores pueden adelantar sus procesos cretivos y empresariales.</t>
  </si>
  <si>
    <t xml:space="preserve">
El reporte de 2018 fue una tasa de 21%, sin embargo 2019 aun no ha arrojado ningun reporte.
Meta 38:
Actualmente las rutas competitivas de Cafés Especiales (Kaldía), Turismo (Tumbaga) y Cueros (Artemis) ya se encuentran conformadas, para la vigencia 2019 se está diseñando la estrategia para el fortalecimiento de estas y su respectivo plan de acción.
* Ruta de Cafés Especiales:
- Promover actividades para fomentar el consumo de Café de Origen Quindío a través de 35 eventos de catación, charlas y degustaciones, actividades marketing digital y construcción de la página web del clúster de cafés especiales.
* Ruta de Cueros de Alta Gama (Ärtemis):
- Se apoyaron 5 empresarios de la ruta competitiva de cueros a través de la participación en la Feria del cuero, o el International Footwear and Leather Show, evento que reune a los empresarios más importantes de la industria y que se constituye en la vitrina más importante del sector de cueros en el país.
Meta 39:
Desde el año 2016 se vienen acompañando las iniciativas clúster de TICs, Construcción y Turismo de Salud y Bienestar, las cuales requieren acompañamiento permanente de la Secretaría con el objetivo de apoyar su fortalecimiento y consolidación.
* Actualmento los clusters (Salud y Bienestar, TICs y Construcción), se encuentran en proceso de implementación mediante el acompañamiento a la elaboración y ejecución de la estrategia de fortalecimiento para el año 2019.
* En el mes de mayo se logró el reconocimiento por parte de la Red Clúster Colombia de los clústers Quindío Destino Vital (Salud y Bienestar) y Quindío Construye Verde (Construcción), esto gracias al trabajo articulado con los empresarios de estos 2 sectores estrátegicos de la economía del Departamento.  38 empresas del Departamento beneficiadas con este reconocimiento.
* Se acompañó la rueda de relacionamiento del Clúster Quindío Destino Vital, con la cual las empresas de este clúster pudieron dar a conocer sus servicios y productos, además de promocionar su nuevo sitio web www.quindiodestinovital.com, con el cual inician proceso de ventas en linea de los servicios de estas empresas.
* Se apoyo la realización de OFETIC, evento liderado por el Cluster de TICs, en el cual las empresas pudieron realizar una feria comercial con el fin de dar a conocer sus servicios en tecnologia, adicionalmente en el marco de este evento se desarrolló una agenda con foros y talleres sobre la Transformación Digital, el evento tuvo el acompañamiento del Colombia Productiva.
Meta 40:
Se suscribe el convenio 009 de 2019 entre el Departamento del Quindío y la Universidad La Gran Colombia, para el fortalecimiento de los procesos de investigación aplicada del Centro Grancolombiano del Paisaje Cultural Cafetero.  Este convenio permitirá el fortalecimiento y reconocimiento de este Centro como ente fundamental para la generación de instrumentos de planificación territorial entorno a la declaratoria, atributos y valores del PCC.
* En el marco del convenio 009 de 2019, el Centro Gran Colombiano del PCC, en la primera fase de ejecución, realizó un proceso para determinar el estado de los atrbutos y valores del PCC en los municipios del Quindío, esto con el fin de validar el estado real de la declaratoria y establecer las acciones emprendidas por los gobiernos municipales y departamental frente al fortalecimiento de la declaratoria.  Actualmente se viene ejecutando la segunda fase, la cual esta orientada al desarrollo de los instrumentos de planificación territorial a partir de la información recopilada en la primera fase.
Meta 42:
El Proyecto "Desarrollo de capacidades de I+D+i para incrementar la competitividad en empresas y emprendimientos del Departamento del Quindío, Occidente", se encuentra en su fase de cierre, hasta la fecha se han realizado las siguientes gestiones:
* Se ha fotalecido el Proyecto de I+D+i "Desarrollo de capacidades de I+D+i para incrementar la competitividad en empresas y emprendimientos del Departamento del Quindío, Occidente", mediante la puesta en marcha de las salas de ideación con 250 personas beneficiadas, con espacios propicios para el desarrollo de capacidades de I+D+I.
* Se logró la puesta en marcha de la sala de coworking, un espacio adecuado para el trabajo colaborativo donde empresarios y emprendedores pueden adelantar sus procesos cretivos y empresariales.</t>
  </si>
  <si>
    <t xml:space="preserve">2.1.2: observacion: 4 unidades apoyadas por sec   de agricultura y 2.5 apoyadas por sec de industria y comercio </t>
  </si>
  <si>
    <t xml:space="preserve">
2.1.3: observacion 2.5  unidades apoyadas por sec de industria y comercio  y 20 unidades apoyadas por sec de agricultura </t>
  </si>
  <si>
    <t xml:space="preserve">*Elaboración y aprobación del Convenio 004 de 2019 entre el Departamento del Quindío y COFINCAFE para la implementación del Programa de Gestión Financiera "SOLIDIARIO".
* En total se desembolsaron $591.00.000 de pesos, beneficiando a 253 micros y pequeños empresarios de 11 municipios del Departamento del Quindío, otorgando crédito fácil y a bajo interes para la capitalización de sus unidades productivas, distribuidos así: 
Armenia 96 beneficiarios.   Quimbaya 35 beneficiarios.  Tebaida 30.   Filandia 28.   Calarcá 24.   Montenegro 16.   Circasia 14.   Buenavista 4.   Salento, Córdoba y Pijao 2 beneficiarios cada uno. </t>
  </si>
  <si>
    <t>Se realizo capacitación a 200  jóvenes y mujeres rurales en actividades agrícolas y no agrícolas  como asociatividad, emprendimiento, Matrices de costos de producción, finanzas y aseguramiento de la calidad, Elaboración de estrategias y alternativas de fortalecimiento organizacional en el área administrativa, Educación financiera, Escala de precios de productos, importancia de la asociatividad, “¿Un sector agropecuario en el Quindío, es posible?”, aumentando así su competitividad . Calarca 80, Tebaida 86, Armenia 34.</t>
  </si>
  <si>
    <t>Para el apoyo de las unidades de emprendimiento de jóvenes emprendedores, se implementan cuatro (4) módulos: 1- Modelo de negocios.  2- Mercadeo y Costos.  3- Herramientas Digitales y 4- Planeación Estrategica.  Para el año 2019 se vienen acompañando las siguientes unidades de emprendimiento:
* La Crespita (Diana María Acevedo): Diagnóstico empresarial, modelo CANVAS, mapa de empatía, herramientas digitales (Fan page FAcebbok, Instagram, Whatsapp Bussines, manejo de bases de datos y mailship, participación en feria comercial.
* Guaduarte (Laura Catalina Arteaga): Diagnóntico empresarial, planeación estrategica, herramientas digitales (Fan page FAcebbok, Instagram, Whatsapp Bussines, manejo de bases de datos y mailship.
* Sanciara( Lida Raquel Cuello): Diagnóntico empresarial, planeación estrategica, herramientas digitales (Fan page Facebbok, Instagram, Whatsapp Bussines y plataforma vendes fácil, costeo de productos y estructura financiera.
* Apoyo en la participación de 31 empresarios del sector artesanal en la feria "Exposisción Artesanal de Armenia".
* Realización de Festival al Parque con la participación de 238 emprendedores de todo el Departamento.</t>
  </si>
  <si>
    <t>El Ecosistema se encuentra diseñado desde el 2016, a través de este se ejecuta la estrategia "En el Quindío Sí Hay Empleo" en el marco del Convenio J074 suscrito entre el Departamento del Quindío, el Municipio de Armenia y el SENA, con el cual se da funcionamiento al Centro de Empleo de Armenia Para el Quindío.  A través del cual se han realizado las siguientes gestiones:
* Realización Rueda de empleo de la Mujer: 
    -199 mujeres atendidas, 
    - 181 preseleccionadas, 
    - 42 nuevas inscritos en el Servicio Público de Empleo.
* Capacitaciones:
    - Armenia: 47 personas capacitadas en temas de empleo y emprendimiento.
    - Circasia: 4 personas capacitadas en temas de empleo y emprendimiento.
    - Montenegro: 8 personas capacitadas en temas de empleo y emprendimiento.
    - La Tebaida: 34 personas capacitadas en temas de empleo y emprendimiento.
* Capaticaciones:
   - Quimbaya 11 personas capacitadas en temas de empleo y emprendimiento.
   - Calarcá 11 personas capacitadas en temas de empleo y emprendimiento.
   -Génova 17 personas capacitadas en temas de empleo y emprendimiento.
*Consolidado Centro de Empleo (30/09/2019)
   - 2024 personas colocadas
   - 1558 personas registrada
* Realización del 2do Congreso Latinoamericano de Emprendimiento - EmprendeLAC 2019:
   - 7023 asistentes.
   - Rueda de negocios con ventas de 362.000.000
   - Participación de 15 emprendedeores en muestra empresarial.</t>
  </si>
  <si>
    <t xml:space="preserve">META 65:Se  viene Implementando el programa que permite garantizar el acceso y la permanencia de niños, niñas y jóvenes en  las 54  Instituciones Educativas oficiales de los 11 municipios no certificados del Departamento del Quindio, con la prestacion del servicio de  seguridad y el servicio del aseo   en sus instalaciones.  La cobertura educativa es de  39.688 estudiantes.    Información extraida del  Sistema de Información de Matriculas -SIMAT-
META 66: Se viene Implementando  el Programa de Alimentación Escolar (PAE), beneficiando a   28.493 estudiantes en  las 54  Instituciones Educativas oficiales de los 11 municipios no certificados del Departamento del Quindio,  Entregándose:
- Almuerzo preparados en sitio  315.392
- Complemento preparado en sitio 122.439
-   Industrializado 310.670
META 67: No se ha implementado el programa de Transporte Escolar,   toda vez que los municipios se encuentran en el proceso de envío de informes de cierre de la vigencia anterior. Así mismo está en proceso la justificación de la necesidad por cada municipio y el envío de los soportes documentales para el desarrollo de la minuta de los convenios de transferencia.
</t>
  </si>
  <si>
    <t>Durante el I Trimestre del año 2018, la Secretaría de Educación Departamental viene atendiendo la pobvlación estudiantil mediante 8 modelos flexibles:
Programa para jóvenes en extraedad y adultos - Media rural - Escuela nueva - A Crecer - Caminar en Secundaria - Post primaria - Flexible Pensar - Aceleración del aprendizaje
68: A través de los diferentes ciclos de la educación adulta ofrecidos por la Secretaría de Educación Departamental, durante la vigencia  se atendieron en promedio 2539 personas de la población adulta del departamento.   Información extraida del  Sistema de Información de Matriculas -SIMAT-
69:Se viene implementando la estrategia que ha permitido disminuír la tasa de analfabetismo en los municipios del Departamento, La secretaria de educacion se encuentra en el proceso de consolidacion de matricula y busqueda de adultos.
72:Se han atendido un total de 199 menores y/o adultos que se encuentran en riesgo social en conflicto con la ley penal,  vinculandose academicxamente asi: 
* 72 jovenes en la sede educatiiva la primavera (privados de la libertad), de Montenegro, en cada uno de los niveles en que se encunetran, SRPA . 
*  18  jovenes matriculados con  medida no privativa en el Instituto Calarca y  77   niñas, niños, adolescentes y jovenes en  proteccion. 
* 32 niñas en el programa de proteccion en la I.E San Vicente de Paul  de Genova.
Se realizo capacitacion en la estartegia pedagogiica al grupo de docentes y se esta organizando el sisitema de evaluacion. 
73:Se continua con el apoyo en la asistencia tecnica, seguimiento y control de los procesos desarrollados en la atencion  de los estudiantes de los establecimientos Educativos  no certificados, que reportan Discapacidad,  capacidades  y talentos excepcionales. Se han realizado asesoria y orientaciones a docentes de aula frente a la actual normatividad 1421 y sus lineamientos, en estrategias del DUA (Diseño Universal del Aprendizaje) y en la eecucion del PIAR (Plan de Ajustes Razonables).
Se continua con la contratacion de 31  profesionales de apoyo pedagogico para 27 isntituciones educativas oficiales del departamento, 7 apoyos pedagogicos para estudiantes sordos de primaria con perfil de  modelos linguisticos a 7 instituciones educativas, 6 apoyos pedagogicos para estudiantes sordos de secundaria con perfil de  interpretes de LSC a 6 instituciones educativas,  1 un tiflologo para el apoyo pedagogico de estudiantes con discapacida visual, 1 un psicologo itinerante para la identificacion de posibles estudiantes con discapacidad, capacidades y talentos excepcionales, 2 docente bilingues biculturales para la enseñanza de las dos lenguas el casteñano y la lengua de señas colombiana (LSC).
Se realizo un evento artistico cultural en el municipio de montenegro, en el cual se realizo presentaciones artisticas de tos estudiantes que presentan discapacidad, capacidades y talentos excepcionales</t>
  </si>
  <si>
    <t xml:space="preserve"> universidad del quindio 1877 /  corporacion universitaria Alexander Vond Humbolt  312:    total 2189 ESTUDIANTES INGRESADOS A LA EDUCACION SUPERIOR
A la fecha no se tiene el dato de número  de estudiantes que ingresarón a la educación superior, sin embargo el gobierno Departamental 2016 - 2019 "Quindío Si para Ti", viene contribuyendo al acceso y permanencia de los estudiantes egresados de las instituciones Educativas Oficiales del Departamento Así:
META 105: Se continua  fortaleciendo el proceso de Articulacion en las cuarenta  y nueve (49) instituciones educativas con el programa de articulación con el SENA y las catorce (14) Instituciones Educativas que  están articuladas con el Instituto de educación técnica Profesional de Roldanillo - INTEP por medio del cual están matriculados en el tercer semestre del ciclo tecnico profesional  Trescientos setenta  (370) estudiantes de educación media en programas de nivel técnico profesional.
CALARCÁ:  Instituto Tecnologico,  Baudilio Montoya,  San Jose, Instituto Calarca, Jesus Maria Morales, Segundo Henao, Robledo,  General Santander, Rafael Uribe Uribe, Antonio Nariño, San Bernardo, San Rafael, Roman María Valencia
CIRCASIA: Libre, Luis Eduardo Calvo Cano, San José, IMET
GÉNOVA: San Vicente de Paul, Instituto Génova
LA TEBAIDA: Gabriela Mistral, Inst. Tebaida, La Popa, Santa Teresita, Antonio Nariño, Luis Arango Cardona, Pedacito de Cielo
MONTENEGRO: General Santander, Fundadores, Inst. Montenegro, Santa Maria Gorretti, Marco Fidel Suarez
PIJAO: Santa Teresita, La Mariela, Luis Granada Mejia, Inst. Pijao
QUIMBAYA:  Mercadotecnia María Inmaculada, Policarpa Salavarrieta, Ramon Messa Londoño, El Naranjal, Inst. Quimbaya, Simón Bolivar, El Laurel
SALENTO:Liceo Quindío, Boquia
CÓRDOBA: José María Córdoba
FILANDIA: San Jose Fachadas, Francisco Miranda
BUENAVISTA: Inst. Buenavista
 En los siguiente Progrmas academicos y Numero de estudiantes:
 EN CONTABILIDAD Y COSTOS 28.
 EN PROCESOS ADMINISTRATIVOS 218
. EN PROCESOS AGROINDUSTRIALES 31
. EN PRODUCCIÓN AGROPECUARIA 36
 EN PRODUCCIÓN GRÁFICA 112
TOTAL 425
META107:El programa de acceso y permanencia a la educación superior se encuentra implementado a través del otorgamiento de beneficio económico a estudiantes para cursar estudios universitarios. 
En el primer trimestre de 2019 se aprobaron beneficios a 51 estudiantes de los cuales 32 iniciaron estudios y se encuentra en proceso el giro de los recursos.
Se giró el pago de la cuota del bien inmueble de la Institución Edcativa Colegio San Jose del Municipio de Circasia
NO SE TIENE CLARO EL TOTAL PUESTO QUE NO TODAS LA UNIVERSIDADES RESPONDIERON, POR LO TANTO ES IMPOSIBLE CALCULAR LA TASA</t>
  </si>
  <si>
    <t>7336: NUMERO DE ESTUDIANTES QUE OPTARON POR LA DESERCION ESCOLAR SEGUN LA UNIVERSIDAD DEL QUINDIO, SIN MEBARGO NO TENEMOS EL TOTAL PARA DETERMINAR LA TASA
Es de aclarar que estos indicadores son propios de las instituciones de Educación Superior, si embargo la SED aporta a través del programa de alimentación escolar universitaria a contra-restar la deserción en el nivel superior.
Meta 106: Para la implementación del Programa de Alimentación Escolar Universitario PAEU, se dió inicio al proceso precontractual del convenio de asociación celebrado entre el departamento del Quindío y la fundación providencia 2000 de acuerdo al calendario Academico de la Universidad del Quindio
NO SE TIENE CLARO EL TOTAL PUESTO QUE NO TODAS LA UNIVERSIDADES RESPONDIERON, POR LO TANTO ES IMPOSIBLE CALCULAR LA TASA</t>
  </si>
  <si>
    <t>Es de aclarar que estos indicadores son propios de las instituciones de Educación Superior, si embargo la SED aporta a través del programa de alimentación escolar universitaria a contra-restar la deserción en el nivel superior.
Meta 106: Para la implementación del Programa de Alimentación Escolar Universitario PAEU, se dió inicio al proceso precontractual del convenio de asociación celebrado entre el departamento del Quindío y la fundación providencia 2000 de acuerdo al calendario Academico de la Universidad del Quindio</t>
  </si>
  <si>
    <t xml:space="preserve">Es de aclarar que estos indicadores son propios de las instituciones de Educación Superior, si embargo la SED aporta a través de dos metas productos del plan de desarrollo como apoyo a  mejorar los indices de aceso y permanencia en la educación superior. REPORTE DE NUEVOS BACHILLERES: 16493 universidad del quindio / corporacion universitaria Alexander Vond Humbolt  1177 / total : 17.670 </t>
  </si>
  <si>
    <t xml:space="preserve">Desarrollo de certificación de agentes en salud sexual y reproductiva, en alianza con el ICBF
Desarrollo de mesas con las diferentes instituciones a fin de realizar asesoría técnica frente al plan de acción Departamental de Sexualidad Derechos Sexuales y Reproductivos y sucomite de ITS-VIH
El 18 de Julio de 2019 se realiza el 5to Taller de agentes comunitarios TB/VIH en el Instituto INEC 
Mesa de trabajo con  programa TB  en donde se socializa el seguimiento de las UDAS y se verifican las acciones establecidas desde el programa, con relación al plan de acción
El 1 de agosto se realiza Capacitación en Servicios amigables y veedurías juveniles a las instituciones del sector salud </t>
  </si>
  <si>
    <t xml:space="preserve">se desarrolla la estrategia en actividad fisica  del programa de habitos y estilos de vida saludable palpita quindio, donde Se suscribió el convenio No 270 de 2019 con Coldeportes para fortalecer este proyecto.  se estan atendiendo 11 municipios del departmaento del quindio puesto que armenia tiene programa propio atendiendo una poblacion promedio de 1500 usuarios en grupos tanto regulares como no regulares. </t>
  </si>
  <si>
    <t>EL Subprograma de Maternidad Segura de la Secretaria de Salud Departamental, realizo actividades articuladas con varios sectores que determinan los factores estructurales y sociales de la salud, basado en educacion en salud, incluyentes, apuntalando los derechos sexuales y reproductivos , que hacen parte de los derechos primarios ,  vizibilizarndo los grupos vulnerables culturalmente, apostandole a una sociedad mas incluyente y a categorizar la dignidad humana ,como requisito unico para la igualdad en la raza humana, estas actividades las realizamos en los doce municipio de nuestro departamento,pero solo en 8 de estos dejamos estructura para replicar esa culturizacion- Nostros como Maternidad segura tenemos el proyecto para la proxima administracion la creacion de un grupo multidiciplinario e intersectorial (secretaria de salud, familia, educacion, icbf, procuraduria de familia, defensoria del pueblo, fiscalia) aunados a la estrategia zoe(zona de orientacion escolar) para intervenir a cada institucion, por untiempo de 10 semanas, para impactar positivamente los problemas complejos de interes en salud publica(consumo de spa,prostitucion infantil, tratata de blanca, desercion escolar , explotacion sexual de menores, entre otros-     NOTA -  El indicador Numero de Embarazos en Menores de 20 años , Es de la Meta 134 - LINEA BASE   1.607 EMBARAZOS  Fuente Colombia Joven - Juaco año 2012  - Meta año 2024 &lt; 1.100 Embarazos   AÑO 2018  629 embarazos      AÑO 2019  556 embarazos  mujeres &lt; 20 años</t>
  </si>
  <si>
    <t>Se realizó asistencia tecnica para el proceso de adopcion de la Politica Pública de Salud Mental en el municipio Armenia. se brindaron indicaciones para iniciar el proceso de adopción de la Resolución 089 de 2019 y la Resolución 04886. 
 *Se realizó la recopilacion de los decretos y/o Resoluciones de los municipios faltantes, a la fecha se cuenta con el proceso de adopción de los municipios de Buenavista, Cordoba, Circasia, Genova, Filandia Salento, Montenegro, Quimbaya, La Tebaida y Pijao. 
*Entrenamiento Y Certificación en la Guía de Intervención para trastornos mentales neurológicos y por consumo de Sustancias Psicoactivas  MH-gap  en el primer nivel de atención en Salud; 7 sesiones,  se cuentó con la participación de IPS de Primer Nivel, Planes Locales de Salud, Universidades Publicas y Privadas entre otras instituciones . en total se certificaron 32 profesionales del Departamento</t>
  </si>
  <si>
    <t xml:space="preserve">103 Intervenciones de Enero de 2019 al 30 de Abril de las cuales se beneficiaron 79.873 
176 intervenciones del 8 de mayo al 30 de junio, y 279 del 1 de Julio al 31 de Agosto para un total de 455  intervenciones  un total de 114.762  personas intervenidas </t>
  </si>
  <si>
    <t>La ejecución de la Política HAZ PAZ o la que hace sus veces es de liderazgo y responsabilidad de la Secretaría de Familia, el ICBF en su proceso de corresponsabilidad implementa acciones que contribuyen al fortalecimiento de la familia y la construcción de paz, es por ello por lo que durante la vigencia ha desarrollado los programas de FAMILIAS CON BIENESTAR PARA LA PAZ, GENERACIONES CON BIENESTAR, GENERACIONES RURALES CON BIENESTAR y GENERACIONES ÉTNICAS CON BIENESTAR.  Para la vigencia 2019 se proyectó una atención en cupos de población de 6370 usuarios y al cierre del 30 de junio se ha logrado una atención de usuarios de 7349 para una inversión total de $ 297,683,337</t>
  </si>
  <si>
    <t>El responsable no dio reporte de la informacion para esta meta.</t>
  </si>
  <si>
    <t xml:space="preserve">Actividades realizadas por parte de ICBF con operadores para el programa de Generaciones con Bienestar en sus modalidades Étnicas, Tradicional y Rural: 1456. El ICBF tiene la modalidad de atención "Hogar Tutor" es una modalidad de atención para los niños, niñas y adolescentes desvinculados de grupos armados organizados al margen de la ley, en la cual, una familia seleccionada y capacitada, los acoge voluntariamente y se compromete a brindarles el cuidado y atención en sustitución de su familia de origen, para la presente vigencia del segundo trimestre del año 2019 se proyectó una atención de 50 cupos, de los cuales se ha realizado una atención de 47 cupos durante lo corrido del primer semestre. </t>
  </si>
  <si>
    <t>En sesion del Consejo Seccional de estupefacientes  se acordó no emitir un decreto de adopción
al  plan departamental de Drogas del Quindío donde se encuentra inmersa reducción del consumo de sustancias psicoactivas SPA; dado que el Pais cuenta con una nueva Politica de Drogas " Ruta Futuro", Politica Nacional de Salud Mental Resolución 04886 de 2018 y la Resolucíon 089 de 2019 Por la cual se adopta la Política Integral para la Prevención y Atención del Consumo de Sustancias Psicoactivas; De acuerdo  a lo anterior el Plan Integral de Drogas debe ser reformulado con base a estos lneamientos y al nuevo Plan de Desarrollo Departamental
*En el marco del Plan Integral de Drogas (PIDD)  11 municipios han presentado Plan de Acción vigencia 2019
 (Circasia - Montenegro - Córdoba - Filandia - Génova - Quimbaya - Salento-La Tebaida-  Génova - Armenia -Pijao.). De los cuales 7  municipios han enviado seguimiento al Plan de Acción (Montenegro,Circasia, Armenia, Quimbaya,Filandia, Cordoba y Buenavista)
*Realización del III   Comité Departamental de Drogas  con énfasis en Reducción del Consumo de Sustancias Psicoactivas en el cual se socializaron las actividades desarrolladas  en los municipios e instituciones en el primer trimestre en el marco del PDD.</t>
  </si>
  <si>
    <t>No existen reportes de prevalencia del consumo, el ulitmo reporte se dio en 2013:  http://www.odc.gov.co/Portals/1/publicaciones/pdf/odc-libro-blanco/reporte_drogas_colombia_2017.pdf</t>
  </si>
  <si>
    <t xml:space="preserve">NOTA -  El indicador Numero de Embarazos en Menores de 20 años , Es de la Meta 134 - LINEA BASE   1.607 EMBARAZOS  Fuente Colombia Joven - Juaco año 2012  - Meta año 2024 &lt; 1.100 Embarazos   AÑO 2018  629 embarazos      AÑO 2019  556 embarazos  mujeres &lt; 20 años    , Desde ICBF no se cuenta con una meta de atención solo se realiza sensibilización a las Instituciones que requieran la atención   Las actividades ejecutadas se desarrollaron por los enlaces de Niñez y Adolescencia de ICBF, sin contar con la contratación de un operador para este tipo de actividades durante esta vigencia. </t>
  </si>
  <si>
    <t>se viene ejecutando los campamentos juveniles y reforzando gracias a que se suscribió el convenio No 258 de 2019 con coldeportes. El proceso Campamentos Juveniles da inició el mes de marzo con el desarrollo de  talleres de cuidado del medio ambiente, técnicas campamentiles, voluntariado, crecimiento personal entre otros, contribuyendo al desarrollo integral de los jóvenes, beneficiando 358 campistas.  Se desarrollaron las  fases municipales de campamentos juveniles  en los municipios del departamento del quindio, donde el ente Departamental asesoro, acompaño y presto toda la logística para el desarrollo de campamento en sus fases municipales. tambien se llevo a cabo el campamento juvenil en su fase departamental con 257 campistas beneficiados y se escogieron los campistas que nos representaran en octubre en la fase nacional en la guajira.  ademas de esto el IMDERA a beneficiado a 52250 personas  en la ciudad de Armenia entre jovenes y adultos, mediante actividades deportivas, ciclovias, rumba terapias entre otras.</t>
  </si>
  <si>
    <t xml:space="preserve">se han apoyado en total 23 ligas deportivas asi: con contratacion de tecnico departamental, monitores departamentales, equipo biomedico (medico deportologo 347 atenciones, 70 atenciones psicologicas, 369 atenciones con fisioterapia, 52 sesiones grupales), couching motivacional, 18 convenios interadministrativos para apoyo a ligas. ligas beneficiadas. 1. atletismo, 2, Taekwondo, 3. Patinaje,4.Levantamiento de pesas, 5.Fútbol de salón masculino, 6, Limitados cognitivos (Para natación) 7, Judo, 8limitados fisicos (Tenis silla de ruedas) 9, Karate do, 10  Triatlón, 11, Hapkido  12,ciclismo 13.Voleibol, 14.futbol 15, parapowerlifting,  16,futbol sala, convencional y no convencional. 17. Limitados Visuales (judo) 18.Gimnasia, 19.Bolos, 20.ajedrez, 21.balonmano 22,tenis de mesa.  23 tenis de campo. Adicionalmente   se brindó apoyo   profesional en procesos de planeación, jurídicos, técnicos, logísticos y de gestión documental del área técnica las ligas que asi lo requirieron. tambien se apoyo los equipos profesionales de baloncesto (cafeteros), futbol sala (tigres del Quindio) y futbol de salon (caciques del quindio).  se encuentra en procesos las invitaciones publicas y/o licitaciones para garantizar la participacion de la delegacion del quindio en los juegos nacionales y paranacionales 2019, donde se vera el total del porcentaje de cumplimiento financiero. adicional a esto la Universidad del Quindio ha apoyado a 900 deportistas  estudiantes universitarios  por medio de incentivos economicos, ejecutando un aporte propio adicional  de  424.177.637 millones de pesos </t>
  </si>
  <si>
    <t xml:space="preserve"> se han apoyado e incentivado con recurso económico a veintiun  (21) deportistas de las siguientes disciplinas:Ciclismo, Futbol de salon, bolo, bolo discapacidad, Triathlón, levantamiento de Pesas,  Atletismo, Atletismo Discapacidad y tenis de campo discapacidad adicional a esto la Universidad del Quindio ha apoyado a 1755 deportistas  estudiantes universitarios  por medio de incentivos economicos, ejecutando un aporte propio adicional  de  424.177.637 millones de pesos </t>
  </si>
  <si>
    <t>se repite el objetivo de la metas 202/203  con el items 2.5.2  el cual ya fue desarrollado por indeportes según lo detallado en las observaciones , según indeportes en el presente items 2.5.3 se deberia tener como objetivo  Apoyar 13 ligas de los eventos deportivos de carácter federado , nacional y departamental.   relacionado con la meta 204  (se  han apoyado 9 ligas deportivas para garantizar la participacion en eventos federados asi: 1.Levantamiento de pesas, 2.Futbol de salón, 3.Triatlón, 4.Limitados Físicos, 5.Bolo, 6.Hapkido, 7.judo 8.Limitados visuales y 9.limitados Auditivos) (se modifico en base a lo acordado)</t>
  </si>
  <si>
    <t>se repite el objetivo de la metas 202/203  con el items 2.5.2  el cual ya fue desarrollado por indeportes según lo detallado en las observaciones , según indeportes en el presente items 2.5.3  se deberia  tener como objetivo Apoyar los juegos intercolegiados en el Departamento del Quindio  relacionado con la meta  205 ( se ha ejecutado los juegos y se suscribió el convenio con Coldeportes Nacional  No 407 de 2019  se socializaron los juegos superate a los coordinadores de deporte Municipal y los docentes de educación física de las instituciones educativas de los 12 Municipios del Departamento, donde se les explicó el proceso de inscripción en la plataforma del programa www.superateintercolegiados.gov.co, los promotores  contratados por Indeportes Quindío, apoyaron los docentes  inscribiendo los deportistas en cada uno de los deportes de  conjunto (baloncesto, voleibol, fútbol, fútbol de salón  fútbol sala y balonmano) y los deportes individuales (Ajedrez, atletismo, ciclismo, ciclismo BMX, gimnasia, levantamiento de pesas, lucha, natación, para, natación, para atletismo, patinaje, tejo, tenis de campo, tenis de mesa y triatlón), en las categorías infantil prejuvenil y juvenil, ramas femenino y masculino. Se Apoyo la fase Municipal en todos los Municipios y se realizo la fase Departamental con apoyo en logistica, premiacion, juzgamiento, transporte, hidratacion, polizas y alimentacion. y se tiene la delegacion clasificada en deportes de conjunto a la fase regional. ) (se modifico en base a lo acordado)</t>
  </si>
  <si>
    <t xml:space="preserve">1. mejoramiento y mantenimiento del parque de los sueños de la ciudad de armenia 2. Mejoramiento del coliseo cubierto del municipio de circasia 3. mejoramiento del coliseo de la ie robledo sede principal de calarca, </t>
  </si>
  <si>
    <t>Dentro de los proyectos para la mejora de la competitivdad se realizó: 
a.) Primer seminario taller en diseño de paquetes turísticos para el departamento del Quindío
b.) “Desarrollo de  la zona de la Cordillera del Quindío   y Norte del Valle como nuevo destino turístico  mediante el impulso al turismo de naturaleza, diversificando la oferta del destino PCC  y atrayendo nuevos clientes internacionales y nacionales a la región”. (Proyecto de Cooperación Suizo).
Se acompañó en la formulación del proyecto "mejoramiento de la plaza de mercado del Municipio de Pijao", y se prseta asistencia técnica en la formulación del Proyecto gastronómico "Quindío, Café y Sabor".
En el marco del Proyecto de Turismo Responsable, se ha dado continuidad al desarrollo de  las Brigadas de Formalización Turística y desarrollo de la campaña en contra del  ESCNNA (explotación sexual comercial de niñas, niños y adolescentes)
Se presta apoyo a los municipios en fase de la Certificación de destinos sostenibles NTS TS 001-1, mediante procsos de implementación de campañas en contra de la ESCNNA y otros flajelos 
La ejecución de la meta 52, atiende la población económicamente activa, pero es importante aclarar que esta meta no es exclusiva para el segmento de la población joven, por consiguiente la ejecución presupuestal reportada obedece al recurso dispuesto para el financiamiento del total de la meta.</t>
  </si>
  <si>
    <t xml:space="preserve">A corte 30 de septiembre de 2019, se ha apoyado a diferentes actores culturales de manera inclusiva, por tanto dentro de la descripción no se hace diferencia:
Meta 114*Se han apoyado veintinueve (29) proyectos y/o actividades de formación, difusión, circulación, creación, investigación, planeación y de espacios para el disfrute de las artes así: 
Una (1) actividad para apoyar las escuelas de formación en música en los 12 municipios del departamento del Quindío.
Una (1) actividad para realizar conciertos institucionales, didácticos, turísticos y de gala requeridos en todo el departamento del Quindío. 
Un (1) Proyecto de exposiciones en artes visuales desarrolladas en las salas Roberto Henao Buriticá y Antonio Valencia, entre otros. 
Veintiuno (21) proyectos de formación para las Primarias Artísticas que han incorporado a su plan de estudios áreas como música y danza en instituciones educativas.  Igualmente se adelantaron procesos de formación impartidos en las Casas de la Cultura en áreas como teatro, artes plásticas y uno dedicado al fomento de la música afrodescendiente, logrando cobertura en todo el territorio quindiano. 
Un (1) Proyecto para financiación, promoción y difusión de eventos en todo el departamento del Quindío. 
Una (1) actividad para la realización de presentaciones institucionales, didácticas, turísticas y de gala requerida por el departamento en el área de la danza.
Una (1) actividad para adelantar procesos de formación en danza en los 12 municipios del departamento. 
*Se han apoyado cincuenta y cinco (55) proyectos del programa de concertación cultural del departamento; en el marco del proceso de Concertación Departamental se han beneficiaron 31 proyectos y 24 más con relación al programa de Concertación Nacional. </t>
  </si>
  <si>
    <t>Micrositio de la Oficina de juventud actualizado y funcionando donde se exponen todas las acciones desarrolladas desde la oficina, sus comites, asambleas e instancias de validacion y concertacion, ajustes a la politica publica de Juventud terminados y socializados en el Consejo de Politica Social</t>
  </si>
  <si>
    <t>cabe aclarar que la presente informacion es aportada por las universidades del departamento / universidad del Quindio; mediante sus programas de investigacion y patentes ha beneficiado a 18 estudiantes por medio de incentivos economicos, ademas de integrarlos como auxiliares de investigacion, investigadores , auxiliares de docencia, y tutores estudiantiles , en sus facultades de medicina y ciencias de la salud, y el la facultad de ingenieria entre otras, los recursos detallados en este items son propios de la universidad  del Quindio.
18 universidad del Quindio / 2 CUA</t>
  </si>
  <si>
    <t xml:space="preserve">cabe aclarar que la presente informacion es aportada por las universidades del departamento / universidad del Quindio: ha ejecutado diferentes foros , actividades, semilleros encaminados a integrar a los jovenes del departamento a ingresar a la educacion superior, al igual que  el desarrollo de diferentes convenios con universidades nacionales con eñ anhelo  de dar mejor oportunidades a los jovenes de especializarse en su carrera,  entre estas  universidad de caldas, universidad del tolima, uceva, universidad del atlantico entre otras  (los recursos relacionados en este items son propios de la U del Quindio )
4.5 Universidad del Quindio / 3 CUA / TOTAL 7.5 </t>
  </si>
  <si>
    <t xml:space="preserve">Existen doce Plataformas de Juventud Municipales y Una Departamental las cuales tiene como función la Veeduría y Control Social de Políticas Públicas, Planes de Desarrollo, Entre Otros. Se encuentra en ejecucion </t>
  </si>
  <si>
    <t xml:space="preserve">En el Departamento existe un Observatorio Social En donde Se realizan estudios de las dinámicas sociales de jóvenes  s encuentra en ejecucion </t>
  </si>
  <si>
    <t xml:space="preserve">Se han realizado dos Asambleas Departamentales de Juventud en las que se rindieron cuentas de las acciones emprendidas desde la jefatura de juventud en cumplimiento de la politica publica, se realizo una rendicion de cuentas con la platraforma de juventud departamental donde se expusieron las acciones desarrolladas por la Ofician de Juventud </t>
  </si>
  <si>
    <t>En un reciente sondeo realizado por la Oficina de Juventud, se encontro que hay 5 casas de la juventud que en el momento no se encuentran en funcionamiento, o sus espacios fisicos de encuentran destinados a otras actividades.</t>
  </si>
  <si>
    <t>Existen 12 Plataformas Municipales de Juventud en el Departamento inscritas y funcionando</t>
  </si>
  <si>
    <t xml:space="preserve">Se ha realizado una asamblea departamental de juventud y en cada municipio se han realizado las respectivas asambleas de juventud </t>
  </si>
  <si>
    <t>AVANCE TOTAL PPJ</t>
  </si>
  <si>
    <t>META FINAL DE LA POLITICA EN 2024</t>
  </si>
  <si>
    <t>17.5%</t>
  </si>
  <si>
    <t>3.82%</t>
  </si>
  <si>
    <t>48.5%</t>
  </si>
  <si>
    <t>45.9%</t>
  </si>
  <si>
    <t>7.56%</t>
  </si>
  <si>
    <t>por debajo de la tasa nacional</t>
  </si>
  <si>
    <t>por debajo de la prevalencia nacional</t>
  </si>
  <si>
    <t>AVANCE DE CUMPLIMIENTO TOTAL</t>
  </si>
  <si>
    <t>Avance total cumplimiento PPJ</t>
  </si>
  <si>
    <r>
      <t xml:space="preserve">$ 1,000,000
</t>
    </r>
    <r>
      <rPr>
        <sz val="10"/>
        <color rgb="FFFF0000"/>
        <rFont val="Calibri"/>
        <family val="2"/>
        <scheme val="minor"/>
      </rPr>
      <t>$ 2,855,000</t>
    </r>
  </si>
  <si>
    <r>
      <rPr>
        <b/>
        <sz val="10"/>
        <rFont val="Calibri"/>
        <family val="2"/>
        <scheme val="minor"/>
      </rPr>
      <t>Secretaría del Interior:</t>
    </r>
    <r>
      <rPr>
        <sz val="10"/>
        <rFont val="Calibri"/>
        <family val="2"/>
        <scheme val="minor"/>
      </rPr>
      <t xml:space="preserve"> Se realizó asistencia técnica a los doce municipios del departamento del Quindío, con el fin de afrontar las dificultades de orden público generados por el paro nacional que se viene efectuando desde el 28 de mayo, con la realización de mesas de trabajo con los representantes de los diferentes sectores, consejos de seguridad, comités de orden público departamentales con la participación de los 12 alcaldes de los municipios del departamento.</t>
    </r>
  </si>
  <si>
    <r>
      <rPr>
        <b/>
        <sz val="10"/>
        <color rgb="FFFF0000"/>
        <rFont val="Calibri"/>
        <family val="2"/>
        <scheme val="minor"/>
      </rPr>
      <t xml:space="preserve">Secretaría del Interior: </t>
    </r>
    <r>
      <rPr>
        <sz val="10"/>
        <color rgb="FFFF0000"/>
        <rFont val="Calibri"/>
        <family val="2"/>
        <scheme val="minor"/>
      </rPr>
      <t xml:space="preserve">Se brindó asistencia técnica a las instituciones educativas, comunidad, comunidad LGBTI y juntas de acción comunal, en el cumplimiento del código nacional de convivencia y seguridad, así como en la temática de resolución pacífica de conflicto dentro de las comunidades.
Se brindó capacitación y asistencia técnica en coordinación con el ministerio del interior en lo relacionado a la Ley 1801 del 2016 "Código de Convivencia Ciudadana a los funcionarios de la secretarias de gobierno de los 12 municipios del departamento del Quindío"
En total fueron doce (12) municipios asistidos técnicamente.
</t>
    </r>
    <r>
      <rPr>
        <b/>
        <sz val="10"/>
        <rFont val="Calibri"/>
        <family val="2"/>
        <scheme val="minor"/>
      </rPr>
      <t xml:space="preserve">
Secretaría de educación:</t>
    </r>
    <r>
      <rPr>
        <sz val="10"/>
        <rFont val="Calibri"/>
        <family val="2"/>
        <scheme val="minor"/>
      </rPr>
      <t xml:space="preserve"> Continuación al contrato de prestación de servicios para acompañar las Instituciones Educativas oficiales de los municipios de Calarcá, la Tebaida y Montenegro, para el fortalecimiento de la convivencia escolar, en el marco de la ley 1620 de 2013.
</t>
    </r>
  </si>
  <si>
    <r>
      <t xml:space="preserve">$ 2,131,000
$ 57,630,000
$ 9,905,167
</t>
    </r>
    <r>
      <rPr>
        <sz val="10"/>
        <color rgb="FFFF0000"/>
        <rFont val="Calibri"/>
        <family val="2"/>
        <scheme val="minor"/>
      </rPr>
      <t>$ 6,447,50</t>
    </r>
  </si>
  <si>
    <t>Secretaria de Familia
Secretaria de Planeación
Alcaldías Municipales</t>
  </si>
  <si>
    <t>Secretaria de Familia, Secretarías de Planeación
Alcaldías Municipales</t>
  </si>
  <si>
    <t>Consejos de Política Social Departamentales y Consejos de Política Social Municipales.</t>
  </si>
  <si>
    <t>Colombia Joven, Gobernación, Institutos Descentralizados
Alcaldías Municipales</t>
  </si>
  <si>
    <t>Ministerio del Trabajo,               Secretaria de Familia
Secretaria de Planeación
Alcaldías Municipales</t>
  </si>
  <si>
    <t>Secretaria de Planeación Secretaría de Familia
Secretaria de Turismo Industria y Comercio, CODECTY, Camaras de Comercio, Gremios
Dirección Territorial Ministerio del Trabajo.    SENA 
Secretaría de Agricultura
Alcaldías Municipales</t>
  </si>
  <si>
    <t>Secretaria de Planeación Secretaría de Familia
Secretaria de Turismo Industria y Comercio, CODECTI, Camaras de Comercio, Gremios
Dirección Territorial Ministerio del Trabajo.    SENA, Universidades, 
Secretaría de Agricultura
Alcaldías Municipales</t>
  </si>
  <si>
    <t>Secretaria de Turismo Industria y Comercio, CODECTI, Camaras de Comercio, Gremios
Dirección Territorial Ministerio del Trabajo.    SENA, Universidades, 
Alcaldías Municipales, Consejo Regional de Competitividad.</t>
  </si>
  <si>
    <t>Dirección Territorial Ministerio del Trabajo, SENA, Camara de Comercio, Gremios, Consejo Departamental de Política Salarial.</t>
  </si>
  <si>
    <t>Secretaria de Planeación y Planificación
Secretaria de Turismo Industria y Comercio
Secretaría de Educación Municipal
ICBF 
Secretaría de Desarrollo Rural
Ministerio del Trabajo
Alcaldías Municipales</t>
  </si>
  <si>
    <t>Secretaria de Planeación 
Secretaria de Turismo Industria y Comercio
Secretaría de Educación Municipal
Secretaría de Agricultura
ICBF
Ministerio del Trabajo
Alcaldías Municipales</t>
  </si>
  <si>
    <t>Secretaría de Turismo, Industria y Comercio, SENA, Universidades, Gremios, Secretaría de Educación. COPOS</t>
  </si>
  <si>
    <t>Secretaría de Turismo, Industria y Comercio, Camara de Comercio, SENA, Universidades, Gremios, Secretaría de Educación. CONPOS</t>
  </si>
  <si>
    <t>Secretaría de Turismo, Industria y Comercio,  Red Departamental de Emprendimiento, CONPOS</t>
  </si>
  <si>
    <t>Secretaría de Educación Departamental y S.E Municipal.
Alcaldías Municipales</t>
  </si>
  <si>
    <t>Secretaría de Educación
Universidades
Secretaría de Familia
Alcaldías Municipales</t>
  </si>
  <si>
    <t>Secretarías de Salud
Alcaldías Municipales</t>
  </si>
  <si>
    <t>Secretaría de Salud
Alcaldías Municipales</t>
  </si>
  <si>
    <t>INDEPORTES, Alcaldías Municipales, IMDERA</t>
  </si>
  <si>
    <t>Secretaría de Salud Departamental, Secretaría de Salud Municipal .</t>
  </si>
  <si>
    <t>Secretaría de Interior, Secretarías de Gobierno, Policía Nacional, Fiscalía, Comisarías de Familia, ICBF, Instituto de Medicina Legal.</t>
  </si>
  <si>
    <t>Secretaría de Salud
Secretaría del Interior
Secretaría de Educación
Secretaría de Familia
Organismos de Seguridad
Alcaldías Municipales</t>
  </si>
  <si>
    <t>Secretaría de Salud
Secretaría del Interior
Secretaría de Educación
Instituto de Tránsito
Secretaría de Familia
Organismos de Seguridad
Alcaldías Municipales</t>
  </si>
  <si>
    <t>Secretaría de Salud
Secretaría del Interior
Secretaría de Educación
Organismos de Seguridad
Alcaldías Municipales</t>
  </si>
  <si>
    <t>Secretaría del Interior, ICBF, Policía Nacional, Secretaría de Educación.</t>
  </si>
  <si>
    <t>Secretaría del Interior, ICBF, Policía Nacional, CONPOS</t>
  </si>
  <si>
    <t>Secretaría de Educación Departamental, Secretaría de Educación Municipal
Alcaldías Municipales</t>
  </si>
  <si>
    <t>Secretaría de Salud
Secretaría del Interior
Secretaría de Educación
Secretaría de Familia
Organismos de Seguridad</t>
  </si>
  <si>
    <t>Secretaría de Salud
Secretaría de Educación
Secretaría de Familia
ICBF
Alcaldías Municipales</t>
  </si>
  <si>
    <t>Indeportes
Alcaldías Municipales</t>
  </si>
  <si>
    <t>Indeportes
Secretaría de Educación
Universidades, SENA
Alcaldías Municipales</t>
  </si>
  <si>
    <t xml:space="preserve">INDEPORTESs, alcaldias municipales, </t>
  </si>
  <si>
    <t>Secretaría de  Turismo, Industria y Comercio,Secretaría de Cultura, CORPOCULTURA y Alcaldías</t>
  </si>
  <si>
    <t>Secretaría de Cultura</t>
  </si>
  <si>
    <t>Secretaría de Familia
Responsables de comunicaciones</t>
  </si>
  <si>
    <t>Secretaría de Salud
Secretaría del Interior
Secretaría de Educación
Secretaría de Familia
ICBF
Universidades</t>
  </si>
  <si>
    <t>Secretaria de Planeación y Planificación</t>
  </si>
  <si>
    <t>Secretaria de Planeación y Planificación
Secretaría de Familia</t>
  </si>
  <si>
    <t>Secretaría de Familia
Secretaria de Aguas e Infraestructura
Alcaldías Municipales</t>
  </si>
  <si>
    <t>Secretaría de Familia
Alcaldías Municipales</t>
  </si>
  <si>
    <t>PORCENTAJE DE EJECUCIÓN PRESUPUESTAL</t>
  </si>
  <si>
    <t xml:space="preserve">     </t>
  </si>
  <si>
    <t xml:space="preserve">
Se apoyó la implementación de diez (10) Programas de prevención del delito y mediación de conflictos apoyados en el corregimiento de Barcelona (Calarcá): 
- Encuentro multicolor clubes por la vida
- Club de ciudadanos.
-Club de progenitores
- Semillero Cultural
- Semillero deportivo
- Acompañamiento Psicológico
- Barrismo social
- Intervención individual
-Centrros de interes
- Proyectos productivos
Población impactada siete mil cuatro(7.004) personas.
Once (11) municipios con atención integral en su I fase de la vigencia 2019:
1. Circasia: Intervención IE Henry Marín, IE Libre población, Barrio la Esmeralda y Villa Nohemi
2. Calarcá: IE Rafael Uribe Uribe, Robledo, Barrios Llanitos piloto, Llanitos Guárala, la Virginia.
(Barcelona): Intervención en IE San Bernardo, BYI Barcelona, Barrio San Felipe, Barrio Playa Rica.
3. Montenegro: Intervención IE Jesús Maestro, IE Montenegro, IE Caldas, IE General Santander, barrio la Isabella, ciudad alegría,   
4.Filandia: Intervención IE Sagrado Corazón, IE Liceo Quindío, IE Liceo Andino, Barrio Cacique.
5. Pijao: Intervención; IE Pijao, IE María Auxiliadora.
6. Córdoba: Intervención; barrio San Diego, IE José María Córdoba.
7. Buenavista: Intervención Obrero, Nuevo Horizonte, IE Buenavista.
8. Quimbaya: Intervención Villas del Prado.
9. La Tebaida: Intervención IE Antonio Nariño y Luis Arango, Nueva Tebaida II, Nueva Tebaida.
10. Salento: Intervención IE Boquia y Frailejones.
11. Armenia: Buenos Aires Plano, Jardín del Edén, Guaduales del Edén,  vista hermosa, Génesis, Bambusa,Las Palmas, Nureva Esperanza,Nuestra señora la paz  y colinas. 
PISC  se encuentra actualizado , implementado y ejecutado, la secretaria del interior no puede determinar que presupuesto se ha ejecutado hasta el momento ya que se encuentra realizando un seguimiento a la ejecucion de sus metas con el cual va a especificar cuando se a gastado en cada una de las mismas. 
la tasa nacional es de 332, mientras que la departamental es de 200</t>
  </si>
  <si>
    <t>Se garantizaron servicios de apoyo con técnicos para fortalecer el proceso deportivo que adelantan las ligas con los deportistas de altos logros y reserva deportiva  en las siguientes disciplinas: atletismo, balonmano, bmx, bowling, futbol, futbol de salon, hapkido, judo, karate do, levantamiento de pesas, natacion, patinaje, taekondo, tenis de campo. Se esta fortaleciendo el proceso de escuelas de iniciacion con la contratacion de monitores en las siguientes disciplinas deportivas: Armenia  -futbol sala discapacidad, Armenia - futbol sala convencional, Circasia -  levantamiento de pesas, ajedrez, tejo, futbol, gimnasia ritmica, atletismo, convencional y discpaBYad, lucha, bolo, ciclismo, triatlon, tenis de mesa. Adicionalmente  se brindó apoyo   profesional en procesos de planeación, jurídicos, técnicos, logísticos y de gestión documental del área técnica del instituto departamental de deporte y recreación del Quindío Indeportes Quindío. El recurso de rendimientos financieros se va ejecutando a medida que va ingresando el recurso</t>
  </si>
  <si>
    <t xml:space="preserve">Alcaldía de Filandia: En este punto se destaca la atención al grupo de población en situación de discapacidad, con quien se practica diferentes deportes, promoviendo su autoexploración y el mejoramiento de sus capacidades excepcionales.
Alcaldía de Circasia: En la secretaria de gobierno y desarrollo social,con el coordinador de deportes se atendieron 900  jovenes, durante estos dos ultimos tres meses en los siguientes progremas: Voleibol-fulbol, torneo de voleibol, ciclimo y fulbol de salon garantizando los espacios de recreacion para la juventud,domingo activo.
Alcaldía Córdoba: se esta trabajando con los adultos en el grupo de Amor y Vida con un porcentaje de 20 participantes, trabajo interno en elBYA con 13 adultos y externos 36 adultos con actividades Ludicas y Recreativas, juegos tradicionales;  se sigue trabajando con los adultos mayores del grupo Amor y Vida con la participacion de 20 adultos y con los adultos delBYA Hogar Humberto Lopez Vasquez, con la realizacion de actividades  Ludicas y Recreativas, juegos tradicionales.
Indeportes: No Reportó información.
Observación: No se pueden medir el porcentaje de avance de los indicadores., ya que la información suministrada por los responsables no se presenta en la variable adecuada.
</t>
  </si>
  <si>
    <t>Alcaldía de Filandia: En este punto se destaca la atención al grupo de población en situación de discapacidad, con quienes se practican diferentes deportes, promoviendo su autoexploración y el mejoramiento de sus capacidades excepcionales.
Alcaldía de Montenegro: Reporta 250 adultos mayores que dedican como mínimo 150 minutos semanales a la práctica de actividad física aeróbica, de intensidad moderada, o bien 75 minutos de actividad física aeróbica vigorosa cada semana, o bien una combinación equivalente de actividades moderadas y vigorosas.
Alcaldía de Circasia: En la Secretaría de Gobierno y Desarrollo Social, con el coordinador de deportes se atendieron 900  jóvenes, durante estos dos últimos tres meses en los siguientes programas: Voleibol-futbol, torneo de voleibol, ciclismo y futbol de salón garantizando los espacios de recreación para la juventud, domingo activo.
Alcaldía Córdoba: La administración municipal en conjunto con INDEPORTES y el enlace del Adulto Mayor del municipio realizando actividades recreatiavas y lúdicas, juegos deportivos, con la participación de 130 adultos mayores del grupo de Amor y Vida y los adultos delBYA Hogar Humberto López Vásquez.
Alcaldía de la Tebaida: se espera realizar para el próximo trimestre.
Indeportes: Hábitos y estilos de vida saludable a jóvenes. Se han impactado en los municipios de Montenegro, Quimbaya, Pijao, la Tebaida, Calarcá, Circasia, fomentando los hábitos y estilos de vida saludable a través de la promoción de la actividad física regular la alimentación saludable y la protección de espacios 100% libres de humo, impactando aprox 113 jóvenes.</t>
  </si>
  <si>
    <t xml:space="preserve">Con relación al desarrollo de estrategias tendientes a promover la participación ciudadana:
• El departamento en el marco de la  realización de las elecciones legislativas del once (11) de marzo. Se realizó intervención en las emisoras comunitarias en cuyos programas radiales, se socializó la importancia de la participación democrática. Igualmente se socializaron el delito electoral y la forma de realizarlas ante la URIEL (Unidad de Recepción Inmediata para la Transparencia Electoral).
• En el marco de la Política Pública de discapacidad se brindo capacitación en participación ciudadana y control social a dos comités municipales de Circasia y Filandia.
• En el marco de la Política Pública de envejecimiento y vejez se brindó capacitación en participación ciudadana y control social, dirigida a adultos mayores en el BYC de la comuna siete (7) del municipio de Armenia.
• En el marco de la Política Pública de Niños, Niñas y Adolescentes se diseñó una metodología lúdica para realización de talleres acerca de la participación ciudadana con esta población en los municipios de Montenegro y Pijao beneficiado a una población de 86 Niños, Niñas y Adolescentes.  
• Se realizó reunión con los diferentes enlaces de las secretarias de la administración con el fin de articular acciones para la realización de la segunda semana de la participación. Programada del 28 mayo al 01 de junio del presente año.
• Realización de la Secretaria técnica de la Comisión para la Coordinación y Seguimiento de los procesos electorales en: Consulta popular minera del municipio de Córdoba, tres sesiones en los procesos de elecciones legislativas.        </t>
  </si>
  <si>
    <t>se está a la espera de la unificación de la elección  por parte de la autoridad electoral de los CMJ y los BYJ a nivel nacional</t>
  </si>
  <si>
    <t>Por debajo de la tasa nacional (15%)</t>
  </si>
  <si>
    <t xml:space="preserve">PORCENTAJE DE AVANCE TOTAL </t>
  </si>
  <si>
    <r>
      <t xml:space="preserve">Secretaría del Interior: </t>
    </r>
    <r>
      <rPr>
        <sz val="10"/>
        <color theme="1"/>
        <rFont val="Calibri"/>
        <family val="2"/>
        <scheme val="minor"/>
      </rPr>
      <t xml:space="preserve">Se desarrollaron campañas de sensibilización para la prevención del reclutamiento.
</t>
    </r>
    <r>
      <rPr>
        <b/>
        <sz val="10"/>
        <color theme="1"/>
        <rFont val="Calibri"/>
        <family val="2"/>
        <scheme val="minor"/>
      </rPr>
      <t xml:space="preserve">
Secretaría Familia: </t>
    </r>
    <r>
      <rPr>
        <sz val="10"/>
        <color theme="1"/>
        <rFont val="Calibri"/>
        <family val="2"/>
        <scheme val="minor"/>
      </rPr>
      <t>No Reportó información.</t>
    </r>
  </si>
  <si>
    <r>
      <rPr>
        <b/>
        <sz val="10"/>
        <color theme="1"/>
        <rFont val="Calibri"/>
        <family val="2"/>
        <scheme val="minor"/>
      </rPr>
      <t xml:space="preserve">Alcaldía de Circasia: </t>
    </r>
    <r>
      <rPr>
        <sz val="10"/>
        <color theme="1"/>
        <rFont val="Calibri"/>
        <family val="2"/>
        <scheme val="minor"/>
      </rPr>
      <t xml:space="preserve">Cuenta con el Acuerdo Municipal 011 del 29 de mayo de 2015, que adopta la Política Pública de Juventud Municipal "Circasia  para la Juventud" 2015-2024
</t>
    </r>
    <r>
      <rPr>
        <b/>
        <sz val="10"/>
        <color theme="1"/>
        <rFont val="Calibri"/>
        <family val="2"/>
        <scheme val="minor"/>
      </rPr>
      <t xml:space="preserve">Alcaldía de Salento: </t>
    </r>
    <r>
      <rPr>
        <sz val="10"/>
        <color theme="1"/>
        <rFont val="Calibri"/>
        <family val="2"/>
        <scheme val="minor"/>
      </rPr>
      <t xml:space="preserve">Salento cuenta con Política Pública de Juventud vigente (Acuerdo Municipal 013 del 15 de Noviembre de 2017), de igual está articulada al Plan de Desarrollo Municipal "Salento Somos Todos" 2020-2023, en conjunto con otras políticas, planes y proyectos de ámbito social.
</t>
    </r>
    <r>
      <rPr>
        <b/>
        <sz val="10"/>
        <color theme="1"/>
        <rFont val="Calibri"/>
        <family val="2"/>
        <scheme val="minor"/>
      </rPr>
      <t>Alcaldía de Armenia:</t>
    </r>
    <r>
      <rPr>
        <sz val="10"/>
        <color theme="1"/>
        <rFont val="Calibri"/>
        <family val="2"/>
        <scheme val="minor"/>
      </rPr>
      <t xml:space="preserve"> Cuenta con la Política Pública "JÓVENES CONSTRUYENDO CIUDAD 2014-2024" adoptada mediante el decreto 169 del 11 DE febrero de 2015. 
</t>
    </r>
    <r>
      <rPr>
        <b/>
        <sz val="10"/>
        <color theme="1"/>
        <rFont val="Calibri"/>
        <family val="2"/>
        <scheme val="minor"/>
      </rPr>
      <t>Alcaldía La  Tebaida:</t>
    </r>
    <r>
      <rPr>
        <sz val="10"/>
        <color theme="1"/>
        <rFont val="Calibri"/>
        <family val="2"/>
        <scheme val="minor"/>
      </rPr>
      <t xml:space="preserve"> Política Pública adoptada mediante acuerdo muncipal 015 de 2019, en el momento se encuentra en etapa de ejecución. 
</t>
    </r>
    <r>
      <rPr>
        <b/>
        <sz val="10"/>
        <color theme="1"/>
        <rFont val="Calibri"/>
        <family val="2"/>
        <scheme val="minor"/>
      </rPr>
      <t>Alcaldía de Quimbaya</t>
    </r>
    <r>
      <rPr>
        <sz val="10"/>
        <color theme="1"/>
        <rFont val="Calibri"/>
        <family val="2"/>
        <scheme val="minor"/>
      </rPr>
      <t xml:space="preserve">: El municipio de Quimbaya adoptó la política pública de juventud mediante acuerdo municipal 016 de 2019.
</t>
    </r>
    <r>
      <rPr>
        <b/>
        <sz val="10"/>
        <color theme="1"/>
        <rFont val="Calibri"/>
        <family val="2"/>
        <scheme val="minor"/>
      </rPr>
      <t>Alcaldía de Buenavista</t>
    </r>
    <r>
      <rPr>
        <sz val="10"/>
        <color theme="1"/>
        <rFont val="Calibri"/>
        <family val="2"/>
        <scheme val="minor"/>
      </rPr>
      <t xml:space="preserve">: Política Publica de Juventud adoptada por medio de Decreto 087 de diciembre 15 de 2017 "Por medio del cual se adopta la política pública municipal de juventud 2017-2026 Buenavista un lugar para crear, soñar y construir", adicionalmente,  se cuenta con un contratista con funciones de implementar y hacer seguimiento al plan de acción. Asimismo, el plan de acción de la Política Pública de Juventud armonizado con el Plan de Desarrollo Buenavista es lo Nuestro 2020-2023.
</t>
    </r>
    <r>
      <rPr>
        <b/>
        <sz val="10"/>
        <color theme="1"/>
        <rFont val="Calibri"/>
        <family val="2"/>
        <scheme val="minor"/>
      </rPr>
      <t>Alcaldía Génova:</t>
    </r>
    <r>
      <rPr>
        <sz val="10"/>
        <color theme="1"/>
        <rFont val="Calibri"/>
        <family val="2"/>
        <scheme val="minor"/>
      </rPr>
      <t xml:space="preserve"> El municipio de Génova se encuentra en etapa de formulación de la política pública de Juventud                         
</t>
    </r>
    <r>
      <rPr>
        <b/>
        <sz val="10"/>
        <color theme="1"/>
        <rFont val="Calibri"/>
        <family val="2"/>
        <scheme val="minor"/>
      </rPr>
      <t>Alcaldía de Montenegro:</t>
    </r>
    <r>
      <rPr>
        <sz val="10"/>
        <color theme="1"/>
        <rFont val="Calibri"/>
        <family val="2"/>
        <scheme val="minor"/>
      </rPr>
      <t xml:space="preserve"> El municipio actualmente cuenta con una política pública de juventud "activos por la juventud 2022- 2032",aprobada mediante el acuerdo municipal 07 de 08 de septiembre del 2022 y se encuentra en etapa de implementación y seguimiento 
</t>
    </r>
    <r>
      <rPr>
        <b/>
        <sz val="10"/>
        <color theme="1"/>
        <rFont val="Calibri"/>
        <family val="2"/>
        <scheme val="minor"/>
      </rPr>
      <t>Alcaldía de Filandia</t>
    </r>
    <r>
      <rPr>
        <sz val="10"/>
        <color theme="1"/>
        <rFont val="Calibri"/>
        <family val="2"/>
        <scheme val="minor"/>
      </rPr>
      <t xml:space="preserve">: El  municipio de Filandia cuenta con política de juventud adoptada bajo acuerdo N°021 de 2019, cuya medición se realiza en el COMPOS.
</t>
    </r>
    <r>
      <rPr>
        <b/>
        <sz val="10"/>
        <color theme="1"/>
        <rFont val="Calibri"/>
        <family val="2"/>
        <scheme val="minor"/>
      </rPr>
      <t xml:space="preserve">Alcaldía de Pijao: </t>
    </r>
    <r>
      <rPr>
        <sz val="10"/>
        <color theme="1"/>
        <rFont val="Calibri"/>
        <family val="2"/>
        <scheme val="minor"/>
      </rPr>
      <t xml:space="preserve">La Política se encuentra en proceso de formulación.
</t>
    </r>
    <r>
      <rPr>
        <b/>
        <sz val="10"/>
        <color theme="1"/>
        <rFont val="Calibri"/>
        <family val="2"/>
        <scheme val="minor"/>
      </rPr>
      <t>Alcaldía de Córdoba:</t>
    </r>
    <r>
      <rPr>
        <sz val="10"/>
        <color theme="1"/>
        <rFont val="Calibri"/>
        <family val="2"/>
        <scheme val="minor"/>
      </rPr>
      <t xml:space="preserve"> El municipio no cuenta con la política pública de juventud implementada, sin embargo se realizan actividades teniendo en cuenta la Política Departamental de Juventud. 
</t>
    </r>
    <r>
      <rPr>
        <b/>
        <sz val="10"/>
        <color theme="1"/>
        <rFont val="Calibri"/>
        <family val="2"/>
        <scheme val="minor"/>
      </rPr>
      <t>Alcaldía Calarcá:</t>
    </r>
    <r>
      <rPr>
        <sz val="10"/>
        <color theme="1"/>
        <rFont val="Calibri"/>
        <family val="2"/>
        <scheme val="minor"/>
      </rPr>
      <t xml:space="preserve"> POLÍTICA PUBLICA DE JUVENTUDES "LOS JÓVENES SOMOS EL CAMBIO" adoptada mediante el acuerdo 019 del 2018. Se realiza seguimiento semestral, se realiza rendición de cuentas en el marco de la Asamblea y en el COMPOS cuarta sesión realizada el día 20 de diciembre de 2022.
</t>
    </r>
    <r>
      <rPr>
        <b/>
        <sz val="10"/>
        <color theme="1"/>
        <rFont val="Calibri"/>
        <family val="2"/>
        <scheme val="minor"/>
      </rPr>
      <t>Secretaría de Familia:</t>
    </r>
    <r>
      <rPr>
        <sz val="10"/>
        <color theme="1"/>
        <rFont val="Calibri"/>
        <family val="2"/>
        <scheme val="minor"/>
      </rPr>
      <t xml:space="preserve"> Reporta que en el Departamento del Quindío, nueve de los doce municipios cuentan con política pública de juventud formulada y en ejecución. Los municipios que no cuentan con política pública de juventud, son Génova, Córdoba y  Pijao.
</t>
    </r>
  </si>
  <si>
    <r>
      <rPr>
        <b/>
        <sz val="10"/>
        <color theme="1"/>
        <rFont val="Calibri"/>
        <family val="2"/>
        <scheme val="minor"/>
      </rPr>
      <t xml:space="preserve">Consejo municipal de política Social de Filandia: </t>
    </r>
    <r>
      <rPr>
        <sz val="10"/>
        <color theme="1"/>
        <rFont val="Calibri"/>
        <family val="2"/>
        <scheme val="minor"/>
      </rPr>
      <t xml:space="preserve">En lo que va del año se han realizo dos sesiones del consejo de política social (COMPOS), en esta se realizan informes de los avances de las diferentes políticas, entre las acciones está: - El pago de las pruebas ICFES, beneficiando a la población estudiantil y población víctima. - Adquisición de kits escolares para las instituciones educativas, brindando apoyo en la permanencia escolar, además para el apoyo de un grupo de alfabetización. - Apoyo con el pago del transporte escolar para la población estudiantil en beneficio de los jóvenes, niños niñas y adolescentes. - También se realizó La compra de tiquetes intermunicipales favoreciendo a la población estudiantil, víctima, con discapacidad o que necesite alguna ayuda para transportarse a la ciudad de Armenia para alguna cita o control médico.
</t>
    </r>
    <r>
      <rPr>
        <b/>
        <sz val="10"/>
        <color theme="1"/>
        <rFont val="Calibri"/>
        <family val="2"/>
        <scheme val="minor"/>
      </rPr>
      <t>Consejo municipal de política Social La Tebaida:</t>
    </r>
    <r>
      <rPr>
        <sz val="10"/>
        <color theme="1"/>
        <rFont val="Calibri"/>
        <family val="2"/>
        <scheme val="minor"/>
      </rPr>
      <t xml:space="preserve"> Promover y fortalecer la participación ciudadana y política, en la interacción pública social, mediante el cumplimiento y protección de los derechos humanos y la diversidad de creencias, buscando la promoción de un ambiente de paz, reconciliación, seguridad y convivencia ciudadana con un enfoque diferencial e integral.
</t>
    </r>
    <r>
      <rPr>
        <b/>
        <sz val="10"/>
        <color theme="1"/>
        <rFont val="Calibri"/>
        <family val="2"/>
        <scheme val="minor"/>
      </rPr>
      <t>Consejo municipal de política Social Circasia:</t>
    </r>
    <r>
      <rPr>
        <sz val="10"/>
        <color theme="1"/>
        <rFont val="Calibri"/>
        <family val="2"/>
        <scheme val="minor"/>
      </rPr>
      <t xml:space="preserve"> No Reporta. 
</t>
    </r>
    <r>
      <rPr>
        <b/>
        <sz val="10"/>
        <color theme="1"/>
        <rFont val="Calibri"/>
        <family val="2"/>
        <scheme val="minor"/>
      </rPr>
      <t>Consejo municipal de política Social Calarcá:</t>
    </r>
    <r>
      <rPr>
        <sz val="10"/>
        <color theme="1"/>
        <rFont val="Calibri"/>
        <family val="2"/>
        <scheme val="minor"/>
      </rPr>
      <t xml:space="preserve"> La alcaldía municipal designo a la Secretaria de Servicios Sociales y Salud para la articulación y asistencia técnica con las instancias de participación de los jóvenes, así mismo esta secretaria cuenta con el Programa de  atención a jóvenes del municipio de Calarcá.
</t>
    </r>
    <r>
      <rPr>
        <b/>
        <sz val="10"/>
        <color theme="1"/>
        <rFont val="Calibri"/>
        <family val="2"/>
        <scheme val="minor"/>
      </rPr>
      <t>Consejo municipal de política Social Córdoba</t>
    </r>
    <r>
      <rPr>
        <sz val="10"/>
        <color theme="1"/>
        <rFont val="Calibri"/>
        <family val="2"/>
        <scheme val="minor"/>
      </rPr>
      <t xml:space="preserve">: El Municipio cuenta con el COMPOS-Consejo Municipal de Política Social, mediante el Decreto No. 085 del 26 de Diciembre del 2014,  en donde se realizaron las cuatro sesiones y cuenta con el plan de acción al cual se dio cumplimiento. Igualmente se realizaron los seguimientos a la POLÍTICA PÚBLICA  DE PRIMERA INFANCIA, INFANCIA Y ADOLESCENCIA Y FORTALECIMIENTO FAMILIAR. .
</t>
    </r>
    <r>
      <rPr>
        <b/>
        <sz val="10"/>
        <color theme="1"/>
        <rFont val="Calibri"/>
        <family val="2"/>
        <scheme val="minor"/>
      </rPr>
      <t xml:space="preserve">Secretaría de Familia: </t>
    </r>
    <r>
      <rPr>
        <sz val="10"/>
        <color theme="1"/>
        <rFont val="Calibri"/>
        <family val="2"/>
        <scheme val="minor"/>
      </rPr>
      <t>Reporta que los planes y políticas del plan de desarrollo departamental se encuentran armonizadas con la política pública de juventud.</t>
    </r>
  </si>
  <si>
    <r>
      <rPr>
        <b/>
        <sz val="10"/>
        <color theme="1"/>
        <rFont val="Calibri"/>
        <family val="2"/>
        <scheme val="minor"/>
      </rPr>
      <t xml:space="preserve">Secretaría de Familia: </t>
    </r>
    <r>
      <rPr>
        <sz val="10"/>
        <color theme="1"/>
        <rFont val="Calibri"/>
        <family val="2"/>
        <scheme val="minor"/>
      </rPr>
      <t xml:space="preserve">Reporta la existencia de la Plataforma Departamental de Juventud, realización de Asambleas Juveniles, Comisiones de Concertación y Decisión y fortalecimiento de los Consejos de Juventud.
</t>
    </r>
    <r>
      <rPr>
        <b/>
        <sz val="10"/>
        <color theme="1"/>
        <rFont val="Calibri"/>
        <family val="2"/>
        <scheme val="minor"/>
      </rPr>
      <t/>
    </r>
  </si>
  <si>
    <r>
      <t xml:space="preserve">Alcaldía de Montenegro: </t>
    </r>
    <r>
      <rPr>
        <sz val="10"/>
        <color theme="1"/>
        <rFont val="Calibri"/>
        <family val="2"/>
        <scheme val="minor"/>
      </rPr>
      <t>Un sistema departamental de juventud en el cual las instancias municipales tienen participación a través de sus delegados .</t>
    </r>
    <r>
      <rPr>
        <b/>
        <sz val="10"/>
        <color theme="1"/>
        <rFont val="Calibri"/>
        <family val="2"/>
        <scheme val="minor"/>
      </rPr>
      <t xml:space="preserve">
Alcaldía de Armenia: </t>
    </r>
    <r>
      <rPr>
        <sz val="10"/>
        <color theme="1"/>
        <rFont val="Calibri"/>
        <family val="2"/>
        <scheme val="minor"/>
      </rPr>
      <t>A través del Decreto 349 del 09 de noviembre de 2020  se crea el sistema municipal de juventud.</t>
    </r>
    <r>
      <rPr>
        <b/>
        <sz val="10"/>
        <color theme="1"/>
        <rFont val="Calibri"/>
        <family val="2"/>
        <scheme val="minor"/>
      </rPr>
      <t xml:space="preserve">
Alcaldía de Circasia: </t>
    </r>
    <r>
      <rPr>
        <sz val="10"/>
        <color theme="1"/>
        <rFont val="Calibri"/>
        <family val="2"/>
        <scheme val="minor"/>
      </rPr>
      <t>Está en proceso el acto administrativo para la Comisión de Concertación y Decisión Juvenil que canalizará la gestión municipal en materia de juventud, además se cuenta con la Plataforma de Juventud y realización de Asambleas.</t>
    </r>
    <r>
      <rPr>
        <b/>
        <sz val="10"/>
        <color theme="1"/>
        <rFont val="Calibri"/>
        <family val="2"/>
        <scheme val="minor"/>
      </rPr>
      <t xml:space="preserve">
Alcaldía Quimbaya: </t>
    </r>
    <r>
      <rPr>
        <sz val="10"/>
        <color theme="1"/>
        <rFont val="Calibri"/>
        <family val="2"/>
        <scheme val="minor"/>
      </rPr>
      <t>Actualmente el municipio de Quimbaya cuenta con CMJ, Comisión de concertación y decisión, plataforma juvenil y convoca periódicamente la asamblea municipal de juventud.</t>
    </r>
    <r>
      <rPr>
        <b/>
        <sz val="10"/>
        <color theme="1"/>
        <rFont val="Calibri"/>
        <family val="2"/>
        <scheme val="minor"/>
      </rPr>
      <t xml:space="preserve">
Alcaldía de Salento: </t>
    </r>
    <r>
      <rPr>
        <sz val="10"/>
        <color theme="1"/>
        <rFont val="Calibri"/>
        <family val="2"/>
        <scheme val="minor"/>
      </rPr>
      <t>Actualmente el municipio de Salento tiene operando el Consejo Municipal de Juventud (CMJ), Plataforma Municipal de Juventud y actualmente cumplen con sus funciones y actividades. El Subsistema Institucional está a cargo de la Alcaldía por intermedio de la Subsecretaría de Cultura y Deporte como el enlace de juventud.</t>
    </r>
    <r>
      <rPr>
        <b/>
        <sz val="10"/>
        <color theme="1"/>
        <rFont val="Calibri"/>
        <family val="2"/>
        <scheme val="minor"/>
      </rPr>
      <t xml:space="preserve">
Alcaldía La Tebaida: .  </t>
    </r>
    <r>
      <rPr>
        <sz val="10"/>
        <color theme="1"/>
        <rFont val="Calibri"/>
        <family val="2"/>
        <scheme val="minor"/>
      </rPr>
      <t xml:space="preserve">El acuerdo municipal del 2019 cuenta con el artículo octavo en donde enuncia los ejes programáticos del accionar de las juventudes Tebaidenses. En ese orden de ideas, se denominó el  eje “sistema municipal de juventud de La Tebaida” en donde se determina garantizar los siguientes espacios e instrumentos de fomento a la participación juvenil.  • Consejo Municipal de juventud, • Plataforma de juventud • Agenda juvenil, Comisión de concertación y decisión • Asamblea juvenil• Espacios de participación de la juventud • Semana de la juventud. </t>
    </r>
    <r>
      <rPr>
        <b/>
        <sz val="10"/>
        <color theme="1"/>
        <rFont val="Calibri"/>
        <family val="2"/>
        <scheme val="minor"/>
      </rPr>
      <t xml:space="preserve">
Alcaldía de Filandia: </t>
    </r>
    <r>
      <rPr>
        <sz val="10"/>
        <color theme="1"/>
        <rFont val="Calibri"/>
        <family val="2"/>
        <scheme val="minor"/>
      </rPr>
      <t xml:space="preserve">el municipio de Filandia cuenta con Consejo Municipal de Juventud  y Plataforma de Juventud operando. </t>
    </r>
    <r>
      <rPr>
        <b/>
        <sz val="10"/>
        <color theme="1"/>
        <rFont val="Calibri"/>
        <family val="2"/>
        <scheme val="minor"/>
      </rPr>
      <t xml:space="preserve">
Secretaría de Familia: </t>
    </r>
    <r>
      <rPr>
        <sz val="10"/>
        <color theme="1"/>
        <rFont val="Calibri"/>
        <family val="2"/>
        <scheme val="minor"/>
      </rPr>
      <t xml:space="preserve">Reporta que 11 de los 12 municipios quindianos, cuentan con Plataforma de Juventud operando, realización de Asambleas juveniles, cumplimiento de las Comisiones de Concertación y Decisión y los Consejos Municipales de Juventud electos a excepción de Filandia. </t>
    </r>
    <r>
      <rPr>
        <b/>
        <sz val="10"/>
        <color theme="1"/>
        <rFont val="Calibri"/>
        <family val="2"/>
        <scheme val="minor"/>
      </rPr>
      <t xml:space="preserve">
Alcaldía de Calarcá: </t>
    </r>
    <r>
      <rPr>
        <sz val="10"/>
        <color theme="1"/>
        <rFont val="Calibri"/>
        <family val="2"/>
        <scheme val="minor"/>
      </rPr>
      <t>Desde el programa de juventudes se realiza asistencia técnica a las instancias de participación. Desde el Consejo Municipal se delego a un Consejero para el Consejo Departamental. Y desde la plataforma Municipal se delegaron los dos jóvenes para la instancia departamental</t>
    </r>
    <r>
      <rPr>
        <b/>
        <sz val="10"/>
        <color theme="1"/>
        <rFont val="Calibri"/>
        <family val="2"/>
        <scheme val="minor"/>
      </rPr>
      <t xml:space="preserve">
Alcaldía de Génova: </t>
    </r>
    <r>
      <rPr>
        <sz val="10"/>
        <color theme="1"/>
        <rFont val="Calibri"/>
        <family val="2"/>
        <scheme val="minor"/>
      </rPr>
      <t>Plataforma Deptal y Consejo Deptal activo y con delegados de Génova.</t>
    </r>
    <r>
      <rPr>
        <b/>
        <sz val="10"/>
        <color theme="1"/>
        <rFont val="Calibri"/>
        <family val="2"/>
        <scheme val="minor"/>
      </rPr>
      <t xml:space="preserve">
Alcaldía de Buenavista: </t>
    </r>
    <r>
      <rPr>
        <sz val="10"/>
        <color theme="1"/>
        <rFont val="Calibri"/>
        <family val="2"/>
        <scheme val="minor"/>
      </rPr>
      <t>Pese a tener actualización de la línea base de la Plataforma Municipal de Juventud, contando con presidente, vicepresidente y secretaria, sin embargo, falta dinamismo y activación real de la PMJ. En el mes de agosto se concluye la creación de la agenda juvenil municipal. En el CMJ existe la renuncia de dos consejeras así como la inasistencia reiterativa de otros Consejeros, por lo que el presidente está realizando los trámites correspondientes al reglamento para suplir las vacantes existentes y poder garantizar un CMJ completo y al servicio de los jóvenes del municipio.</t>
    </r>
    <r>
      <rPr>
        <b/>
        <sz val="10"/>
        <color theme="1"/>
        <rFont val="Calibri"/>
        <family val="2"/>
        <scheme val="minor"/>
      </rPr>
      <t xml:space="preserve">
Alcaldía Pijao: </t>
    </r>
    <r>
      <rPr>
        <sz val="10"/>
        <color theme="1"/>
        <rFont val="Calibri"/>
        <family val="2"/>
        <scheme val="minor"/>
      </rPr>
      <t xml:space="preserve">se cuenta con la plataforma Municipal de juventud actualizada, consejo de juventud, cada uno con sus reglamentos internos y en total funcionamiento.
</t>
    </r>
  </si>
  <si>
    <r>
      <t xml:space="preserve">
</t>
    </r>
    <r>
      <rPr>
        <b/>
        <sz val="10"/>
        <color theme="1"/>
        <rFont val="Calibri"/>
        <family val="2"/>
        <scheme val="minor"/>
      </rPr>
      <t>Cámara de Comercio de Armenia y del Quindío:</t>
    </r>
    <r>
      <rPr>
        <sz val="10"/>
        <color theme="1"/>
        <rFont val="Calibri"/>
        <family val="2"/>
        <scheme val="minor"/>
      </rPr>
      <t xml:space="preserve">  Se realizaron cinco (5) misiones comerciales en las ciudades de Bogotá, Ibagué, Cartagena, Neiva y Cali; con el fin de promocionar el destino, QUINDÍO CORAZÓN DE COLOMBIA y fortalecer el tema de conectividad aérea, donde participaron 10 agencias de viajes operadoras del departamento del Quindío, una perteneciente a un (1) joven. Entre el 30 y 31 de agosto de 2022 se llevó a cabo la 3era versión de EMPRENDE LAC 2022 en el Centro Cultural Metropolitano de Convenciones, evento que impacto a más de 5.000 jóvenes emprendedores e influenciadores, el cual tuvo la participación de Gustavo Zabala cofundador de FESTIC 
</t>
    </r>
    <r>
      <rPr>
        <b/>
        <sz val="10"/>
        <color theme="1"/>
        <rFont val="Calibri"/>
        <family val="2"/>
        <scheme val="minor"/>
      </rPr>
      <t xml:space="preserve">Alcaldía Filandia: </t>
    </r>
    <r>
      <rPr>
        <sz val="10"/>
        <color theme="1"/>
        <rFont val="Calibri"/>
        <family val="2"/>
        <scheme val="minor"/>
      </rPr>
      <t xml:space="preserve">2 jóvenes en ruedas de negocio.
</t>
    </r>
    <r>
      <rPr>
        <b/>
        <sz val="10"/>
        <color theme="1"/>
        <rFont val="Calibri"/>
        <family val="2"/>
        <scheme val="minor"/>
      </rPr>
      <t>Secretaría Turismo, Industria y Comercio:</t>
    </r>
    <r>
      <rPr>
        <sz val="10"/>
        <color theme="1"/>
        <rFont val="Calibri"/>
        <family val="2"/>
        <scheme val="minor"/>
      </rPr>
      <t xml:space="preserve"> Se agotó el presupuesto en el periodo anterior.
</t>
    </r>
  </si>
  <si>
    <r>
      <rPr>
        <b/>
        <sz val="10"/>
        <color theme="1"/>
        <rFont val="Calibri"/>
        <family val="2"/>
        <scheme val="minor"/>
      </rPr>
      <t xml:space="preserve">
Cámara de Comercio de Armenia y del Quindío: Cámara de Comercio de Armenia y del Quindío: </t>
    </r>
    <r>
      <rPr>
        <sz val="10"/>
        <color theme="1"/>
        <rFont val="Calibri"/>
        <family val="2"/>
        <scheme val="minor"/>
      </rPr>
      <t xml:space="preserve">La Cámara a través del área de INNOVACIÓN (Proyecto EMPRÉNDELO) y a través de su CENTRO DE TRANSFORMACIÓN DIGITAL, ha cumplido con el presente indicador, ya que son programas encaminados a la atención e impulso de emprendedores (nuevas ideas de empresas y proyectos) con herramientas tecnológicas y de medición de impacto en la comunidad en general; no obstante esto, está especialmente dirigido a emprendedores jóvenes (18 a 35 años) etc. Igualmente, se tiene que 1.925 de las 4.708 empresas creadas a 30 de septiembre de 2022, se beneficiaron de la ley de emprendimiento juvenil (1780/2016) equivalente al 41% de las empresas matriculadas.
</t>
    </r>
  </si>
  <si>
    <r>
      <rPr>
        <b/>
        <sz val="10"/>
        <color theme="1"/>
        <rFont val="Calibri"/>
        <family val="2"/>
        <scheme val="minor"/>
      </rPr>
      <t>OBSERVACIONES:</t>
    </r>
    <r>
      <rPr>
        <sz val="10"/>
        <color theme="1"/>
        <rFont val="Calibri"/>
        <family val="2"/>
        <scheme val="minor"/>
      </rPr>
      <t xml:space="preserve"> El último reporte por el SIRITI es del 2019 según lo reportado en el DANE, por lo cual la información reportada no corresponde al año 2022.
</t>
    </r>
    <r>
      <rPr>
        <b/>
        <sz val="10"/>
        <color theme="1"/>
        <rFont val="Calibri"/>
        <family val="2"/>
        <scheme val="minor"/>
      </rPr>
      <t xml:space="preserve">Secretaría de Familia: </t>
    </r>
    <r>
      <rPr>
        <sz val="10"/>
        <color theme="1"/>
        <rFont val="Calibri"/>
        <family val="2"/>
        <scheme val="minor"/>
      </rPr>
      <t xml:space="preserve">Se realizaron campañas de divulgación para la promoción y prevención de los derechos de los niños, niñas y adolescentes en los municipios de Armenia, Córdoba, Pijao, Montenegro, Circasia, La Tebaida, Filandia y Quimbaya, en temas relacionados con:
- Campaña en el sector hotelero del parque Uribe del municipio de Armenia, La Estación del municipio de La Tebaida y corregimiento de Barcelona, en articulación con la Policía de Turismo, el ICBF y la Secretaría de Turismo, Industria y Comercio, desarrollando jornada de prevención de la Explotación Sexual Comercial de Niños, Niñas y Adolescentes (ESCNNA), Trabajo Infantil y vulneración de derechos de NNA.  
- Campañas virtuales sobre vulneración de derechos dirigido a hogares infantiles del Instituto Colombiano de Bienestar Familiar.
- Campañas en establecimientos de comercio para socializar las rutas de atención en vulneración de derechos en casos de maltrato hacia la mujer, prevención del trabajo infantil y cualquier tipo de vulneración.  
- Campañas presenciales en los municipios de Montenegro, Filandia, Córdoba, Armenia, Quimbaya, Circasia, Pijao y el corregimiento de Barcelona sobre prevención de casos de vulneración de derechos y rutas de atención. 
</t>
    </r>
    <r>
      <rPr>
        <b/>
        <sz val="10"/>
        <color theme="1"/>
        <rFont val="Calibri"/>
        <family val="2"/>
        <scheme val="minor"/>
      </rPr>
      <t xml:space="preserve">Secretaría de Agricultura: </t>
    </r>
    <r>
      <rPr>
        <sz val="10"/>
        <color theme="1"/>
        <rFont val="Calibri"/>
        <family val="2"/>
        <scheme val="minor"/>
      </rPr>
      <t xml:space="preserve">Se cofinanciaron 3  proyectos productivos a través de convocatoria realizada por el Ministerio de Agricultura y  Desarrollo Rural, así:
1. Convenio No. 084 - 2021, con la ASOCIACIÓN VICTIMAS DE PIJAO “ASOVICPI”.
2. Convenio No. 078-2021 con la  ASOCIACIÓN DE PRODUCTORES DE AGUACATE DE FILANDIA (HASSFILANDIA).
3. Convenio No. 087 con la   ASOCIACIÓN AGROPLATANERA DEL CACIQUE CALARCÁ, quedando pendiente  el   Convenio No. 080-2021 con la ASOCIACIÓN DE RELEVO GENERACIONAL DEL CAMPO ARMENIA – ASORGEC .
</t>
    </r>
    <r>
      <rPr>
        <b/>
        <sz val="10"/>
        <color theme="1"/>
        <rFont val="Calibri"/>
        <family val="2"/>
        <scheme val="minor"/>
      </rPr>
      <t>Ministerio del Trabajo:</t>
    </r>
    <r>
      <rPr>
        <sz val="10"/>
        <color theme="1"/>
        <rFont val="Calibri"/>
        <family val="2"/>
        <scheme val="minor"/>
      </rPr>
      <t xml:space="preserve"> Al respecto es importante hacer las siguientes claridades:1. Tomando en cuenta que la fuente es DANE-GEIH y la consulta no depende de plataforma exclusiva de este ente Ministerial la misma puede ser consultada por cualquier entidad. De esta manera y según la información registrada en la plataforma se cuenta con los registros correspondientes al año 2021 publicado en el año 2022.2. En el evento de contar con datos mas recientes se considera que la competencia es de Planeación Departamental el cual tiene a cargo los indicadores de tipo social para el departamento. 3. Por otro lado la estrategia para la Erradicación del trabajo infantil se ha llevado a cabo a través del CIETI DEPARTAMENTAL, en la cual se han desarrollado diferentes escenarios de participación en todo el Departamento del Quindío en asocio con las entidades que lo integran. El MINTRABAJO  tiene a su cargo el fomento de trabajo protegido a través de las autorizaciones de trabajo a menores, obtenido para el periodo objeto de estudio los siguientes resultados según la información aportada desde el grupo de atención al ciudadano y trámite así: a. Permisos otorgados: 36, de los cuales 17 fueron otorgadas a niñas y 19 a niños. b. Consultas laborales menores: 0
</t>
    </r>
    <r>
      <rPr>
        <b/>
        <sz val="10"/>
        <color theme="1"/>
        <rFont val="Calibri"/>
        <family val="2"/>
        <scheme val="minor"/>
      </rPr>
      <t>ICBF</t>
    </r>
    <r>
      <rPr>
        <sz val="10"/>
        <color theme="1"/>
        <rFont val="Calibri"/>
        <family val="2"/>
        <scheme val="minor"/>
      </rPr>
      <t xml:space="preserve">: *Atención Directa a familias con NNA en trabajo infantil *Alta permanencia en calle*Situación de vida en calle *Constataciones *Movilización del SNBF a través de la oferta*Actividades comunitarias de promoción y prevención en articulación con el SNBF *direccionamiento de NNA con Derechos amenazados o vulnerados al Centro de atención para el Restablecimiento de Derechos.
</t>
    </r>
    <r>
      <rPr>
        <b/>
        <sz val="10"/>
        <color theme="1"/>
        <rFont val="Calibri"/>
        <family val="2"/>
        <scheme val="minor"/>
      </rPr>
      <t xml:space="preserve">Alcaldía Calarcá: </t>
    </r>
    <r>
      <rPr>
        <sz val="10"/>
        <color theme="1"/>
        <rFont val="Calibri"/>
        <family val="2"/>
        <scheme val="minor"/>
      </rPr>
      <t xml:space="preserve">El programa de NNA, realizó  una jornada de prevención del trabajo infantil en el barrio Llanitos Piloto. 
</t>
    </r>
    <r>
      <rPr>
        <b/>
        <sz val="10"/>
        <color theme="1"/>
        <rFont val="Calibri"/>
        <family val="2"/>
        <scheme val="minor"/>
      </rPr>
      <t xml:space="preserve">Alcaldía Filandia: </t>
    </r>
    <r>
      <rPr>
        <sz val="10"/>
        <color theme="1"/>
        <rFont val="Calibri"/>
        <family val="2"/>
        <scheme val="minor"/>
      </rPr>
      <t xml:space="preserve">el Municipio de Filandia no cuenta con casos de trabajo infantil.
</t>
    </r>
  </si>
  <si>
    <r>
      <t xml:space="preserve">
</t>
    </r>
    <r>
      <rPr>
        <b/>
        <sz val="10"/>
        <color theme="1"/>
        <rFont val="Calibri"/>
        <family val="2"/>
        <scheme val="minor"/>
      </rPr>
      <t>Alcaldía de Calarcá:</t>
    </r>
    <r>
      <rPr>
        <sz val="10"/>
        <color theme="1"/>
        <rFont val="Calibri"/>
        <family val="2"/>
        <scheme val="minor"/>
      </rPr>
      <t xml:space="preserve"> Realizamos el pago a las 14 instituciones educativas urbanas y rurales (30 sedes) con servicios públicos como energía, alcantarillado, acueducto y aseo  con 30 sedes, urbanas y rurales. Se beneficiaron 3.174 jóvenes.
</t>
    </r>
    <r>
      <rPr>
        <b/>
        <sz val="10"/>
        <color theme="1"/>
        <rFont val="Calibri"/>
        <family val="2"/>
        <scheme val="minor"/>
      </rPr>
      <t>Secretaría de Educación:</t>
    </r>
    <r>
      <rPr>
        <sz val="10"/>
        <color theme="1"/>
        <rFont val="Calibri"/>
        <family val="2"/>
        <scheme val="minor"/>
      </rPr>
      <t xml:space="preserve"> 65,34%. Tasa de Cobertura Neta en Educación Básica Secundaria a Diciembre de 2022.  Es importante aclarar que este indicador reportado corresponde a  datos parciales del mes de diciembre de 2022, y no a los datos definitivos de la vigencia en mención, los cuales se obtienen durante el primer semestre del año 2023.</t>
    </r>
  </si>
  <si>
    <r>
      <t xml:space="preserve">
</t>
    </r>
    <r>
      <rPr>
        <b/>
        <sz val="10"/>
        <color theme="1"/>
        <rFont val="Calibri"/>
        <family val="2"/>
        <scheme val="minor"/>
      </rPr>
      <t>Alcaldía de Buenavista</t>
    </r>
    <r>
      <rPr>
        <sz val="10"/>
        <color theme="1"/>
        <rFont val="Calibri"/>
        <family val="2"/>
        <scheme val="minor"/>
      </rPr>
      <t xml:space="preserve">: 100% de los estudiantes con cobertura en educación en básica secundaria y media vocacional.
</t>
    </r>
    <r>
      <rPr>
        <b/>
        <sz val="10"/>
        <color theme="1"/>
        <rFont val="Calibri"/>
        <family val="2"/>
        <scheme val="minor"/>
      </rPr>
      <t>Alcaldía Armenia:</t>
    </r>
    <r>
      <rPr>
        <sz val="10"/>
        <color theme="1"/>
        <rFont val="Calibri"/>
        <family val="2"/>
        <scheme val="minor"/>
      </rPr>
      <t xml:space="preserve"> 23 Instituciones Educativas y 1200 Jóvenes de media de las Instituciones Educativas.
</t>
    </r>
    <r>
      <rPr>
        <b/>
        <sz val="10"/>
        <color theme="1"/>
        <rFont val="Calibri"/>
        <family val="2"/>
        <scheme val="minor"/>
      </rPr>
      <t xml:space="preserve">Alcaldía Génova: </t>
    </r>
    <r>
      <rPr>
        <sz val="10"/>
        <color theme="1"/>
        <rFont val="Calibri"/>
        <family val="2"/>
        <scheme val="minor"/>
      </rPr>
      <t xml:space="preserve">Docentes mejor capacitados, que podrán brindar mas conocimientos a sus estudiantes. Se Garantiza el acceso a una educación de calidad  de todos los niños niñas y adolescentes del municipio de Génova Quindío, se garantiza el acceso a una educación de calidad  de todos los niños niñas y adolescentes que se encuentran estudiando en las sedes urbanas y rurales del municipio de Génova Quindío, se garantiza el acceso a una educación de calidad  de todos los niños niñas y adolescentes del municipio de Génova Quindío, que se encuentran cursando básica secundaria y media en  la institución educativa san Vicente de Paul y la institución educativa instituto Génova, proteger  todos los niños niñas y adolescentes en caso de accidentes  que  se encuentra estudiando  en las instituciones educativas tanto en el área urbana y rural del municipio.
</t>
    </r>
    <r>
      <rPr>
        <b/>
        <sz val="10"/>
        <color theme="1"/>
        <rFont val="Calibri"/>
        <family val="2"/>
        <scheme val="minor"/>
      </rPr>
      <t>Alcaldía Salento:</t>
    </r>
    <r>
      <rPr>
        <sz val="10"/>
        <color theme="1"/>
        <rFont val="Calibri"/>
        <family val="2"/>
        <scheme val="minor"/>
      </rPr>
      <t xml:space="preserve"> Procesos a cargo de las instituciones educativas del municipio.
</t>
    </r>
    <r>
      <rPr>
        <b/>
        <sz val="10"/>
        <color theme="1"/>
        <rFont val="Calibri"/>
        <family val="2"/>
        <scheme val="minor"/>
      </rPr>
      <t>Alcaldía de Córdoba</t>
    </r>
    <r>
      <rPr>
        <sz val="10"/>
        <color theme="1"/>
        <rFont val="Calibri"/>
        <family val="2"/>
        <scheme val="minor"/>
      </rPr>
      <t xml:space="preserve">: El municipio de Córdoba garantiza la atención con estrategias de permanencia ( PAE - Programa de Alimentación Escolar y transporte escolar) a los estudiantes que cumplen los criterios de focalización.
</t>
    </r>
    <r>
      <rPr>
        <b/>
        <sz val="10"/>
        <color theme="1"/>
        <rFont val="Calibri"/>
        <family val="2"/>
        <scheme val="minor"/>
      </rPr>
      <t>Alcaldía de Montenegro:</t>
    </r>
    <r>
      <rPr>
        <sz val="10"/>
        <color theme="1"/>
        <rFont val="Calibri"/>
        <family val="2"/>
        <scheme val="minor"/>
      </rPr>
      <t xml:space="preserve">  se realiza junta municipal de educación (JUME), Comité Municipal de Educación, aporte a bolsa común del PAE.
</t>
    </r>
    <r>
      <rPr>
        <b/>
        <sz val="10"/>
        <color theme="1"/>
        <rFont val="Calibri"/>
        <family val="2"/>
        <scheme val="minor"/>
      </rPr>
      <t xml:space="preserve">Alcaldía de Armenia: </t>
    </r>
    <r>
      <rPr>
        <sz val="10"/>
        <color theme="1"/>
        <rFont val="Calibri"/>
        <family val="2"/>
        <scheme val="minor"/>
      </rPr>
      <t xml:space="preserve">24 Instituciones Educativas y 1200 Jóvenes beneficiados de media de las Instituciones Educativa
</t>
    </r>
    <r>
      <rPr>
        <b/>
        <sz val="10"/>
        <color theme="1"/>
        <rFont val="Calibri"/>
        <family val="2"/>
        <scheme val="minor"/>
      </rPr>
      <t>Alcaldía de Calarcá:</t>
    </r>
    <r>
      <rPr>
        <sz val="10"/>
        <color theme="1"/>
        <rFont val="Calibri"/>
        <family val="2"/>
        <scheme val="minor"/>
      </rPr>
      <t xml:space="preserve"> Se apoyo al 100% de los estudiantes de las 14 Instituciones Educativas sector urbano y rural con recursos de gratuidad escolar.
</t>
    </r>
    <r>
      <rPr>
        <b/>
        <sz val="10"/>
        <color theme="1"/>
        <rFont val="Calibri"/>
        <family val="2"/>
        <scheme val="minor"/>
      </rPr>
      <t xml:space="preserve">Alcaldía Filandia </t>
    </r>
    <r>
      <rPr>
        <sz val="10"/>
        <color theme="1"/>
        <rFont val="Calibri"/>
        <family val="2"/>
        <scheme val="minor"/>
      </rPr>
      <t>Tasa de cobertura neta básica secundaria: 90%, 622 alumnos hasta el mes de noviembre de 2022.</t>
    </r>
  </si>
  <si>
    <r>
      <t xml:space="preserve">
</t>
    </r>
    <r>
      <rPr>
        <b/>
        <sz val="10"/>
        <color theme="1"/>
        <rFont val="Calibri"/>
        <family val="2"/>
        <scheme val="minor"/>
      </rPr>
      <t>Secretaría de Familia:</t>
    </r>
    <r>
      <rPr>
        <sz val="10"/>
        <color theme="1"/>
        <rFont val="Calibri"/>
        <family val="2"/>
        <scheme val="minor"/>
      </rPr>
      <t xml:space="preserve"> La tasa de deserción universitaria es del 8,79%  según reporte del Ministerio de Educación.
</t>
    </r>
    <r>
      <rPr>
        <b/>
        <sz val="10"/>
        <color theme="1"/>
        <rFont val="Calibri"/>
        <family val="2"/>
        <scheme val="minor"/>
      </rPr>
      <t>Alcaldía de Buenavista</t>
    </r>
    <r>
      <rPr>
        <sz val="10"/>
        <color theme="1"/>
        <rFont val="Calibri"/>
        <family val="2"/>
        <scheme val="minor"/>
      </rPr>
      <t xml:space="preserve">: No se han registrado casos de deserción escolar en el tercer trimestre 2022.
</t>
    </r>
    <r>
      <rPr>
        <b/>
        <sz val="10"/>
        <color theme="1"/>
        <rFont val="Calibri"/>
        <family val="2"/>
        <scheme val="minor"/>
      </rPr>
      <t>Alcaldía de Filandia:</t>
    </r>
    <r>
      <rPr>
        <sz val="10"/>
        <color theme="1"/>
        <rFont val="Calibri"/>
        <family val="2"/>
        <scheme val="minor"/>
      </rPr>
      <t xml:space="preserve"> Tasa de deserción a largo plazo (semestre 10): 15% a largo plazo.
</t>
    </r>
    <r>
      <rPr>
        <b/>
        <sz val="10"/>
        <color theme="1"/>
        <rFont val="Calibri"/>
        <family val="2"/>
        <scheme val="minor"/>
      </rPr>
      <t>Alcaldía Armenia</t>
    </r>
    <r>
      <rPr>
        <sz val="10"/>
        <color theme="1"/>
        <rFont val="Calibri"/>
        <family val="2"/>
        <scheme val="minor"/>
      </rPr>
      <t xml:space="preserve">: la Secretaría de Educación Municipal no maneja la tasa de deserción universitaria.
</t>
    </r>
    <r>
      <rPr>
        <b/>
        <sz val="10"/>
        <color theme="1"/>
        <rFont val="Calibri"/>
        <family val="2"/>
        <scheme val="minor"/>
      </rPr>
      <t>Alcaldía Génova:</t>
    </r>
    <r>
      <rPr>
        <sz val="10"/>
        <color theme="1"/>
        <rFont val="Calibri"/>
        <family val="2"/>
        <scheme val="minor"/>
      </rPr>
      <t xml:space="preserve">  Docentes mejor capacitados, que podrán brindar mas conocimientos a sus estudiantes. Se Garantiza el acceso a una educación de calidad  de todos los niños niñas y adolescentes del municipio de Génova Quindío, se garantiza el acceso a una educación de calidad  de todos los niños niñas y adolescentes que se encuentran estudiando en las sedes urbanas y rurales del municipio de Génova Quindío, se garantiza el acceso a una educación de calidad  de todos los niños niñas y adolescentes del municipio de Génova Quindío, que se encuentran cursando básica secundaria y media en  la institución educativa san Vicente de Paul y la institución educativa instituto Génova, proteger  todos los niños niñas y adolescentes en caso de accidentes  que  se encuentra estudiando  en las instituciones educativas tanto en el área urbana y rural del municipio.
</t>
    </r>
    <r>
      <rPr>
        <b/>
        <sz val="10"/>
        <color theme="1"/>
        <rFont val="Calibri"/>
        <family val="2"/>
        <scheme val="minor"/>
      </rPr>
      <t xml:space="preserve">Alcaldía Salento: </t>
    </r>
    <r>
      <rPr>
        <sz val="10"/>
        <color theme="1"/>
        <rFont val="Calibri"/>
        <family val="2"/>
        <scheme val="minor"/>
      </rPr>
      <t xml:space="preserve">Convenio de asociación con la Universidad del Quindío para el sostenimiento del programa Matricula Cero.
</t>
    </r>
    <r>
      <rPr>
        <b/>
        <sz val="10"/>
        <color theme="1"/>
        <rFont val="Calibri"/>
        <family val="2"/>
        <scheme val="minor"/>
      </rPr>
      <t>Alcaldía de Córdoba:</t>
    </r>
    <r>
      <rPr>
        <sz val="10"/>
        <color theme="1"/>
        <rFont val="Calibri"/>
        <family val="2"/>
        <scheme val="minor"/>
      </rPr>
      <t xml:space="preserve">  La Institución Educativa ofrece en todo el ciclo básico lo que contribuye a asegurar la continuidad y el flujo de los estudiantes a través de los niveles de  básica, secundaria y media. Además, se ofrecen dos modalidades en convenio SENA: Sistemas agropecuarios ecológicos y agroindustria alimentaria Implementación de jornada única con énfasis en artística: música- teatro en básica primaria. Se diseña de los Planes de Mejoramiento y al fortalecimiento de la institución educativa lo que permite definir nuevas metas, corregir deficiencias, reforzar fortalezas, mejorar estrategias pedagógicas y aumentar las tasas de promoción con buenos niveles de calidad.                                                                
 -Motivación a los niños para el acceso al conocimiento, se incentiva el desarrollo artístico - Hay flexibilidad de los modelos educativos que se implementan, que son capaces de adaptarse a las necesidades de los niños y jóvenes.                                                   Seguimiento a través de comité de ausentismo.  
</t>
    </r>
    <r>
      <rPr>
        <b/>
        <sz val="10"/>
        <color theme="1"/>
        <rFont val="Calibri"/>
        <family val="2"/>
        <scheme val="minor"/>
      </rPr>
      <t xml:space="preserve">Alcaldía de Calarcá: </t>
    </r>
    <r>
      <rPr>
        <sz val="10"/>
        <color theme="1"/>
        <rFont val="Calibri"/>
        <family val="2"/>
        <scheme val="minor"/>
      </rPr>
      <t xml:space="preserve">Se garantizó póliza de seguro de atención medica, quirúrgica y hospitalaria por accidentes escolares y gastos funerarios para los estudiantes de las 14 IE del área urbana y rural del municipio y de acuerdo a la Resolución 969 de 5/11/2021 por medio del cual se transfiere el recurso del SGP dotación de provisión de la canasta educativa a las 14 IE del municipio. 
</t>
    </r>
  </si>
  <si>
    <r>
      <t xml:space="preserve">
</t>
    </r>
    <r>
      <rPr>
        <b/>
        <sz val="10"/>
        <color theme="1"/>
        <rFont val="Calibri"/>
        <family val="2"/>
        <scheme val="minor"/>
      </rPr>
      <t>Secretaría de Familia:</t>
    </r>
    <r>
      <rPr>
        <sz val="10"/>
        <color theme="1"/>
        <rFont val="Calibri"/>
        <family val="2"/>
        <scheme val="minor"/>
      </rPr>
      <t xml:space="preserve"> La tasa de cobertura de educación superior es del 62,3% según reporte del Ministerio de Educación.
</t>
    </r>
    <r>
      <rPr>
        <b/>
        <sz val="10"/>
        <color rgb="FFFF0000"/>
        <rFont val="Calibri"/>
        <family val="2"/>
        <scheme val="minor"/>
      </rPr>
      <t/>
    </r>
  </si>
  <si>
    <r>
      <rPr>
        <b/>
        <sz val="10"/>
        <color theme="1"/>
        <rFont val="Calibri"/>
        <family val="2"/>
        <scheme val="minor"/>
      </rPr>
      <t xml:space="preserve">Secretaría de Familia: </t>
    </r>
    <r>
      <rPr>
        <sz val="10"/>
        <color theme="1"/>
        <rFont val="Calibri"/>
        <family val="2"/>
        <scheme val="minor"/>
      </rPr>
      <t xml:space="preserve">Se oficiaron los actores respnsables de este indicadr  por misionalidad sin embargo, no se obtuvo reporte alguno.  
</t>
    </r>
    <r>
      <rPr>
        <b/>
        <sz val="10"/>
        <color theme="1"/>
        <rFont val="Calibri"/>
        <family val="2"/>
        <scheme val="minor"/>
      </rPr>
      <t xml:space="preserve">Secretaría de Salud: </t>
    </r>
    <r>
      <rPr>
        <sz val="10"/>
        <color theme="1"/>
        <rFont val="Calibri"/>
        <family val="2"/>
        <scheme val="minor"/>
      </rPr>
      <t>se realizaron asistencias técnicas en las IPS de 11 municipios del Quindío sobre SERVICIOS DE SALUD AMIGABLES PARA ADOLESCENTES Y JOVENES SSAAJ Temas tratados: Reglamentación normas de calidad de aplicación de los SSAAJ.</t>
    </r>
  </si>
  <si>
    <r>
      <t>Alcaldía Filandia:</t>
    </r>
    <r>
      <rPr>
        <sz val="10"/>
        <color theme="1"/>
        <rFont val="Calibri"/>
        <family val="2"/>
        <scheme val="minor"/>
      </rPr>
      <t xml:space="preserve"> 340 jóvenes participan en actividades recreativas, deportivas y de actividad física.</t>
    </r>
    <r>
      <rPr>
        <b/>
        <sz val="10"/>
        <color theme="1"/>
        <rFont val="Calibri"/>
        <family val="2"/>
        <scheme val="minor"/>
      </rPr>
      <t xml:space="preserve">
 Alcaldía Salento: </t>
    </r>
    <r>
      <rPr>
        <sz val="10"/>
        <color theme="1"/>
        <rFont val="Calibri"/>
        <family val="2"/>
        <scheme val="minor"/>
      </rPr>
      <t>Fortalecimiento y apoyo a las Escuelas de Formación Deportiva, reactivación de torneos de fútbol, fútbol de salón.</t>
    </r>
    <r>
      <rPr>
        <b/>
        <sz val="10"/>
        <color theme="1"/>
        <rFont val="Calibri"/>
        <family val="2"/>
        <scheme val="minor"/>
      </rPr>
      <t xml:space="preserve">
Alcaldía Buenavista:</t>
    </r>
    <r>
      <rPr>
        <sz val="10"/>
        <color theme="1"/>
        <rFont val="Calibri"/>
        <family val="2"/>
        <scheme val="minor"/>
      </rPr>
      <t xml:space="preserve"> Se cuenta con 120 jóvenes que hacen parte de las 4 escuelas de formación deportiva del municipio. Adicionalmente, acompañamiento de indeportes dos veces a la semana para la realización de aeróbicos, y contratista de la jefatura de juventud que está realizando entrenamiento al equipo de futbol femenino del municipios.</t>
    </r>
    <r>
      <rPr>
        <b/>
        <sz val="10"/>
        <color theme="1"/>
        <rFont val="Calibri"/>
        <family val="2"/>
        <scheme val="minor"/>
      </rPr>
      <t xml:space="preserve">
Alcaldía de La Tebaida:</t>
    </r>
    <r>
      <rPr>
        <sz val="10"/>
        <color theme="1"/>
        <rFont val="Calibri"/>
        <family val="2"/>
        <scheme val="minor"/>
      </rPr>
      <t xml:space="preserve"> No se rindió esta información en este trimestre</t>
    </r>
    <r>
      <rPr>
        <b/>
        <sz val="10"/>
        <color theme="1"/>
        <rFont val="Calibri"/>
        <family val="2"/>
        <scheme val="minor"/>
      </rPr>
      <t xml:space="preserve">
Alcaldía Quimbaya: </t>
    </r>
    <r>
      <rPr>
        <sz val="10"/>
        <color theme="1"/>
        <rFont val="Calibri"/>
        <family val="2"/>
        <scheme val="minor"/>
      </rPr>
      <t>En el municipio de Quimbaya se fortalecen las escuelas de formación deportiva y se realizan eventos deportivos y recreativos con la participación de los jóvenes.</t>
    </r>
    <r>
      <rPr>
        <b/>
        <sz val="10"/>
        <color theme="1"/>
        <rFont val="Calibri"/>
        <family val="2"/>
        <scheme val="minor"/>
      </rPr>
      <t xml:space="preserve">
Alcaldía Génova:  </t>
    </r>
    <r>
      <rPr>
        <sz val="10"/>
        <color theme="1"/>
        <rFont val="Calibri"/>
        <family val="2"/>
        <scheme val="minor"/>
      </rPr>
      <t>Jóvenes integrando las escuelas de formación en fútbol, baloncesto, jóvenes participando en torneos de fútbol categoría libre, jóvenes participando en torneo nacional de baloncesto, jóvenes participando en campamentos juvenil y actividades recreativas</t>
    </r>
    <r>
      <rPr>
        <b/>
        <sz val="10"/>
        <color theme="1"/>
        <rFont val="Calibri"/>
        <family val="2"/>
        <scheme val="minor"/>
      </rPr>
      <t xml:space="preserve">
Alcaldía de Armenia: </t>
    </r>
    <r>
      <rPr>
        <sz val="10"/>
        <color theme="1"/>
        <rFont val="Calibri"/>
        <family val="2"/>
        <scheme val="minor"/>
      </rPr>
      <t xml:space="preserve">Promoción, apoyo logístico, ejecución y dotación de grupos de recreación dirigida 4295 jóvenes.      </t>
    </r>
    <r>
      <rPr>
        <b/>
        <sz val="10"/>
        <color theme="1"/>
        <rFont val="Calibri"/>
        <family val="2"/>
        <scheme val="minor"/>
      </rPr>
      <t xml:space="preserve">      
Alcaldía de Montenegro:</t>
    </r>
    <r>
      <rPr>
        <sz val="10"/>
        <color theme="1"/>
        <rFont val="Calibri"/>
        <family val="2"/>
        <scheme val="minor"/>
      </rPr>
      <t xml:space="preserve"> actualmente se benefician 3781 jóvenes de las diferentes escuelas de formación del municipio (23 escuelas de formación).</t>
    </r>
    <r>
      <rPr>
        <b/>
        <sz val="10"/>
        <color theme="1"/>
        <rFont val="Calibri"/>
        <family val="2"/>
        <scheme val="minor"/>
      </rPr>
      <t xml:space="preserve">
Alcaldía de Calarcá: </t>
    </r>
    <r>
      <rPr>
        <sz val="10"/>
        <color theme="1"/>
        <rFont val="Calibri"/>
        <family val="2"/>
        <scheme val="minor"/>
      </rPr>
      <t>Se realizaron adecuaciones locativas en el parque Alto del Río para mejorar las condiciones del mismo e Incentivos para otorgar apoyo a los deportistas destacados que representan el municipio en competencias de orden departamental o nacional.</t>
    </r>
    <r>
      <rPr>
        <b/>
        <sz val="10"/>
        <color theme="1"/>
        <rFont val="Calibri"/>
        <family val="2"/>
        <scheme val="minor"/>
      </rPr>
      <t xml:space="preserve">
INDEPORTES: </t>
    </r>
    <r>
      <rPr>
        <sz val="10"/>
        <color theme="1"/>
        <rFont val="Calibri"/>
        <family val="2"/>
        <scheme val="minor"/>
      </rPr>
      <t xml:space="preserve">Se implementó el programa de recreación y hábitos y estilos de vida saludable en los 12 municipios del departamento. Su objetivo principal fue fomentar la práctica de la actividad física como instrumento generador de cambios positivos en la salud, la inclusión social y el aprovechamiento del tiempo libre de la comunidad. (Jóvenes impactados 14.955) 
</t>
    </r>
  </si>
  <si>
    <r>
      <rPr>
        <b/>
        <sz val="10"/>
        <color theme="1"/>
        <rFont val="Calibri"/>
        <family val="2"/>
        <scheme val="minor"/>
      </rPr>
      <t>Secretaría de Salud:</t>
    </r>
    <r>
      <rPr>
        <sz val="10"/>
        <color theme="1"/>
        <rFont val="Calibri"/>
        <family val="2"/>
        <scheme val="minor"/>
      </rPr>
      <t xml:space="preserve"> en 11 municipios centralizados del Quindío se realizaron talleres pedagógicos Salud Sexual y Reproductiva con temas tratados: Derechos sexuales y reproductivos, Prevención de ITS, Prevención de Embarazo y embarazo subsiguiente, métodos anticonceptivos, prevención de violencias sexuales. Población 1296 estudiantes. </t>
    </r>
  </si>
  <si>
    <r>
      <rPr>
        <b/>
        <sz val="10"/>
        <color theme="1"/>
        <rFont val="Calibri"/>
        <family val="2"/>
        <scheme val="minor"/>
      </rPr>
      <t xml:space="preserve">Secretaría de Salud: </t>
    </r>
    <r>
      <rPr>
        <sz val="10"/>
        <color theme="1"/>
        <rFont val="Calibri"/>
        <family val="2"/>
        <scheme val="minor"/>
      </rPr>
      <t>Desde el programa Convivencia Social y Salud Mental se realizan actividades como: seguimiento a la gestión del riesgo en los eventos de interés en salud pública como lo es Violencia de género e intento de suicidio y otros trastornos mentales. Esto desde la articulación y acompañamiento que se realiza con cada una de las instituciones Prestadoras de Servicios de Salud con el fin de verificar los servicios de atención en salud mental y la mitigación de brechas de acceso de dicho tema para llevar a cabo dicha función se trabaja  de la mano  con los planes locales de salud  municipales y/o subsecretarias de salud para planear, ejecutar y poner en marcha estrategias que permitan superar la brechas  presentada para acceder a los servicios de salud. Se brinda asistencia y acompañamiento en los municipios del departamento, con relación a los eventos de interés en salud pública y del mismo modo se orientan en las diferentes fases frente a la adopción y adaptación de la política pública de salud mental con el fin de articular todo el departamento para la implementación de dicha normatividad, además se  brinda acompañamiento en términos de gestión del riesgo a las instituciones educativas de los 11 municipios de competencia departamental cuando  así lo requieran, mencionando también  el acompañamiento en la mitigación de las brechas de acceso en salud mental para la aplicación de tecnologías enmarcadas en la resolución 3280, y de la misma forma se capacita al personal de salud encargado de aplicar las mismas en los municipios. Generación de capacidad de asistencia técnica a instituciones educativas, instituciones de salud y demás que lo requieren frente a temas de atención en salud mental. Dentro de las actividades puntuales se realizaron las siguientes:* Tercera sesión consejo territorial de Salud mental.
* Capacitación a Familias y Jóvenes del Barrio las Colinas de Armenia brindando información en temas de violencias, ideación suicida y trastornos mentales.</t>
    </r>
    <r>
      <rPr>
        <b/>
        <sz val="10"/>
        <color theme="1"/>
        <rFont val="Calibri"/>
        <family val="2"/>
        <scheme val="minor"/>
      </rPr>
      <t xml:space="preserve">
</t>
    </r>
  </si>
  <si>
    <r>
      <t xml:space="preserve">
</t>
    </r>
    <r>
      <rPr>
        <b/>
        <sz val="10"/>
        <color theme="1"/>
        <rFont val="Calibri"/>
        <family val="2"/>
        <scheme val="minor"/>
      </rPr>
      <t>Secretaría del Interior:</t>
    </r>
    <r>
      <rPr>
        <sz val="10"/>
        <color theme="1"/>
        <rFont val="Calibri"/>
        <family val="2"/>
        <scheme val="minor"/>
      </rPr>
      <t xml:space="preserve"> Acompañamiento y seguimiento a los 12 municipios en la ejecución de los PISCC.
</t>
    </r>
    <r>
      <rPr>
        <b/>
        <sz val="10"/>
        <color theme="1"/>
        <rFont val="Calibri"/>
        <family val="2"/>
        <scheme val="minor"/>
      </rPr>
      <t>Policía Nacional</t>
    </r>
    <r>
      <rPr>
        <sz val="10"/>
        <color theme="1"/>
        <rFont val="Calibri"/>
        <family val="2"/>
        <scheme val="minor"/>
      </rPr>
      <t xml:space="preserve">: El Grupo de protección a la infancia y adolescencia, durante el IV trimestre realizó en los 12 municipios del Departamento más de 37 acciones de prevención, vigilancia y control en 29 instituciones educativas, beneficiando a más de  2.664 estudiantes en temáticas como legislación nacional, violencia intrafamiliar, pautas y crianza, valores y principios, explotación sexual y comercial de NNA, trabajo infantil entre otros, logrando afianzar la cultura de la denuncia para mitigar y reducir la vulneración de sus derechos a través de la líneas de emergencia 123 y 141. 
</t>
    </r>
    <r>
      <rPr>
        <b/>
        <sz val="10"/>
        <color rgb="FFFF0000"/>
        <rFont val="Calibri"/>
        <family val="2"/>
        <scheme val="minor"/>
      </rPr>
      <t/>
    </r>
  </si>
  <si>
    <r>
      <rPr>
        <b/>
        <sz val="10"/>
        <color theme="1"/>
        <rFont val="Calibri"/>
        <family val="2"/>
        <scheme val="minor"/>
      </rPr>
      <t xml:space="preserve">Secretaría del Interior: </t>
    </r>
    <r>
      <rPr>
        <sz val="10"/>
        <color theme="1"/>
        <rFont val="Calibri"/>
        <family val="2"/>
        <scheme val="minor"/>
      </rPr>
      <t xml:space="preserve">La tasa actual es de  682 por cada 100 mil jóvenes según informe de página JUACO, 2019
</t>
    </r>
    <r>
      <rPr>
        <b/>
        <sz val="10"/>
        <color theme="1"/>
        <rFont val="Calibri"/>
        <family val="2"/>
        <scheme val="minor"/>
      </rPr>
      <t>Secretaría de familia</t>
    </r>
    <r>
      <rPr>
        <sz val="10"/>
        <color theme="1"/>
        <rFont val="Calibri"/>
        <family val="2"/>
        <scheme val="minor"/>
      </rPr>
      <t xml:space="preserve">: Desde la jefatura de juventud se ha realizado 1 fortalecimiento de los programas de convivencia escolar y convivencia ciudadana, con el taller de estrategias para la resolución pacifica de conflictos en el municipio de Filandia. 
</t>
    </r>
    <r>
      <rPr>
        <b/>
        <sz val="10"/>
        <color theme="1"/>
        <rFont val="Calibri"/>
        <family val="2"/>
        <scheme val="minor"/>
      </rPr>
      <t>Comisaría de Familia La Tebaida</t>
    </r>
    <r>
      <rPr>
        <sz val="10"/>
        <color theme="1"/>
        <rFont val="Calibri"/>
        <family val="2"/>
        <scheme val="minor"/>
      </rPr>
      <t xml:space="preserve">: El 02 de agosto del 2022 se realiza capacitación en las diferentes rutas de atención (diferentes tipos de violencia y temas de deserción escolar) a docentes de la institución educativa pedacito de cielo.  11  de agosto del 2022 se lleva acabo actividad cultural con 150 niños, niñas y adolescentes pertenecientes a diferentes instituciones educativas del municipio mediante obra de teatro, así mismo se presentan dos campañas una de prevención del maltrato infantil y otra sobre trabajo infantil por parte de la comisaria de familia y el enlace de infancia y adolescencia. El 12 de septiembre del 2022 por parte del equipo de la Comisaría de familia se realizan encuentros con padres de familia y estudiantes de diferentes instituciones del municipio donde se tratan temas relacionados a la convivencia escolar, pautas de crianza y violencia intrafamiliar.   20 de septiembre del 2022 en conmemoración a la semana andina se realiza jornada de capacitaciones en la institución educativa pedacito de cielo a 160 estudiantes aproximadamente de los grados 7,8 y 9 en relación a temas de prevención de embarazo a temprana edad, violencia sexual, violencia intrafamiliar, salud mental y convivencia escolar.
</t>
    </r>
    <r>
      <rPr>
        <b/>
        <sz val="10"/>
        <color theme="1"/>
        <rFont val="Calibri"/>
        <family val="2"/>
        <scheme val="minor"/>
      </rPr>
      <t>Comisaría de Familia Córdoba:</t>
    </r>
    <r>
      <rPr>
        <sz val="10"/>
        <color theme="1"/>
        <rFont val="Calibri"/>
        <family val="2"/>
        <scheme val="minor"/>
      </rPr>
      <t xml:space="preserve"> La Administración municipal cuenta con el Comité Convivencia Escolar, en donde se desarrollaron las cinco (05) sesiones, igualmente se dio cumplimiento con el Plan de Acción. La información no puede ser socializada en porcentaje (%) por el municipio. Igualmente se cuenta con el Comité Civil de Convivencia.  
</t>
    </r>
    <r>
      <rPr>
        <b/>
        <sz val="10"/>
        <color theme="1"/>
        <rFont val="Calibri"/>
        <family val="2"/>
        <scheme val="minor"/>
      </rPr>
      <t>Medicina Legal</t>
    </r>
    <r>
      <rPr>
        <sz val="10"/>
        <color theme="1"/>
        <rFont val="Calibri"/>
        <family val="2"/>
        <scheme val="minor"/>
      </rPr>
      <t xml:space="preserve">: Las actividades propuestas no hacen parte de la misión, ni de las funciones del Instituto Nacional de Medicina Legal y Ciencias Forenses.
</t>
    </r>
    <r>
      <rPr>
        <b/>
        <sz val="10"/>
        <color theme="1"/>
        <rFont val="Calibri"/>
        <family val="2"/>
        <scheme val="minor"/>
      </rPr>
      <t>ICBF:</t>
    </r>
    <r>
      <rPr>
        <sz val="10"/>
        <color theme="1"/>
        <rFont val="Calibri"/>
        <family val="2"/>
        <scheme val="minor"/>
      </rPr>
      <t xml:space="preserve"> *Fortalecimiento a I.E del Departamento en Prevención de Violencia en la escuela *Articulación con Policía de Infancia y Adolescencia para la prevención de la ESCNNA y trata de personas 
</t>
    </r>
  </si>
  <si>
    <r>
      <t xml:space="preserve">
</t>
    </r>
    <r>
      <rPr>
        <b/>
        <sz val="10"/>
        <color theme="1"/>
        <rFont val="Calibri"/>
        <family val="2"/>
        <scheme val="minor"/>
      </rPr>
      <t>Secretaría de Familia:</t>
    </r>
    <r>
      <rPr>
        <sz val="10"/>
        <color theme="1"/>
        <rFont val="Calibri"/>
        <family val="2"/>
        <scheme val="minor"/>
      </rPr>
      <t xml:space="preserve"> la tasa de accidentes fatales viales x 100 mil jóvenes es del 18,62% según fuente de verificación.
</t>
    </r>
    <r>
      <rPr>
        <b/>
        <sz val="10"/>
        <color theme="1"/>
        <rFont val="Calibri"/>
        <family val="2"/>
        <scheme val="minor"/>
      </rPr>
      <t>Alcaldía de Armenia:</t>
    </r>
    <r>
      <rPr>
        <sz val="10"/>
        <color theme="1"/>
        <rFont val="Calibri"/>
        <family val="2"/>
        <scheme val="minor"/>
      </rPr>
      <t xml:space="preserve"> Promoción, apoyo logístico, ejecución y dotación de grupos de recreación dirigida a 4216 jóvenes.
</t>
    </r>
    <r>
      <rPr>
        <b/>
        <sz val="10"/>
        <color theme="1"/>
        <rFont val="Calibri"/>
        <family val="2"/>
        <scheme val="minor"/>
      </rPr>
      <t>Alcaldía Salento:</t>
    </r>
    <r>
      <rPr>
        <sz val="10"/>
        <color theme="1"/>
        <rFont val="Calibri"/>
        <family val="2"/>
        <scheme val="minor"/>
      </rPr>
      <t xml:space="preserve"> En proceso la construcción de la Política Pública de Seguridad Vial, proceso a cargo de la Secretaría de Gobierno
</t>
    </r>
    <r>
      <rPr>
        <b/>
        <sz val="10"/>
        <color theme="1"/>
        <rFont val="Calibri"/>
        <family val="2"/>
        <scheme val="minor"/>
      </rPr>
      <t>Alcaldía de Calarcá</t>
    </r>
    <r>
      <rPr>
        <sz val="10"/>
        <color theme="1"/>
        <rFont val="Calibri"/>
        <family val="2"/>
        <scheme val="minor"/>
      </rPr>
      <t xml:space="preserve">: Se han realizado 246 campañas de educación vial en el  Municipio de Calarcá en donde  se han beneficiado los diferentes actores viales, especialmente jóvenes.
</t>
    </r>
    <r>
      <rPr>
        <b/>
        <sz val="10"/>
        <color theme="1"/>
        <rFont val="Calibri"/>
        <family val="2"/>
        <scheme val="minor"/>
      </rPr>
      <t xml:space="preserve">IDTQ: </t>
    </r>
    <r>
      <rPr>
        <sz val="10"/>
        <color theme="1"/>
        <rFont val="Calibri"/>
        <family val="2"/>
        <scheme val="minor"/>
      </rPr>
      <t xml:space="preserve">Estrategia de movilidad saludable, segura y sostenible efectivamente formulada y adoptada por parte del Instituto Departamental de Tránsito del Quindío, con el acompañamiento y el aporte técnico de las acciones de la Secretaría de familia.
Realizando por parte del IDTQ aportaciones en materia de movilidad, control al transito, señalización y educación vial.
</t>
    </r>
  </si>
  <si>
    <r>
      <t xml:space="preserve">
</t>
    </r>
    <r>
      <rPr>
        <b/>
        <sz val="10"/>
        <color theme="1"/>
        <rFont val="Calibri"/>
        <family val="2"/>
        <scheme val="minor"/>
      </rPr>
      <t>Secretaría de Salud:</t>
    </r>
    <r>
      <rPr>
        <sz val="10"/>
        <color theme="1"/>
        <rFont val="Calibri"/>
        <family val="2"/>
        <scheme val="minor"/>
      </rPr>
      <t xml:space="preserve">  Se realizan actividades como el seguimiento a la gestión del riesgo en los eventos violencia de género e intento de suicidio y otros trastornos mentales, en ese sentido se hace articulación con instituciones Prestadoras de Servicios de Salud y  así verificar los servicios de atención en salud mental y la mitigación de brechas de acceso. También se trabaja  de la mano  con planes locales de salud  municipales y/o subsecretarías de salud para planear, ejecutar y poner en marcha estrategias que permitan acceder adecuadamente a los servicios de salud. Se brinda asistencia y acompañamiento en los municipios del departamento, con relación a los eventos de interés en salud pública. Se orienta en las diferentes fases frente a la adopción y adaptación de la política pública de salud mental con el fin de articular todo el Departamento para la implementación de dicha normatividad. Se  brinda acompañamiento en términos de gestión del riesgo a las instituciones educativas de los 11 municipios de competencia también acompañamiento en la mitigación de las brechas de acceso en salud mental para la aplicación de tecnologías enmarcadas en la resolución 3280,  Dentro de las actividades puntuales se realizan las siguientes: * Capacitación a Familias y Jóvenes brindando información en temas de violencias, ideación suicida y trastornos mentales. * Psi coeducación en temática relacionadas a los eventos de interés en salud mental. * Asistencias técnicas a planes locales de salud en temas de salud mental. * Acompañamiento campaña en salud mental en Universidades del Departamento. *Campaña día mundial de la prevención del suicidio.
</t>
    </r>
    <r>
      <rPr>
        <b/>
        <sz val="10"/>
        <color theme="1"/>
        <rFont val="Calibri"/>
        <family val="2"/>
        <scheme val="minor"/>
      </rPr>
      <t>Alcaldía Génova</t>
    </r>
    <r>
      <rPr>
        <sz val="10"/>
        <color theme="1"/>
        <rFont val="Calibri"/>
        <family val="2"/>
        <scheme val="minor"/>
      </rPr>
      <t xml:space="preserve">: Prestación de servicios por el área de psicología a las personas que presenten problemas relacionados a su salud mental y así mismo remitir en caso tal de requerirse atención por el área de salud. - Realización de campañas, charlas y /o actividades en procura de  evitar problemas de salud mental que lleven a ideación o conducta suicida.
</t>
    </r>
    <r>
      <rPr>
        <b/>
        <sz val="10"/>
        <color theme="1"/>
        <rFont val="Calibri"/>
        <family val="2"/>
        <scheme val="minor"/>
      </rPr>
      <t>Alcaldía de Armenia:</t>
    </r>
    <r>
      <rPr>
        <sz val="10"/>
        <color theme="1"/>
        <rFont val="Calibri"/>
        <family val="2"/>
        <scheme val="minor"/>
      </rPr>
      <t xml:space="preserve"> La población cubierta con acciones de promoción de factores protectores frente a la conducta suicida es de 2935 jóvenes 
</t>
    </r>
    <r>
      <rPr>
        <b/>
        <sz val="10"/>
        <color theme="1"/>
        <rFont val="Calibri"/>
        <family val="2"/>
        <scheme val="minor"/>
      </rPr>
      <t>Alcaldía de Salento</t>
    </r>
    <r>
      <rPr>
        <sz val="10"/>
        <color theme="1"/>
        <rFont val="Calibri"/>
        <family val="2"/>
        <scheme val="minor"/>
      </rPr>
      <t xml:space="preserve">: Sostenimiento de los programas de atención psicológica establecidos en el municipio.
</t>
    </r>
    <r>
      <rPr>
        <b/>
        <sz val="10"/>
        <color theme="1"/>
        <rFont val="Calibri"/>
        <family val="2"/>
        <scheme val="minor"/>
      </rPr>
      <t>Alcaldía de Córdoba</t>
    </r>
    <r>
      <rPr>
        <sz val="10"/>
        <color theme="1"/>
        <rFont val="Calibri"/>
        <family val="2"/>
        <scheme val="minor"/>
      </rPr>
      <t xml:space="preserve">: La Administración Municipal, por parte del Plan Local de Salud Territorial maneja la línea de salud mental, con el fin de evitar suicidios en la población del municipio. Se realizan campañas en contra del suicidio a jóvenes de la Institución Educativa José Maria Córdoba a través del convenio celebrado con el hospital San Roque PIC-Plan de Intervenciones Colectivas.  
La información no puede ser socializada en porcentaje (%) por el municipio.         
</t>
    </r>
    <r>
      <rPr>
        <b/>
        <sz val="10"/>
        <color theme="1"/>
        <rFont val="Calibri"/>
        <family val="2"/>
        <scheme val="minor"/>
      </rPr>
      <t>Alcaldía de Montenegro:</t>
    </r>
    <r>
      <rPr>
        <sz val="10"/>
        <color theme="1"/>
        <rFont val="Calibri"/>
        <family val="2"/>
        <scheme val="minor"/>
      </rPr>
      <t xml:space="preserve"> No se maneja la tasa solicitada en el indicador no obstante, se realizan estrategias de prevención del suicidio, en instituciones educativas, en los diferentes barrios del municipio identificando los líderes y creando grupos de participación a los cuales, se les comparten temas de prevención en salud mental. También se realizan campañas por medio de redes sociales de la administración.
</t>
    </r>
    <r>
      <rPr>
        <b/>
        <sz val="10"/>
        <color theme="1"/>
        <rFont val="Calibri"/>
        <family val="2"/>
        <scheme val="minor"/>
      </rPr>
      <t xml:space="preserve">Alcaldía de Calarcá: </t>
    </r>
    <r>
      <rPr>
        <sz val="10"/>
        <color theme="1"/>
        <rFont val="Calibri"/>
        <family val="2"/>
        <scheme val="minor"/>
      </rPr>
      <t xml:space="preserve">Seguimientos realizados por el programa de salud mental, según reporte del SIVIGILA. Se realizaron tres jornadas de sensibilización en temas referentes a la prevención del suicidio y a la sexualidad responsable en la Institución Educativa Segundo Henao, donde se impactaron 75 jóvenes. 
</t>
    </r>
    <r>
      <rPr>
        <b/>
        <sz val="10"/>
        <color theme="1"/>
        <rFont val="Calibri"/>
        <family val="2"/>
        <scheme val="minor"/>
      </rPr>
      <t>Secretaría del Interior</t>
    </r>
    <r>
      <rPr>
        <sz val="10"/>
        <color theme="1"/>
        <rFont val="Calibri"/>
        <family val="2"/>
        <scheme val="minor"/>
      </rPr>
      <t xml:space="preserve">: La tasa actual es de  7.2 por cada 100.000 jóvenes según informe de página JUACO, 2021.
</t>
    </r>
    <r>
      <rPr>
        <b/>
        <sz val="10"/>
        <color rgb="FFFF0000"/>
        <rFont val="Calibri"/>
        <family val="2"/>
        <scheme val="minor"/>
      </rPr>
      <t/>
    </r>
  </si>
  <si>
    <r>
      <rPr>
        <b/>
        <sz val="10"/>
        <color theme="1"/>
        <rFont val="Calibri"/>
        <family val="2"/>
        <scheme val="minor"/>
      </rPr>
      <t>Secretaría del Interior:</t>
    </r>
    <r>
      <rPr>
        <sz val="10"/>
        <color theme="1"/>
        <rFont val="Calibri"/>
        <family val="2"/>
        <scheme val="minor"/>
      </rPr>
      <t xml:space="preserve"> Se realizó la actualización del Plan Integral Departamental de Derechos Humanos donde se establece la ruta de protección y el plan de prevención de derechos humanos. Cada municipio tiene el plan integral de prevención de derechos humanos.  
</t>
    </r>
    <r>
      <rPr>
        <b/>
        <sz val="10"/>
        <color theme="1"/>
        <rFont val="Calibri"/>
        <family val="2"/>
        <scheme val="minor"/>
      </rPr>
      <t xml:space="preserve">Secretaría de Familia: </t>
    </r>
    <r>
      <rPr>
        <sz val="10"/>
        <color theme="1"/>
        <rFont val="Calibri"/>
        <family val="2"/>
        <scheme val="minor"/>
      </rPr>
      <t xml:space="preserve">la tasa de violencia intrafamiliar x 100 mil jóvenes es del 12,27% según fuente de verificación.
</t>
    </r>
    <r>
      <rPr>
        <b/>
        <sz val="10"/>
        <color rgb="FFFF0000"/>
        <rFont val="Calibri"/>
        <family val="2"/>
        <scheme val="minor"/>
      </rPr>
      <t/>
    </r>
  </si>
  <si>
    <r>
      <t>Secretaría del Interior:</t>
    </r>
    <r>
      <rPr>
        <sz val="10"/>
        <color theme="1"/>
        <rFont val="Calibri"/>
        <family val="2"/>
        <scheme val="minor"/>
      </rPr>
      <t xml:space="preserve"> Se consultaron fuentes oficiales como la defensoría del pueblo y no se tiene información referente al reclutamiento de jóvenes víctimas del conflicto armado. Para la prevención se han realizado:  Jornada de sensibilización prevención y socialización del reclutamiento forzado y Jornada de sensibilización sobre la trata de personas en el Departamento del Quindío.
</t>
    </r>
    <r>
      <rPr>
        <b/>
        <sz val="10"/>
        <color theme="1"/>
        <rFont val="Calibri"/>
        <family val="2"/>
        <scheme val="minor"/>
      </rPr>
      <t>Policía Nacional:</t>
    </r>
    <r>
      <rPr>
        <sz val="10"/>
        <color theme="1"/>
        <rFont val="Calibri"/>
        <family val="2"/>
        <scheme val="minor"/>
      </rPr>
      <t xml:space="preserve"> El Grupo de Protección a la Infancia y Adolescencia realizó durante el IV trimestre en los 12 municipios del departamento, diferentes acciones de prevención, vigilancia y control más de 24 actividades enmarcadas en el cumplimiento de la política de prevención del reclutamiento y utilización de niños, niñas, adolescentes por parte de los grupos armados organizados al margen de la ley y de los grupos delictivos organizados, logrando sensibilizar y beneficiar a más de 642 personas, para finalizar el año 2022 no se cuenta con denuncias antes este grupo por reclutamiento de jóvenes víctimas en la región. </t>
    </r>
  </si>
  <si>
    <r>
      <rPr>
        <b/>
        <sz val="10"/>
        <color theme="1"/>
        <rFont val="Calibri"/>
        <family val="2"/>
        <scheme val="minor"/>
      </rPr>
      <t xml:space="preserve">Alcaldía Génova: </t>
    </r>
    <r>
      <rPr>
        <sz val="10"/>
        <color theme="1"/>
        <rFont val="Calibri"/>
        <family val="2"/>
        <scheme val="minor"/>
      </rPr>
      <t xml:space="preserve">Se realizan campañas sobre espacios libres de humo y consumo de sustancias,  se realiza plan de acción con  los integrantes del subcomité de sustancias psicoactivas.
</t>
    </r>
    <r>
      <rPr>
        <b/>
        <sz val="10"/>
        <color theme="1"/>
        <rFont val="Calibri"/>
        <family val="2"/>
        <scheme val="minor"/>
      </rPr>
      <t>Alcaldía Quimbaya:</t>
    </r>
    <r>
      <rPr>
        <sz val="10"/>
        <color theme="1"/>
        <rFont val="Calibri"/>
        <family val="2"/>
        <scheme val="minor"/>
      </rPr>
      <t xml:space="preserve"> En el municipio de Quimbaya las 7 instituciones educativas ejecutan proyectos de educación sexual y construcción de ciudadanía.
</t>
    </r>
    <r>
      <rPr>
        <b/>
        <sz val="10"/>
        <color theme="1"/>
        <rFont val="Calibri"/>
        <family val="2"/>
        <scheme val="minor"/>
      </rPr>
      <t>Alcaldía Salento:</t>
    </r>
    <r>
      <rPr>
        <sz val="10"/>
        <color theme="1"/>
        <rFont val="Calibri"/>
        <family val="2"/>
        <scheme val="minor"/>
      </rPr>
      <t xml:space="preserve"> Sostenimiento de los programas de atención psicológica establecidos en el municipio.
</t>
    </r>
    <r>
      <rPr>
        <b/>
        <sz val="10"/>
        <color theme="1"/>
        <rFont val="Calibri"/>
        <family val="2"/>
        <scheme val="minor"/>
      </rPr>
      <t>Alcaldía de Córdoba</t>
    </r>
    <r>
      <rPr>
        <sz val="10"/>
        <color theme="1"/>
        <rFont val="Calibri"/>
        <family val="2"/>
        <scheme val="minor"/>
      </rPr>
      <t xml:space="preserve">: Se realizan campañas de salud sexual y reproductiva a jóvenes de la Institución Educativa José Maria Córdoba a través del convenio celebrado con el hospital San Roque  PIC-Plan de Intervenciones Colectivas. Se realiza campaña de socialización de la ley 1622 de 2013 y 1757 de 2015 con apoyo de la Secretaría de Familia Departamental a través de la Jefatura de Juventud. La información no puede ser socializada en porcentaje (%) por el municipio.
</t>
    </r>
    <r>
      <rPr>
        <b/>
        <sz val="10"/>
        <color theme="1"/>
        <rFont val="Calibri"/>
        <family val="2"/>
        <scheme val="minor"/>
      </rPr>
      <t>Alcaldía de Montenegro</t>
    </r>
    <r>
      <rPr>
        <sz val="10"/>
        <color theme="1"/>
        <rFont val="Calibri"/>
        <family val="2"/>
        <scheme val="minor"/>
      </rPr>
      <t xml:space="preserve">: se realizan estrategias como la semana andina para reforzar los talleres que se dan constantemente en las instituciones educativas, no se manejan porcentajes estadísticos.
</t>
    </r>
    <r>
      <rPr>
        <b/>
        <sz val="10"/>
        <color theme="1"/>
        <rFont val="Calibri"/>
        <family val="2"/>
        <scheme val="minor"/>
      </rPr>
      <t>Alcaldía de Calarcá:</t>
    </r>
    <r>
      <rPr>
        <sz val="10"/>
        <color theme="1"/>
        <rFont val="Calibri"/>
        <family val="2"/>
        <scheme val="minor"/>
      </rPr>
      <t xml:space="preserve"> Se realizan talleres en las IE, estrategia comunicativa, seguimiento a los servicios amigables en el municipio. 
</t>
    </r>
    <r>
      <rPr>
        <b/>
        <sz val="10"/>
        <color theme="1"/>
        <rFont val="Calibri"/>
        <family val="2"/>
        <scheme val="minor"/>
      </rPr>
      <t>Alcaldía de Armenia</t>
    </r>
    <r>
      <rPr>
        <sz val="10"/>
        <color theme="1"/>
        <rFont val="Calibri"/>
        <family val="2"/>
        <scheme val="minor"/>
      </rPr>
      <t xml:space="preserve">: Personas sensibilizadas en el cuidado de la salud sexual y derechos sexuales y reproductivos 4000.
</t>
    </r>
    <r>
      <rPr>
        <b/>
        <sz val="10"/>
        <color theme="1"/>
        <rFont val="Calibri"/>
        <family val="2"/>
        <scheme val="minor"/>
      </rPr>
      <t>Secretaría de Educación:</t>
    </r>
    <r>
      <rPr>
        <sz val="10"/>
        <color theme="1"/>
        <rFont val="Calibri"/>
        <family val="2"/>
        <scheme val="minor"/>
      </rPr>
      <t xml:space="preserve"> 100% de las Instituciones Educativas Oficiales, llevan a cabo la ejecución de proyectos de Educación Sexual y Construcción de Ciudadania, además del trabajo continúo desde la dirección de calidad educativa en la revisión de los PEI para que contengan los líneamientos en los temas relacionados.</t>
    </r>
  </si>
  <si>
    <r>
      <rPr>
        <b/>
        <sz val="10"/>
        <color theme="1"/>
        <rFont val="Calibri"/>
        <family val="2"/>
        <scheme val="minor"/>
      </rPr>
      <t xml:space="preserve">Observación: </t>
    </r>
    <r>
      <rPr>
        <sz val="10"/>
        <color theme="1"/>
        <rFont val="Calibri"/>
        <family val="2"/>
        <scheme val="minor"/>
      </rPr>
      <t xml:space="preserve">Según el observatorio de Drogas los últimos datos corresponden al año 2013 y el Quindío se sitúa por encima de la media nacional.
</t>
    </r>
    <r>
      <rPr>
        <b/>
        <sz val="10"/>
        <color theme="1"/>
        <rFont val="Calibri"/>
        <family val="2"/>
        <scheme val="minor"/>
      </rPr>
      <t>Secretaría de Salud:</t>
    </r>
    <r>
      <rPr>
        <sz val="10"/>
        <color theme="1"/>
        <rFont val="Calibri"/>
        <family val="2"/>
        <scheme val="minor"/>
      </rPr>
      <t xml:space="preserve"> Actualmente el Quindío no cuenta con un Plan Departamental de Reducción del Consumo de Sustancias Psicoactivas dado que su vigencia fue hasta el 2019, sin embargo, se están realizando acciones en el marco de la Resolución 089 Por la cual se adopta la Política Integral para la Prevención y Atención del Consumo de Sustancias Psicoactivas.
*Acompañamiento en la ejecución del Programa de Seguimiento Judicial al Tratamiento de Drogas en el Sistema de Responsabilidad Penal para Adolescentes (SRPA)-Departamento de Quindío, actualmente se encuentran vinculados 3 adolescentes
*Seguimiento a la gestión del riesgo de más de 7 casos reportados por el SIVIGILA en el evento 365, intoxicaciones por sustancias químicas con intencional psicoactivo.
Asesoría y asistencia técnica al municipio de Montenegro en la formulación del plan Municipal de Drogas enmarcado en la Resolución 089 de 2019
*Un Comité Departamental de Drogas con énfasis en Reducción del Consumo de Sustancias Psicoactivas.
*Una mesa técnica con los Programas de Mantenimiento con Metadona (E.S.E Red Salud- Clínica el Prado y HMF)
*Asesoría y asistencia técnica a los Programas de Mantenimiento con Metadona (E.S.E Red Salud- Clínica el Prado y HMF) y la Secretaría de Salud del Municipio de Armenia para la implementación de la estrategia educativa Aguanta Cuidarse para la prevención de las infecciones transmitidas por vía sanguínea y otras infecciones de alta prevalencia en personas que se inyectan drogas (PID).
</t>
    </r>
    <r>
      <rPr>
        <b/>
        <sz val="10"/>
        <color theme="1"/>
        <rFont val="Calibri"/>
        <family val="2"/>
        <scheme val="minor"/>
      </rPr>
      <t>Secretaría de Familia</t>
    </r>
    <r>
      <rPr>
        <sz val="10"/>
        <color theme="1"/>
        <rFont val="Calibri"/>
        <family val="2"/>
        <scheme val="minor"/>
      </rPr>
      <t xml:space="preserve">: La prevalencia de consumo de sustancias psicoactivas último año en escolares es del  6,8% según fuente de verificación.
</t>
    </r>
    <r>
      <rPr>
        <b/>
        <sz val="10"/>
        <color theme="1"/>
        <rFont val="Calibri"/>
        <family val="2"/>
        <scheme val="minor"/>
      </rPr>
      <t>Secretaría de Educación</t>
    </r>
    <r>
      <rPr>
        <sz val="10"/>
        <color theme="1"/>
        <rFont val="Calibri"/>
        <family val="2"/>
        <scheme val="minor"/>
      </rPr>
      <t>: La Secretaría de Educación Departamental no lleva dentro de sus datos estadísticos, el número o porcentaje de estudiantes con prevalencia de consumo de sustancias psicoactivas, No obstante. A través de la Dirección de Cobertura Educativa se formula e implenta un trabajo dirigido al sector educativo:"Entidades territoriales con estrategias para la prevención de riesgos sociales en los entornos escolares implementadas" .</t>
    </r>
  </si>
  <si>
    <r>
      <rPr>
        <b/>
        <sz val="10"/>
        <color theme="1"/>
        <rFont val="Calibri"/>
        <family val="2"/>
        <scheme val="minor"/>
      </rPr>
      <t xml:space="preserve">Indeportes: </t>
    </r>
    <r>
      <rPr>
        <sz val="10"/>
        <color theme="1"/>
        <rFont val="Calibri"/>
        <family val="2"/>
        <scheme val="minor"/>
      </rPr>
      <t xml:space="preserve">En respuesta a la Ordenanza 026 del 18 de diciembre del 2020 se llevaron a cabo los Juegos Deportivos Departamentales y Para Departamentales 2022, donde se inscribieron 1694 deportistas compitiendo en 20 deportes convencionales y 8 adaptados, los municipios de Circasia, Montenegro, Calarcá y Córdoba recibieron a los deportistas en la fase zonal y en la capital Quindiana se disputó la fase final dejando como campeón a Armenia con 189 medallas, la Tebaida en el segundo puesto con 96 medallas y Quimbaya tercer puesto con 36.
</t>
    </r>
    <r>
      <rPr>
        <b/>
        <sz val="10"/>
        <color theme="1"/>
        <rFont val="Calibri"/>
        <family val="2"/>
        <scheme val="minor"/>
      </rPr>
      <t>Alcaldía de Filandia:</t>
    </r>
    <r>
      <rPr>
        <sz val="10"/>
        <color theme="1"/>
        <rFont val="Calibri"/>
        <family val="2"/>
        <scheme val="minor"/>
      </rPr>
      <t xml:space="preserve"> 3 jóvenes con logros deportivos en eventos internacionales, de los cuales uno pertenece a sector de discapacidad. 
</t>
    </r>
    <r>
      <rPr>
        <b/>
        <sz val="10"/>
        <color theme="1"/>
        <rFont val="Calibri"/>
        <family val="2"/>
        <scheme val="minor"/>
      </rPr>
      <t>Alcaldía la Tebaida:</t>
    </r>
    <r>
      <rPr>
        <sz val="10"/>
        <color theme="1"/>
        <rFont val="Calibri"/>
        <family val="2"/>
        <scheme val="minor"/>
      </rPr>
      <t xml:space="preserve"> en el mes de julio se contó con 56 jóvenes para representar al Municipio en los juegos Intercolegiados del Departamento.
</t>
    </r>
  </si>
  <si>
    <r>
      <rPr>
        <b/>
        <sz val="10"/>
        <color theme="1"/>
        <rFont val="Calibri"/>
        <family val="2"/>
        <scheme val="minor"/>
      </rPr>
      <t>Indeportes:</t>
    </r>
    <r>
      <rPr>
        <sz val="10"/>
        <color theme="1"/>
        <rFont val="Calibri"/>
        <family val="2"/>
        <scheme val="minor"/>
      </rPr>
      <t xml:space="preserve"> Se realizó asistencia técnica a 500 deportistas de reserva y altos logros deportivas en las líneas metodológica, jurídica y biomédica a niños y niñas talentos deportivos en diferentes disciplinas deportivas.</t>
    </r>
  </si>
  <si>
    <r>
      <t xml:space="preserve">Indeportes: </t>
    </r>
    <r>
      <rPr>
        <sz val="10"/>
        <color theme="1"/>
        <rFont val="Calibri"/>
        <family val="2"/>
        <scheme val="minor"/>
      </rPr>
      <t>5 deportes no convencionales apoyados.</t>
    </r>
    <r>
      <rPr>
        <b/>
        <sz val="10"/>
        <color theme="1"/>
        <rFont val="Calibri"/>
        <family val="2"/>
        <scheme val="minor"/>
      </rPr>
      <t xml:space="preserve">
Alcaldía de La Tebaida: </t>
    </r>
    <r>
      <rPr>
        <sz val="10"/>
        <color theme="1"/>
        <rFont val="Calibri"/>
        <family val="2"/>
        <scheme val="minor"/>
      </rPr>
      <t>patinaje y levantamiento de pesas</t>
    </r>
    <r>
      <rPr>
        <b/>
        <sz val="10"/>
        <color theme="1"/>
        <rFont val="Calibri"/>
        <family val="2"/>
        <scheme val="minor"/>
      </rPr>
      <t>.</t>
    </r>
  </si>
  <si>
    <r>
      <t>Secretaria de Turismo, Industria y Comercio:</t>
    </r>
    <r>
      <rPr>
        <sz val="10"/>
        <color theme="1"/>
        <rFont val="Calibri"/>
        <family val="2"/>
        <scheme val="minor"/>
      </rPr>
      <t xml:space="preserve"> Secretaría de Turismo Industria y Comercio: Se agotó el presupuesto en el periodo anterior.</t>
    </r>
    <r>
      <rPr>
        <b/>
        <sz val="10"/>
        <color theme="1"/>
        <rFont val="Calibri"/>
        <family val="2"/>
        <scheme val="minor"/>
      </rPr>
      <t xml:space="preserve">
Secretaría de Familia: </t>
    </r>
    <r>
      <rPr>
        <sz val="10"/>
        <color theme="1"/>
        <rFont val="Calibri"/>
        <family val="2"/>
        <scheme val="minor"/>
      </rPr>
      <t xml:space="preserve">Informa la promoción del turismo de naturaleza de aventura a través de la participación de la feria ANATO.
</t>
    </r>
    <r>
      <rPr>
        <b/>
        <sz val="10"/>
        <color theme="1"/>
        <rFont val="Calibri"/>
        <family val="2"/>
        <scheme val="minor"/>
      </rPr>
      <t xml:space="preserve">Alcaldía Salento: </t>
    </r>
    <r>
      <rPr>
        <sz val="10"/>
        <color theme="1"/>
        <rFont val="Calibri"/>
        <family val="2"/>
        <scheme val="minor"/>
      </rPr>
      <t>Actividades desarrolladas por parte del programa Cátedra de la Salentinidad hacia las instituciones educativas y población joven del municipio (Capacitación docentes y dotación material pedagógico).</t>
    </r>
    <r>
      <rPr>
        <b/>
        <sz val="10"/>
        <color theme="1"/>
        <rFont val="Calibri"/>
        <family val="2"/>
        <scheme val="minor"/>
      </rPr>
      <t xml:space="preserve">
Alcaldía de Córdoba: </t>
    </r>
    <r>
      <rPr>
        <sz val="10"/>
        <color theme="1"/>
        <rFont val="Calibri"/>
        <family val="2"/>
        <scheme val="minor"/>
      </rPr>
      <t xml:space="preserve"> En el Municipio a la fecha no existen alianzas para la promoción de turismo establecida para jóvenes, sin embargo empresas privadas como Soñarte y Café restaurante 1920, Los cainos, Café mujer  ubicadas en el municipio, fomentan  la promoción de turismo en jóvenes, buscando emplearlos en las diferentes áreas de dichas empresas. </t>
    </r>
    <r>
      <rPr>
        <b/>
        <sz val="10"/>
        <color theme="1"/>
        <rFont val="Calibri"/>
        <family val="2"/>
        <scheme val="minor"/>
      </rPr>
      <t xml:space="preserve">
Alcaldía de Calarcá: </t>
    </r>
    <r>
      <rPr>
        <sz val="10"/>
        <color theme="1"/>
        <rFont val="Calibri"/>
        <family val="2"/>
        <scheme val="minor"/>
      </rPr>
      <t xml:space="preserve">Desde la Secretaría de Desarrollo Económico, Ambiental y Comunitario se realizó con la IE Segundo Henao, jornada de socialización sobre el sector turístico del municipio en la Hacienda la Pradera. </t>
    </r>
    <r>
      <rPr>
        <b/>
        <sz val="10"/>
        <color theme="1"/>
        <rFont val="Calibri"/>
        <family val="2"/>
        <scheme val="minor"/>
      </rPr>
      <t xml:space="preserve">
</t>
    </r>
    <r>
      <rPr>
        <sz val="10"/>
        <color theme="1"/>
        <rFont val="Calibri"/>
        <family val="2"/>
        <scheme val="minor"/>
      </rPr>
      <t xml:space="preserve">
</t>
    </r>
    <r>
      <rPr>
        <b/>
        <sz val="10"/>
        <color theme="1"/>
        <rFont val="Calibri"/>
        <family val="2"/>
        <scheme val="minor"/>
      </rPr>
      <t xml:space="preserve">
</t>
    </r>
  </si>
  <si>
    <r>
      <t xml:space="preserve">   
</t>
    </r>
    <r>
      <rPr>
        <b/>
        <sz val="10"/>
        <color theme="1"/>
        <rFont val="Calibri"/>
        <family val="2"/>
        <scheme val="minor"/>
      </rPr>
      <t>Secretaría de Cultura</t>
    </r>
    <r>
      <rPr>
        <sz val="10"/>
        <color theme="1"/>
        <rFont val="Calibri"/>
        <family val="2"/>
        <scheme val="minor"/>
      </rPr>
      <t>: Una vez el comité evaluador culmina el proceso de evaluación  de los proyectos elegibles en el marco del programa  de concertación y estímulos 2022. El despacho del Señor Gobernador, profiere la resolución 4809 del 05 de julio de 2022 "POR MEDIO DE LA CUAL SE RECONOCEN LOS GANADORES DE LA CONVOCATORIA DEPARTAMENTAL DE CONCERTACIÓN DE PROYECTOS ARTÍSTICOS Y CULTURALES EN EL DEPARTAMENTO DEL QUINDÍO AÑO 2022 Y SE DICTAN OTRAS DISPOSICIONES, ninguno de los proyectos presentados y seleccionados benefician a este tipo de población, pero si se pueden beneficiar en la ejecución de estos 1.153 jóvenes.</t>
    </r>
  </si>
  <si>
    <r>
      <rPr>
        <b/>
        <sz val="10"/>
        <color theme="1"/>
        <rFont val="Calibri"/>
        <family val="2"/>
        <scheme val="minor"/>
      </rPr>
      <t>Secretaría de Cultura:</t>
    </r>
    <r>
      <rPr>
        <sz val="10"/>
        <color theme="1"/>
        <rFont val="Calibri"/>
        <family val="2"/>
        <scheme val="minor"/>
      </rPr>
      <t xml:space="preserve"> la Secretaría de Cultura realizó proceso de formación artística en las áreas de música, danzas, teatro y artes plásticas con la población juvenil  con el apoyo de las casas de la cultura,  en los cuales hemos contado con la asistencia de 240   jóvenes en este cuarto trimestre, para un total atendido en la vigencia de 4370 jóvenes.</t>
    </r>
  </si>
  <si>
    <r>
      <rPr>
        <b/>
        <sz val="10"/>
        <color theme="1"/>
        <rFont val="Calibri"/>
        <family val="2"/>
        <scheme val="minor"/>
      </rPr>
      <t>Secretaría de Familia</t>
    </r>
    <r>
      <rPr>
        <sz val="10"/>
        <color theme="1"/>
        <rFont val="Calibri"/>
        <family val="2"/>
        <scheme val="minor"/>
      </rPr>
      <t xml:space="preserve">: Se actualizó un micro sitio en la página web de la Gobernación orientado a difundir y socializar las actividades realizadas en el marco de la implementación de la Política Pública de Juventud.
</t>
    </r>
  </si>
  <si>
    <r>
      <t xml:space="preserve">
</t>
    </r>
    <r>
      <rPr>
        <b/>
        <sz val="10"/>
        <color theme="1"/>
        <rFont val="Calibri"/>
        <family val="2"/>
        <scheme val="minor"/>
      </rPr>
      <t>Secretaría de Educación:</t>
    </r>
    <r>
      <rPr>
        <sz val="10"/>
        <color theme="1"/>
        <rFont val="Calibri"/>
        <family val="2"/>
        <scheme val="minor"/>
      </rPr>
      <t xml:space="preserve"> Convocatoria programa ONDAS del Minsterio de Ciencia, Tecnología e innovación: 43 proyectos de investigación, ciencia y tecnología representan el 58,1% de los proyectos presentados a la convocatoria 2022. De acuerdo a esta estrategia se brinda asistencia técnica para su ejecución. 
Se estimaron 74 proyectos para ingresar a la convocatoria ONDAS 2022 con un presupuesto proyectado de $44.400.000
</t>
    </r>
    <r>
      <rPr>
        <b/>
        <sz val="10"/>
        <color theme="1"/>
        <rFont val="Calibri"/>
        <family val="2"/>
        <scheme val="minor"/>
      </rPr>
      <t>Universidad del Quindío:</t>
    </r>
    <r>
      <rPr>
        <sz val="10"/>
        <color theme="1"/>
        <rFont val="Calibri"/>
        <family val="2"/>
        <scheme val="minor"/>
      </rPr>
      <t xml:space="preserve"> Se tienen en cuenta proyectos desarrollados desde el año 2021 y que actualmente se encuentran en ejecución. 1. Desarrollo, enfoques y retos entre el uso y la apropiación de la interacción tecnología - comunicación - educación en el aula virtual para el aprehender mediático en los programas de CSP de Uniquindío y CSOD de Uniminuto. 2. Análisis del rendimiento académico de los estudiantes de la Universidad del Quindío aplicando técnicas de minería de datos.
3. Enfoque alfabético multimodal para el desarrollo de la escritura del artículo de revisión exploratoria en lengua materna de estudiantes de licenciatura en lenguas modernas 4. Incidencia del camino lector infantil en la formación del adulto - mediador de lectura: un estudio de caso desarrollado con estudiantes de la Licenciatura en Literatura y Lengua Castellana de la Universidad del Quindío 5. Ocio y tiempo libre en la comunidad educativa UNIQUINDIANA.
</t>
    </r>
    <r>
      <rPr>
        <b/>
        <sz val="10"/>
        <color theme="1"/>
        <rFont val="Calibri"/>
        <family val="2"/>
        <scheme val="minor"/>
      </rPr>
      <t>Universidad EAM:</t>
    </r>
    <r>
      <rPr>
        <sz val="10"/>
        <color theme="1"/>
        <rFont val="Calibri"/>
        <family val="2"/>
        <scheme val="minor"/>
      </rPr>
      <t xml:space="preserve"> Semilleros de investigación Ponencias .
</t>
    </r>
    <r>
      <rPr>
        <b/>
        <sz val="10"/>
        <color theme="1"/>
        <rFont val="Calibri"/>
        <family val="2"/>
        <scheme val="minor"/>
      </rPr>
      <t>Secretaría de Familia:</t>
    </r>
    <r>
      <rPr>
        <sz val="10"/>
        <color theme="1"/>
        <rFont val="Calibri"/>
        <family val="2"/>
        <scheme val="minor"/>
      </rPr>
      <t xml:space="preserve">  desde la jefatura de juventud no se realizan investigaciones sobre dinámicas juveniles 
</t>
    </r>
    <r>
      <rPr>
        <b/>
        <sz val="10"/>
        <color theme="1"/>
        <rFont val="Calibri"/>
        <family val="2"/>
        <scheme val="minor"/>
      </rPr>
      <t xml:space="preserve">Universidad la Gran Colombia: </t>
    </r>
    <r>
      <rPr>
        <sz val="10"/>
        <color theme="1"/>
        <rFont val="Calibri"/>
        <family val="2"/>
        <scheme val="minor"/>
      </rPr>
      <t xml:space="preserve">Durante lo corrido de la actual vigencia, el centro de pensamiento “La Esperanza” Don Pedro Lain Entralgo de la Universidad la Gran Colombia, mediante el semillero de investigación de Ciudadanías juveniles, viene ejecutando acciones en función de convertirse en un observatorio de Juventudes; en el marco de lo anterior, actualmente se encuentra en curso 4 investigaciones sobre juventudes desarrollando temas como: 1. La cultura juvenil, 2. seguimiento a la política pública de juventudes del municipio de Armenia,  3. Emprendimiento juveniles en el municipio de Calarcá, 4.Suicidio en la juventud del municipio de Armenia.
</t>
    </r>
    <r>
      <rPr>
        <b/>
        <sz val="10"/>
        <color theme="1"/>
        <rFont val="Calibri"/>
        <family val="2"/>
        <scheme val="minor"/>
      </rPr>
      <t>Secretaría del Interior:</t>
    </r>
    <r>
      <rPr>
        <sz val="10"/>
        <color theme="1"/>
        <rFont val="Calibri"/>
        <family val="2"/>
        <scheme val="minor"/>
      </rPr>
      <t xml:space="preserve"> Apoyo a investigaciones, establecimiento de alianzas con entidades de educación superior para el desarrollo de procesos  investigativos, diseño y puesta en marcha de un observatorio de Juventud.
</t>
    </r>
  </si>
  <si>
    <r>
      <t xml:space="preserve">
</t>
    </r>
    <r>
      <rPr>
        <b/>
        <sz val="10"/>
        <color theme="1"/>
        <rFont val="Calibri"/>
        <family val="2"/>
        <scheme val="minor"/>
      </rPr>
      <t xml:space="preserve">Universidad del Quindío: </t>
    </r>
    <r>
      <rPr>
        <sz val="10"/>
        <color theme="1"/>
        <rFont val="Calibri"/>
        <family val="2"/>
        <scheme val="minor"/>
      </rPr>
      <t xml:space="preserve">Se realizaron en lo corrido del año 2022 alrededor de 45 actividades de aprendizaje permanente superiores a 40 horas que dentro de la población beneficiada incluyen jóvenes entre los 14 y 28 años, en el presupuesto se consideran recursos de actividades sociales, solidarias y remuneradas.
</t>
    </r>
    <r>
      <rPr>
        <b/>
        <sz val="10"/>
        <color theme="1"/>
        <rFont val="Calibri"/>
        <family val="2"/>
        <scheme val="minor"/>
      </rPr>
      <t>Universidad San  Buenaventura</t>
    </r>
    <r>
      <rPr>
        <sz val="10"/>
        <color theme="1"/>
        <rFont val="Calibri"/>
        <family val="2"/>
        <scheme val="minor"/>
      </rPr>
      <t xml:space="preserve">: Estudiantes del colegio José Rufino centro, se beneficiaron del curso gratuito brindado por el Centro de Idiomas de la universidad de San Buenaventura  con el objetivo de mejorar e impulsar el conocimiento de una segunda lengua (inglés) y  fortalecer a lo estudiantes para las pruebas saber pro. 
</t>
    </r>
    <r>
      <rPr>
        <b/>
        <sz val="10"/>
        <color theme="1"/>
        <rFont val="Calibri"/>
        <family val="2"/>
        <scheme val="minor"/>
      </rPr>
      <t>Universidad EAM:</t>
    </r>
    <r>
      <rPr>
        <sz val="10"/>
        <color theme="1"/>
        <rFont val="Calibri"/>
        <family val="2"/>
        <scheme val="minor"/>
      </rPr>
      <t xml:space="preserve"> 2 diplomados: Diplomado en Pedagogía y Docencia con 14 estudiantes y el Diplomado en Comunicación Digital y Marketing de Contenidos: 14 estudiantes
</t>
    </r>
    <r>
      <rPr>
        <b/>
        <sz val="10"/>
        <color theme="1"/>
        <rFont val="Calibri"/>
        <family val="2"/>
        <scheme val="minor"/>
      </rPr>
      <t>Secretaría de Familia:</t>
    </r>
    <r>
      <rPr>
        <sz val="10"/>
        <color theme="1"/>
        <rFont val="Calibri"/>
        <family val="2"/>
        <scheme val="minor"/>
      </rPr>
      <t xml:space="preserve"> se realizó el curso de "Tú emprendimiento a otro nivel" y una alianza con la Universidad de Manizales para capacitar a los jóvenes en temas orientados a proyecto de vida. Además se encuentra en etapa de convocatoria  para el desarrollo de un diplomado de emprendimiento. 
</t>
    </r>
    <r>
      <rPr>
        <b/>
        <sz val="10"/>
        <color theme="1"/>
        <rFont val="Calibri"/>
        <family val="2"/>
        <scheme val="minor"/>
      </rPr>
      <t>Universidad la Gran Colombia:</t>
    </r>
    <r>
      <rPr>
        <sz val="10"/>
        <color theme="1"/>
        <rFont val="Calibri"/>
        <family val="2"/>
        <scheme val="minor"/>
      </rPr>
      <t xml:space="preserve"> 1. Diplomado en Planificación Participativa y Estratégica, el cual ha contado con la participación de 6 jóvenes - Consejeros Territoriales de Planeación.
</t>
    </r>
    <r>
      <rPr>
        <b/>
        <sz val="10"/>
        <color theme="1"/>
        <rFont val="Calibri"/>
        <family val="2"/>
        <scheme val="minor"/>
      </rPr>
      <t>Secretaría del Interior:</t>
    </r>
    <r>
      <rPr>
        <sz val="10"/>
        <color theme="1"/>
        <rFont val="Calibri"/>
        <family val="2"/>
        <scheme val="minor"/>
      </rPr>
      <t xml:space="preserve"> Realización de cursos, seminarios y diplomados, establecimiento de alianzas con instituciones de educación superior para la oferta de programas relacionados con juventud.
</t>
    </r>
    <r>
      <rPr>
        <b/>
        <sz val="10"/>
        <color theme="1"/>
        <rFont val="Calibri"/>
        <family val="2"/>
        <scheme val="minor"/>
      </rPr>
      <t xml:space="preserve"> Secretaría de Educación:</t>
    </r>
    <r>
      <rPr>
        <sz val="10"/>
        <color theme="1"/>
        <rFont val="Calibri"/>
        <family val="2"/>
        <scheme val="minor"/>
      </rPr>
      <t>Se continúa con 2 Estrategias y programas de fomento para acceso y permanencia a la educación superior o postsecundaria implementados. *  Estrategia 1 - Fondo de Apoyo para el Ingreso a la Educación Superior: Reunión con la Universidad del Quindío y rectores de instituciones educativas para presentar proceso de articulación con la Educación superior y las Instituciones Educativas en los programas de Ingeniería de Sistemas y computación, Tecnología en instrumentación electrónica y Lenguas Modernas.* Estrategia 2 - Articulación con el SENA y la Educación Media: se benefician a estudiantes de grados 10 y 11 de 44 instituciones educativas del departamento con programas de formación de técnico competencias laborales que orientan los centros de formación del SENA: Comercio y Turismo, Centro para el desarrollo de la Construcción y la industria y, Centro Agroindustrial. Para apoyar este programa se han realizado las siguientes acciones: Se realizaron comités con los Directivos SENA (Centro Agroindustrial, Centro para el desarrollo de la construcción y la industria, Centro de comercio y turismo) con el objetivo de realizar seguimiento mensual al programa de articulación que se tiene en 44 Instituciones Educativas adscritas a la secretaria de Educación Departamental. Se realizó comité con los directivos SENA, con el objetivo de hacer seguimiento al programa de articulación con el SENA, y hacer el alistamiento para la vigencia 2023 con las Instituciones Educativas que continúan articuladas con dicha entidad.</t>
    </r>
  </si>
  <si>
    <r>
      <t xml:space="preserve">
</t>
    </r>
    <r>
      <rPr>
        <b/>
        <sz val="10"/>
        <color theme="1"/>
        <rFont val="Calibri"/>
        <family val="2"/>
        <scheme val="minor"/>
      </rPr>
      <t>Secretaría de Familia:</t>
    </r>
    <r>
      <rPr>
        <sz val="10"/>
        <color theme="1"/>
        <rFont val="Calibri"/>
        <family val="2"/>
        <scheme val="minor"/>
      </rPr>
      <t xml:space="preserve"> La Secretaría de Familia reporta la existencia de 11 espacios de participación los cuales tienen dentro de sus funciones hacer control social a lo público.
</t>
    </r>
  </si>
  <si>
    <r>
      <rPr>
        <b/>
        <sz val="10"/>
        <color theme="1"/>
        <rFont val="Calibri"/>
        <family val="2"/>
        <scheme val="minor"/>
      </rPr>
      <t xml:space="preserve">Secretaría de Planeación: </t>
    </r>
    <r>
      <rPr>
        <sz val="10"/>
        <color theme="1"/>
        <rFont val="Calibri"/>
        <family val="2"/>
        <scheme val="minor"/>
      </rPr>
      <t xml:space="preserve">La Secretaría de Planeación coordinó  durante el primer y segundo trimestre, acciones a través de Comité de Aprestamiento la Rendición Pública de Cuentas de la Administración Departamental vigencia 2021 que se llevó a cabo el día 29 de junio de 2022,  en cumplimiento de las  metas del  Plan de Desarrollo 2020-2023 , por medio de las diferentes líneas estratégicas ( Inclusión Social y Equidad, Productividad y Competitividad, Territorio, Ambiente y Desarrollo Sostenible y Liderazgo Gobernabilidad y Transparencia, en la cual se encuentran descritos logros  de la política Pública  de juventud.
</t>
    </r>
    <r>
      <rPr>
        <b/>
        <sz val="10"/>
        <color theme="1"/>
        <rFont val="Calibri"/>
        <family val="2"/>
        <scheme val="minor"/>
      </rPr>
      <t>Secretaría de Familia:</t>
    </r>
    <r>
      <rPr>
        <sz val="10"/>
        <color theme="1"/>
        <rFont val="Calibri"/>
        <family val="2"/>
        <scheme val="minor"/>
      </rPr>
      <t xml:space="preserve"> Se realizó el seguimiento cuarto trimestre 2022, correspondiente a la implementación de la Política Pública de Juventud.
</t>
    </r>
  </si>
  <si>
    <r>
      <rPr>
        <b/>
        <sz val="10"/>
        <color theme="1"/>
        <rFont val="Calibri"/>
        <family val="2"/>
        <scheme val="minor"/>
      </rPr>
      <t>Alcaldía de Salento</t>
    </r>
    <r>
      <rPr>
        <sz val="10"/>
        <color theme="1"/>
        <rFont val="Calibri"/>
        <family val="2"/>
        <scheme val="minor"/>
      </rPr>
      <t xml:space="preserve">: Aprobación de recursos por valor de $5.000.000, a través del programa Planta para el mejoramiento de la Casa de la Juventud
</t>
    </r>
    <r>
      <rPr>
        <b/>
        <sz val="10"/>
        <color theme="1"/>
        <rFont val="Calibri"/>
        <family val="2"/>
        <scheme val="minor"/>
      </rPr>
      <t xml:space="preserve">Alcaldía de Buenavista: </t>
    </r>
    <r>
      <rPr>
        <sz val="10"/>
        <color theme="1"/>
        <rFont val="Calibri"/>
        <family val="2"/>
        <scheme val="minor"/>
      </rPr>
      <t xml:space="preserve">No se cuenta con casa de la juventud en el municipio.
</t>
    </r>
    <r>
      <rPr>
        <b/>
        <sz val="10"/>
        <color theme="1"/>
        <rFont val="Calibri"/>
        <family val="2"/>
        <scheme val="minor"/>
      </rPr>
      <t xml:space="preserve">Alcaldía de Génova: </t>
    </r>
    <r>
      <rPr>
        <sz val="10"/>
        <color theme="1"/>
        <rFont val="Calibri"/>
        <family val="2"/>
        <scheme val="minor"/>
      </rPr>
      <t xml:space="preserve">No se cuenta con casa de la juventud en el municipio.
</t>
    </r>
    <r>
      <rPr>
        <b/>
        <sz val="10"/>
        <color theme="1"/>
        <rFont val="Calibri"/>
        <family val="2"/>
        <scheme val="minor"/>
      </rPr>
      <t>Alcaldía Quimbaya:</t>
    </r>
    <r>
      <rPr>
        <sz val="10"/>
        <color theme="1"/>
        <rFont val="Calibri"/>
        <family val="2"/>
        <scheme val="minor"/>
      </rPr>
      <t xml:space="preserve"> En el municipio de Quimbaya no existe casa de la juventud.
</t>
    </r>
    <r>
      <rPr>
        <b/>
        <sz val="10"/>
        <color theme="1"/>
        <rFont val="Calibri"/>
        <family val="2"/>
        <scheme val="minor"/>
      </rPr>
      <t xml:space="preserve">Alcaldía de Tebaida: </t>
    </r>
    <r>
      <rPr>
        <sz val="10"/>
        <color theme="1"/>
        <rFont val="Calibri"/>
        <family val="2"/>
        <scheme val="minor"/>
      </rPr>
      <t xml:space="preserve">en este trimestre la administración Municipal, conto con la elaboración de 2 nuevos murales en la casa de la juventud.  
</t>
    </r>
    <r>
      <rPr>
        <b/>
        <sz val="10"/>
        <color theme="1"/>
        <rFont val="Calibri"/>
        <family val="2"/>
        <scheme val="minor"/>
      </rPr>
      <t>Alcaldía Circasia:</t>
    </r>
    <r>
      <rPr>
        <sz val="10"/>
        <color theme="1"/>
        <rFont val="Calibri"/>
        <family val="2"/>
        <scheme val="minor"/>
      </rPr>
      <t xml:space="preserve"> No cuenta con casa de la juventud.
</t>
    </r>
    <r>
      <rPr>
        <b/>
        <sz val="10"/>
        <color theme="1"/>
        <rFont val="Calibri"/>
        <family val="2"/>
        <scheme val="minor"/>
      </rPr>
      <t>Alcaldía de Armenia</t>
    </r>
    <r>
      <rPr>
        <sz val="10"/>
        <color theme="1"/>
        <rFont val="Calibri"/>
        <family val="2"/>
        <scheme val="minor"/>
      </rPr>
      <t xml:space="preserve">: 1 casa de la juventud funcionando en el barrio 7 de agosto con la estrategia "parche pa todos" 
</t>
    </r>
    <r>
      <rPr>
        <b/>
        <sz val="10"/>
        <color theme="1"/>
        <rFont val="Calibri"/>
        <family val="2"/>
        <scheme val="minor"/>
      </rPr>
      <t xml:space="preserve">Alcaldía Montenegro: </t>
    </r>
    <r>
      <rPr>
        <sz val="10"/>
        <color theme="1"/>
        <rFont val="Calibri"/>
        <family val="2"/>
        <scheme val="minor"/>
      </rPr>
      <t xml:space="preserve">No existe casa de la juventud en el municipio actualmente no obstante, se gestionan espacios a los jóvenes para el desarrollo de sus encuentros y actividades en la casa de la cultura del municipio y el teatro esmeralda .
</t>
    </r>
    <r>
      <rPr>
        <b/>
        <sz val="10"/>
        <color theme="1"/>
        <rFont val="Calibri"/>
        <family val="2"/>
        <scheme val="minor"/>
      </rPr>
      <t>Alcaldía de Filandia:</t>
    </r>
    <r>
      <rPr>
        <sz val="10"/>
        <color theme="1"/>
        <rFont val="Calibri"/>
        <family val="2"/>
        <scheme val="minor"/>
      </rPr>
      <t xml:space="preserve"> El municipio de Filandia cuenta con la casa de la cultura , la cual maneja diversos grupos infantiles y juveniles. </t>
    </r>
    <r>
      <rPr>
        <b/>
        <sz val="10"/>
        <color theme="1"/>
        <rFont val="Calibri"/>
        <family val="2"/>
        <scheme val="minor"/>
      </rPr>
      <t xml:space="preserve">
Alcaldía Pijao:</t>
    </r>
    <r>
      <rPr>
        <sz val="10"/>
        <color theme="1"/>
        <rFont val="Calibri"/>
        <family val="2"/>
        <scheme val="minor"/>
      </rPr>
      <t xml:space="preserve"> se cuenta con casa de la juventud, en la que los jóvenes realizan sus distintas actividades, se le han hecho mejoras gracias a la ayuda de la Secretaría de familia y otros entes.
</t>
    </r>
    <r>
      <rPr>
        <b/>
        <sz val="10"/>
        <color theme="1"/>
        <rFont val="Calibri"/>
        <family val="2"/>
        <scheme val="minor"/>
      </rPr>
      <t>Alcaldía de Calarcá:</t>
    </r>
    <r>
      <rPr>
        <sz val="10"/>
        <color theme="1"/>
        <rFont val="Calibri"/>
        <family val="2"/>
        <scheme val="minor"/>
      </rPr>
      <t xml:space="preserve"> 1 casa de la juventud ubicada en la antigua escuela Matilde Buriticá, los jóvenes cuentan con 100 butacas, tres mesas, una cabina de sonido y un video beam, para apoyo en sus actividades.
</t>
    </r>
    <r>
      <rPr>
        <b/>
        <sz val="10"/>
        <color theme="1"/>
        <rFont val="Calibri"/>
        <family val="2"/>
        <scheme val="minor"/>
      </rPr>
      <t>Secretaría de Familia:</t>
    </r>
    <r>
      <rPr>
        <sz val="10"/>
        <color theme="1"/>
        <rFont val="Calibri"/>
        <family val="2"/>
        <scheme val="minor"/>
      </rPr>
      <t xml:space="preserve"> Reporta que en los municipios de Buenavista, Génova, Quimbaya, Circasia, Montenegro, Filandia y Córdoba no ceuntan con Casa de la Juventud. 
</t>
    </r>
    <r>
      <rPr>
        <b/>
        <sz val="10"/>
        <color theme="1"/>
        <rFont val="Calibri"/>
        <family val="2"/>
        <scheme val="minor"/>
      </rPr>
      <t xml:space="preserve">Alcaldía de Córdoba: </t>
    </r>
    <r>
      <rPr>
        <sz val="10"/>
        <color theme="1"/>
        <rFont val="Calibri"/>
        <family val="2"/>
        <scheme val="minor"/>
      </rPr>
      <t xml:space="preserve"> En el municipio no se cuenta con la casa de la Juventud, sin embargo se habilitaron las instalaciones de la casa de la cultura y el Honorable Concejo municipal para la realización de las reuniones juveniles y siempre que sea solicitado un espacio para sus actividades se busca el mas idóneo  para el desarrollo de las mismas.  
</t>
    </r>
  </si>
  <si>
    <r>
      <rPr>
        <b/>
        <sz val="10"/>
        <color theme="1"/>
        <rFont val="Calibri"/>
        <family val="2"/>
        <scheme val="minor"/>
      </rPr>
      <t>Secretaría de Familia:</t>
    </r>
    <r>
      <rPr>
        <sz val="10"/>
        <color theme="1"/>
        <rFont val="Calibri"/>
        <family val="2"/>
        <scheme val="minor"/>
      </rPr>
      <t xml:space="preserve">  Reporta que los doce municipios del Departamento del Quindío tienen Consejo Municipal de Juventud posesionado, instalado y funcionando. Adicionalmente, mediante el Decreto 00095 de 2022, se instaló y posesionó el Consejo Departamental de Juventud,  el día 11 de febrero de 2022, al cual se le ha brindado asistencia técnica y acompañamiento en sesiones descentralizadas.
</t>
    </r>
    <r>
      <rPr>
        <b/>
        <sz val="10"/>
        <color theme="1"/>
        <rFont val="Calibri"/>
        <family val="2"/>
        <scheme val="minor"/>
      </rPr>
      <t>Alcaldía de Calarcá:</t>
    </r>
    <r>
      <rPr>
        <sz val="10"/>
        <color theme="1"/>
        <rFont val="Calibri"/>
        <family val="2"/>
        <scheme val="minor"/>
      </rPr>
      <t xml:space="preserve"> Por medio de la Resolución N° 943 DEL 18 de octubre del 2022 "Por medio de la cual se adopta el procedimiento para la posesión y operación del Consejo Municipal de Juventudes del municipio de Calarcá-Quindío"; para un total de 17 integrantes. Así mismo en el mes de Diciembre se realiza entrega de 17 entradas al parque del café para el fortalecimiento de las instancias del consejo y plataforma de juventudes.</t>
    </r>
  </si>
  <si>
    <r>
      <rPr>
        <b/>
        <sz val="10"/>
        <color theme="1"/>
        <rFont val="Calibri"/>
        <family val="2"/>
        <scheme val="minor"/>
      </rPr>
      <t xml:space="preserve">
Alcaldía Córdoba:</t>
    </r>
    <r>
      <rPr>
        <sz val="10"/>
        <color theme="1"/>
        <rFont val="Calibri"/>
        <family val="2"/>
        <scheme val="minor"/>
      </rPr>
      <t xml:space="preserve"> En el Municipio de Córdoba se cuenta con la plataforma municipal de juventud mediante acta de la personería municipal, realizó sesión extraordinaria para la implementación de la ruta de estímulos y reformas al estatuto de ciudadanía juvenil, con el fin de crear la propuesta de la lista de estímulos y reforma al estatuto de ciudadanía juvenil según los lineamientos del orden nacional en la guía en la Ruta de Estímulos y Reforma al Estatuto de Ciudadanía juvenil.
</t>
    </r>
    <r>
      <rPr>
        <b/>
        <sz val="10"/>
        <color theme="1"/>
        <rFont val="Calibri"/>
        <family val="2"/>
        <scheme val="minor"/>
      </rPr>
      <t>Secretaría de Familia:</t>
    </r>
    <r>
      <rPr>
        <sz val="10"/>
        <color theme="1"/>
        <rFont val="Calibri"/>
        <family val="2"/>
        <scheme val="minor"/>
      </rPr>
      <t xml:space="preserve"> Reporta que los doce municipios del departamento del Quindío,  tienen Plataforma de Juventud registradas ante personería municipal y funcionando. Además de esto, también se cuenta con Plataforma Departamental de Juventud, la cual fue actualizada en el mes de mayo.
</t>
    </r>
  </si>
  <si>
    <r>
      <rPr>
        <b/>
        <sz val="10"/>
        <color theme="1"/>
        <rFont val="Calibri"/>
        <family val="2"/>
        <scheme val="minor"/>
      </rPr>
      <t>Secretaría de Turismo Industria y Comercio:</t>
    </r>
    <r>
      <rPr>
        <sz val="10"/>
        <color theme="1"/>
        <rFont val="Calibri"/>
        <family val="2"/>
        <scheme val="minor"/>
      </rPr>
      <t xml:space="preserve"> A través del proyecto "Fortalecimiento del ecosistema de emprendimiento mediante el acompañamiento técnico y servicio de apoyo financiero para emprendedores en el Departamento del Quindío." CÓDIGO BPPIN: 2021003630014, financiado con recursos del SGR (Sistema General de Regalías), se viene realizando asistencia técnica en el Centro de Innovación y Emprendimiento CINNE con el fin de realizar el acompañamiento respectivo a las iniciativas. De acuerdo a la población objeto se tienen siete (7) emprendimientos dentro de los cuales dos (2) están en entrevista inicial: Trenno Sport área comercio,  Sinnestesia Handmade miniatura (arte y entretenimiento) y cinco (5) en ruta: Leal proyectos y consultoría (medio ambiente), la gracia -Panadería bajo 0 (manufactura), Bocaditos con amor (productos alimenticios congelados), café especialidad (cafetería)
</t>
    </r>
    <r>
      <rPr>
        <b/>
        <sz val="10"/>
        <color theme="1"/>
        <rFont val="Calibri"/>
        <family val="2"/>
        <scheme val="minor"/>
      </rPr>
      <t xml:space="preserve">SENA: </t>
    </r>
    <r>
      <rPr>
        <sz val="10"/>
        <color theme="1"/>
        <rFont val="Calibri"/>
        <family val="2"/>
        <scheme val="minor"/>
      </rPr>
      <t xml:space="preserve">Hasta la fecha se han formado 20.286 aprendices.
</t>
    </r>
    <r>
      <rPr>
        <b/>
        <sz val="10"/>
        <color theme="1"/>
        <rFont val="Calibri"/>
        <family val="2"/>
        <scheme val="minor"/>
      </rPr>
      <t>Nota:</t>
    </r>
    <r>
      <rPr>
        <sz val="10"/>
        <color theme="1"/>
        <rFont val="Calibri"/>
        <family val="2"/>
        <scheme val="minor"/>
      </rPr>
      <t xml:space="preserve"> Es importante resaltar que el indicador y medio de verificación no permiten realizar un adecuado seguimiento al cumplimiento de la actividad ya que como se puede evidenciar desde la Administración Departamental y actores externos, se impacta pero no se refleja en el porcentaje de avance.  
</t>
    </r>
  </si>
  <si>
    <r>
      <rPr>
        <b/>
        <sz val="10"/>
        <color theme="1"/>
        <rFont val="Calibri"/>
        <family val="2"/>
        <scheme val="minor"/>
      </rPr>
      <t xml:space="preserve">
Cámara de Comercio de Armenia y del Quindío:  </t>
    </r>
    <r>
      <rPr>
        <sz val="10"/>
        <color theme="1"/>
        <rFont val="Calibri"/>
        <family val="2"/>
        <scheme val="minor"/>
      </rPr>
      <t xml:space="preserve">La tasa de desempleo juvenil en la ciudad de Armenia es de 20,5 según el DANE en su último informe publicado
</t>
    </r>
    <r>
      <rPr>
        <b/>
        <sz val="10"/>
        <color theme="1"/>
        <rFont val="Calibri"/>
        <family val="2"/>
        <scheme val="minor"/>
      </rPr>
      <t xml:space="preserve">Secretaría Turismo, Industria y Comercio: </t>
    </r>
    <r>
      <rPr>
        <sz val="10"/>
        <color theme="1"/>
        <rFont val="Calibri"/>
        <family val="2"/>
        <scheme val="minor"/>
      </rPr>
      <t>Ciento tres (103) iniciativas vinculadas a proyectos innovadores y de emprendimiento. Por medio del proyecto "Fortalecimiento del ecosistema de emprendimiento mediante el acompañamiento técnico y servicio de apoyo financiero para emprendedores en el Departamento del Quindío." CÓDIGO BPPIN: 2021003630014, financiado con recursos del SGR (Sistema General de Regalías), Además de la realización de asistencias técnicas a los emprendimientos del grupo poblacional. 
Por medio del convenio suscrito entre el departamento y el banco agrario (2021-2022) el cual busca apoyar emprendimientos formales e informales a través de líneas de crédito, donde los recursos públicos son utilizados para subsidiar una tasa compensada, y en los cuales se identificó la siguiente información del enfoque poblacional objetivo:  11 Desembolsos para capital de trabajo.</t>
    </r>
    <r>
      <rPr>
        <b/>
        <sz val="10"/>
        <color theme="1"/>
        <rFont val="Calibri"/>
        <family val="2"/>
        <scheme val="minor"/>
      </rPr>
      <t xml:space="preserve">
Secretaría de Agricultura:</t>
    </r>
    <r>
      <rPr>
        <sz val="10"/>
        <color theme="1"/>
        <rFont val="Calibri"/>
        <family val="2"/>
        <scheme val="minor"/>
      </rPr>
      <t xml:space="preserve">  En el marco de la ejecución del proyecto de regalías, para la implementación de un modelo innovador de café diferenciado se dio alcance a un proyecto de investigación y CTEL, para la comuidad cafetera del Departamento del Quindío, impactando 705 jóvenes de 325 mujeres y 370 hombres
</t>
    </r>
    <r>
      <rPr>
        <b/>
        <sz val="10"/>
        <color theme="1"/>
        <rFont val="Calibri"/>
        <family val="2"/>
        <scheme val="minor"/>
      </rPr>
      <t xml:space="preserve">Alcaldía de Filandia: </t>
    </r>
    <r>
      <rPr>
        <sz val="10"/>
        <color theme="1"/>
        <rFont val="Calibri"/>
        <family val="2"/>
        <scheme val="minor"/>
      </rPr>
      <t xml:space="preserve">55% de jóvenes vinculados laboralmente.
</t>
    </r>
    <r>
      <rPr>
        <b/>
        <sz val="10"/>
        <color theme="1"/>
        <rFont val="Calibri"/>
        <family val="2"/>
        <scheme val="minor"/>
      </rPr>
      <t xml:space="preserve">Alcaldía de Córdoba: </t>
    </r>
    <r>
      <rPr>
        <sz val="10"/>
        <color theme="1"/>
        <rFont val="Calibri"/>
        <family val="2"/>
        <scheme val="minor"/>
      </rPr>
      <t>Esta información no puede ser reportada en porcentaje (%), sin embargo por parte del municipio a través de la alcaldía municipal ha realizado 2 ferias de empleo con el apoyo y acompañamiento de la Cámara de Comercio del Quindío y el Sena Regional Quindío  a través de su oficina de empleo.</t>
    </r>
  </si>
  <si>
    <r>
      <t xml:space="preserve">
</t>
    </r>
    <r>
      <rPr>
        <b/>
        <sz val="10"/>
        <color theme="1"/>
        <rFont val="Calibri"/>
        <family val="2"/>
        <scheme val="minor"/>
      </rPr>
      <t>Sena:</t>
    </r>
    <r>
      <rPr>
        <sz val="10"/>
        <color theme="1"/>
        <rFont val="Calibri"/>
        <family val="2"/>
        <scheme val="minor"/>
      </rPr>
      <t xml:space="preserve"> Esta actividad es atendida por el programa SENA EMPRENDE RURAL, el cual busca promover la generación de ingresos para la población rural a través de acciones de formación para el desarrollo y fortalecimiento de capacidades y competencias, así como el acompañamiento de las iniciativas productivas rurales orientadas al autoconsumo, los negocios rurales y/o la creación empresa. Por la misión del programa, no distingue en personas atendidas por edad.
</t>
    </r>
    <r>
      <rPr>
        <b/>
        <sz val="10"/>
        <color theme="1"/>
        <rFont val="Calibri"/>
        <family val="2"/>
        <scheme val="minor"/>
      </rPr>
      <t xml:space="preserve">Universidad del Quindío: </t>
    </r>
    <r>
      <rPr>
        <sz val="10"/>
        <color theme="1"/>
        <rFont val="Calibri"/>
        <family val="2"/>
        <scheme val="minor"/>
      </rPr>
      <t xml:space="preserve">Para el presupuesto se cuantificaron los recursos destinados en especie, que por lo general se relacionan con el rubro de contratación o de asignación de funcionarios al apoyo de dichos procesos
</t>
    </r>
    <r>
      <rPr>
        <b/>
        <sz val="10"/>
        <color theme="1"/>
        <rFont val="Calibri"/>
        <family val="2"/>
        <scheme val="minor"/>
      </rPr>
      <t>Universidad La Gran Colombia:</t>
    </r>
    <r>
      <rPr>
        <sz val="10"/>
        <color theme="1"/>
        <rFont val="Calibri"/>
        <family val="2"/>
        <scheme val="minor"/>
      </rPr>
      <t xml:space="preserve"> A través del semillero de emprendimiento UGCA se desarrolla mentoría a 14 iniciativas de emprendimiento de estudiantes de grados 8-9 y 10 de la institución educativa NARANJAL del municipio de Quimbaya, vereda Naranjal. Iniciativas de negocio agropecuario como: "Manejo de campos electromagnéticos en el cultivo del maíz y a partir de allí producir productos a base de maíz naturales y amigables con el medio ambiente, incluyendo la producción del maíz" "Producción y comercialización de Mascarillas a base de Miel con uso de tecnologías limpias" "Producción y comercialización de sustrato de hongos coriolus Vercicolos para la aplicación al cultivo de tomate" "Producción y comercialización de Hortalizas Germinadas (Son hortalizas que  contienen fibra, vitaminas y minerales que pueden combinarse) " "Elaboración de bloques de raquis para la alimentación de conejos" "Producción y comercialización de abonos a con lombricompuesto y  lixiviado de lombriz" "Cultivo Aguapònico de lechugas utilizando aguas lluvias"  
</t>
    </r>
    <r>
      <rPr>
        <b/>
        <sz val="10"/>
        <color theme="1"/>
        <rFont val="Calibri"/>
        <family val="2"/>
        <scheme val="minor"/>
      </rPr>
      <t xml:space="preserve">Universidad EAM: </t>
    </r>
    <r>
      <rPr>
        <sz val="10"/>
        <color theme="1"/>
        <rFont val="Calibri"/>
        <family val="2"/>
        <scheme val="minor"/>
      </rPr>
      <t xml:space="preserve">Articulación con las políticas de inclusión
</t>
    </r>
    <r>
      <rPr>
        <b/>
        <sz val="10"/>
        <color theme="1"/>
        <rFont val="Calibri"/>
        <family val="2"/>
        <scheme val="minor"/>
      </rPr>
      <t xml:space="preserve">Secretaría de Turismo Industria y Comercio: </t>
    </r>
    <r>
      <rPr>
        <sz val="10"/>
        <color theme="1"/>
        <rFont val="Calibri"/>
        <family val="2"/>
        <scheme val="minor"/>
      </rPr>
      <t xml:space="preserve">Se agotó el presupuesto en el periodo anterior.
</t>
    </r>
    <r>
      <rPr>
        <b/>
        <sz val="10"/>
        <color theme="1"/>
        <rFont val="Calibri"/>
        <family val="2"/>
        <scheme val="minor"/>
      </rPr>
      <t>Secretaría de Agricultura:</t>
    </r>
    <r>
      <rPr>
        <sz val="10"/>
        <color theme="1"/>
        <rFont val="Calibri"/>
        <family val="2"/>
        <scheme val="minor"/>
      </rPr>
      <t xml:space="preserve"> Con el propósito de consolidar el liderazgo empresarial, la asociatividad, acciones de extensión agropecuaria y las alianzas productivas seguridad alimentaria de la Secretaría de Agricultura, Desarrollo Rural y Medio Ambiente, se  promocionó la difusión de la cartilla de seguridad alimentaria de la Secretaría de Agricultura, Desarrollo Rural y Medio Ambiente y en actividades para la sostenibilidad de las parcelas de agricultura familiar campesina preestablecidas y/o biofabricas para la producción de biopreparados. Dentro de estos productores se encuentran involucrados jóvenes.
En el tercer trimestre se realizó seguimiento de acuerdo al acompañamiento  asesoría y asistencia técnica para el fortalecimiento de la asociatividad a las siguientes asociaciones: 1.mujeres cafeteras Génova, 2.mujeres cafeteras Buenavista, 3. acapacor, dentro de las cuales se encuentran jóvenes que participan activamente en cada asociación.  Se cofinanciaron 4  proyectos productivos a través de convocatoria realizada por el Ministerio de Agricultura y  Desarrollo Rural,  así: 1. Convenio No. 084 - 2021, con la ASOCIACIÓN VICTIMAS DE PIJAO “ASOVICPI”. 2. Convenio No. 078-2021 con la  ASOCIACIÓN DE PRODUCTORES DE AGUACATE DE FILANDIA (HASSFILANDIA). 3. Convenio No. 087 con la   ASOCIACIÓN AGROPLATANERA DEL CACIQUE CALARCÁ.  4. Convenio No. 080-2021 con la ASOCIACIÓN DE RELEVO GENERACIONAL DEL CAMPO ARMENIA – ASORGEC.  
</t>
    </r>
    <r>
      <rPr>
        <b/>
        <sz val="10"/>
        <color theme="1"/>
        <rFont val="Calibri"/>
        <family val="2"/>
        <scheme val="minor"/>
      </rPr>
      <t>Secretaría de Educación:</t>
    </r>
    <r>
      <rPr>
        <sz val="10"/>
        <color theme="1"/>
        <rFont val="Calibri"/>
        <family val="2"/>
        <scheme val="minor"/>
      </rPr>
      <t xml:space="preserve"> El 13,36%  representa el porcentaje de jóvenes matriculados en la educación media  que participan en proyectos de innovación y emprendimiento en el sector rural. Esta acción se enmarca en la estrategia de doble titulación mediante el convenio interinstitucional 004 de 2016 con el SENA, con la formulación de proyectos productivos innovadores, cumpliendo así con la etapa de certificación para el técnico laboral en cada una de las especialidades de las Instituciones Educativas. Se estima pago anual para 666 estudiantes rurales  que realizan proyectos productivos o emprendimientos innovadores en su etapa práctica, puesto que para su formación técnica es requisito indispensable. Se realiza pago anual de $32.606.000 en promedio para cubir la afiliación a riegos laborales de los estudiantes que realizan sus proyectos productivos y de emprendimiento en el sector rural.
</t>
    </r>
  </si>
  <si>
    <r>
      <rPr>
        <b/>
        <sz val="10"/>
        <color theme="1"/>
        <rFont val="Calibri"/>
        <family val="2"/>
        <scheme val="minor"/>
      </rPr>
      <t>Sena:</t>
    </r>
    <r>
      <rPr>
        <sz val="10"/>
        <color theme="1"/>
        <rFont val="Calibri"/>
        <family val="2"/>
        <scheme val="minor"/>
      </rPr>
      <t xml:space="preserve"> EL FONDO EMPRENDER está constituido como una cuenta independiente y especial adscrita al Servicio Nacional de Aprendizaje, SENA, y cuyo objeto exclusivo será financiar iniciativas empresariales, en este sentido se están apoyando 65 proyectos juveniles para la consecución de recursos.
</t>
    </r>
    <r>
      <rPr>
        <b/>
        <sz val="10"/>
        <color theme="1"/>
        <rFont val="Calibri"/>
        <family val="2"/>
        <scheme val="minor"/>
      </rPr>
      <t>Secretaría de Turismo Industria y Comercio:</t>
    </r>
    <r>
      <rPr>
        <sz val="10"/>
        <color theme="1"/>
        <rFont val="Calibri"/>
        <family val="2"/>
        <scheme val="minor"/>
      </rPr>
      <t xml:space="preserve"> Por medio del proyecto "Fortalecimiento del ecosistema de emprendimiento mediante el acompañamiento técnico y servicio de apoyo financiero para emprendedores en el departamento del Quindío." CÓDIGO BPPIN: 2021003630014, financiado con recursos del SGR (Sistema General de Regalías), y a través del contrato interadministrativo CO1.PCCNTR.2564825 de 2021, y una vez se dio la aprobación de la Comisión Técnica del Fondo Emprender se viabilizaron 18 planeas de negocio, dentro de los cuales estuvo el de  ALEJANDRO JIMÉNEZ TORO de 23 años de edad, propietario del emprendimiento APIS NATURVIDA, del sector Pecuario el cual genera 4 empleos directos, del Municipio de Génova  por valor de $79.914.452 al joven.
</t>
    </r>
    <r>
      <rPr>
        <b/>
        <sz val="10"/>
        <color theme="1"/>
        <rFont val="Calibri"/>
        <family val="2"/>
        <scheme val="minor"/>
      </rPr>
      <t xml:space="preserve">Universidad del Quindío: </t>
    </r>
    <r>
      <rPr>
        <sz val="10"/>
        <color theme="1"/>
        <rFont val="Calibri"/>
        <family val="2"/>
        <scheme val="minor"/>
      </rPr>
      <t xml:space="preserve">No se tienen proyectos que reciban estímulo financiero ya que desde la Universidad los que se apoyan se hacen con recursos en especie.
</t>
    </r>
    <r>
      <rPr>
        <b/>
        <sz val="10"/>
        <color theme="1"/>
        <rFont val="Calibri"/>
        <family val="2"/>
        <scheme val="minor"/>
      </rPr>
      <t>Universidad EAM:</t>
    </r>
    <r>
      <rPr>
        <sz val="10"/>
        <color theme="1"/>
        <rFont val="Calibri"/>
        <family val="2"/>
        <scheme val="minor"/>
      </rPr>
      <t xml:space="preserve"> Área de proyectos especiales.
</t>
    </r>
    <r>
      <rPr>
        <b/>
        <sz val="10"/>
        <color theme="1"/>
        <rFont val="Calibri"/>
        <family val="2"/>
        <scheme val="minor"/>
      </rPr>
      <t>Universidad La Gran Colombia:</t>
    </r>
    <r>
      <rPr>
        <sz val="10"/>
        <color theme="1"/>
        <rFont val="Calibri"/>
        <family val="2"/>
        <scheme val="minor"/>
      </rPr>
      <t xml:space="preserve"> La UGCA cuenta con un ecosistema Emprendedor constituido por 3 fases: 1. Ideación 2. Desarrollo Empresarial 3. Fortalecimiento Empresarial, articulado con el sector externo a través del centro de desarrollo empresarial, unido a la red regional de emprendimiento, INNPULSA a través del programa  En la U CEEMPRENDE, que permite que las ideas de negocio mas importantes tengan acceso a la consecución de recursos externos como FONDO EMPRENDER para financiación Y cofinanciación y desde el ecosistema el estudiante recibe todo el acompañamiento en el proceso. 
</t>
    </r>
    <r>
      <rPr>
        <b/>
        <sz val="10"/>
        <color theme="1"/>
        <rFont val="Calibri"/>
        <family val="2"/>
        <scheme val="minor"/>
      </rPr>
      <t>Secretaría de Educación:</t>
    </r>
    <r>
      <rPr>
        <sz val="10"/>
        <color theme="1"/>
        <rFont val="Calibri"/>
        <family val="2"/>
        <scheme val="minor"/>
      </rPr>
      <t xml:space="preserve"> Convocatoria programa ONDAS del Minsterio de Ciencia, Tecnología e Innovación: 43 proyectos de investigación, ciencia y tecnología representan el 58,1% de los proyectos presentados a la convocatoria 2022. De acuerdo a esta estrategia se brinda asistencia técnica para su ejecución. Se estimaron 74 proyectos para ingresar a la convocatoria ONDAS 2022 con un presupuesto proyectado de $44.400.000
</t>
    </r>
  </si>
  <si>
    <r>
      <t xml:space="preserve">
</t>
    </r>
    <r>
      <rPr>
        <b/>
        <sz val="10"/>
        <color theme="1"/>
        <rFont val="Calibri"/>
        <family val="2"/>
        <scheme val="minor"/>
      </rPr>
      <t>Alcaldía Buenavista:</t>
    </r>
    <r>
      <rPr>
        <sz val="10"/>
        <color theme="1"/>
        <rFont val="Calibri"/>
        <family val="2"/>
        <scheme val="minor"/>
      </rPr>
      <t xml:space="preserve"> No se registran datos en el tercer trimestre de 2022.
</t>
    </r>
    <r>
      <rPr>
        <b/>
        <sz val="10"/>
        <color theme="1"/>
        <rFont val="Calibri"/>
        <family val="2"/>
        <scheme val="minor"/>
      </rPr>
      <t xml:space="preserve">Alcaldía Salento: </t>
    </r>
    <r>
      <rPr>
        <sz val="10"/>
        <color theme="1"/>
        <rFont val="Calibri"/>
        <family val="2"/>
        <scheme val="minor"/>
      </rPr>
      <t xml:space="preserve">Sostenimiento de los programas de atención psicológica establecidos en el municipio.
</t>
    </r>
    <r>
      <rPr>
        <b/>
        <sz val="10"/>
        <color theme="1"/>
        <rFont val="Calibri"/>
        <family val="2"/>
        <scheme val="minor"/>
      </rPr>
      <t>Alcaldía de Córdoba:</t>
    </r>
    <r>
      <rPr>
        <sz val="10"/>
        <color theme="1"/>
        <rFont val="Calibri"/>
        <family val="2"/>
        <scheme val="minor"/>
      </rPr>
      <t xml:space="preserve"> Teniendo en cuenta las estadísticas de seguridad de la Estación de Policía, Córdoba cuenta con un 0% de homicidios en el municipio. 
</t>
    </r>
    <r>
      <rPr>
        <b/>
        <sz val="10"/>
        <color theme="1"/>
        <rFont val="Calibri"/>
        <family val="2"/>
        <scheme val="minor"/>
      </rPr>
      <t xml:space="preserve">Secretaría de Familia: </t>
    </r>
    <r>
      <rPr>
        <sz val="10"/>
        <color theme="1"/>
        <rFont val="Calibri"/>
        <family val="2"/>
        <scheme val="minor"/>
      </rPr>
      <t xml:space="preserve">Desde la Jefatura de Juventud, e brindan talleres formativos donde de proporcionan herramientas para el diario vivir de los jóvenes.
</t>
    </r>
    <r>
      <rPr>
        <b/>
        <sz val="10"/>
        <color theme="1"/>
        <rFont val="Calibri"/>
        <family val="2"/>
        <scheme val="minor"/>
      </rPr>
      <t xml:space="preserve">Alcaldía Filandia: </t>
    </r>
    <r>
      <rPr>
        <sz val="10"/>
        <color theme="1"/>
        <rFont val="Calibri"/>
        <family val="2"/>
        <scheme val="minor"/>
      </rPr>
      <t xml:space="preserve"> El municipio de Filandia no cuenta con homicidios desde hace mas de 5 años.
</t>
    </r>
    <r>
      <rPr>
        <b/>
        <sz val="10"/>
        <color theme="1"/>
        <rFont val="Calibri"/>
        <family val="2"/>
        <scheme val="minor"/>
      </rPr>
      <t>Secretaría del Interior:</t>
    </r>
    <r>
      <rPr>
        <sz val="10"/>
        <color theme="1"/>
        <rFont val="Calibri"/>
        <family val="2"/>
        <scheme val="minor"/>
      </rPr>
      <t xml:space="preserve"> La tasa actual es de  56,78 por cada 100 mil jóvenes según informe de página JUACO, 2021.
</t>
    </r>
    <r>
      <rPr>
        <b/>
        <sz val="10"/>
        <color theme="1"/>
        <rFont val="Calibri"/>
        <family val="2"/>
        <scheme val="minor"/>
      </rPr>
      <t/>
    </r>
  </si>
  <si>
    <r>
      <t xml:space="preserve">
</t>
    </r>
    <r>
      <rPr>
        <b/>
        <sz val="10"/>
        <color theme="1"/>
        <rFont val="Calibri"/>
        <family val="2"/>
        <scheme val="minor"/>
      </rPr>
      <t xml:space="preserve">Secretaría de Salud: </t>
    </r>
    <r>
      <rPr>
        <sz val="10"/>
        <color theme="1"/>
        <rFont val="Calibri"/>
        <family val="2"/>
        <scheme val="minor"/>
      </rPr>
      <t xml:space="preserve">Se realizó el Comité Departamental de Sexualidad, Salud Sexual y Reproductiva se aprobó el plan de acción y se divulgó el plan de acción entre los prestadores  de salud y otras entidades relacionadas con la sexualidad y la reproducción. Se realizó el subcomité de ITS VIH SIDA Hepatitis B C y se socializó el plan de acción. Se realizó capacitación con prestadores de diferentes IPs del departamento del Quindío respecto certificación en pruebas rápidas de VIH Sífilis Hepatitis B C. Se realizaron 16 auditorías  entre IPS y  EAPB de seguimiento de la calidad de atención de pacientes con VIH Hepatitis B C. talleres educativos en temas de salud sexual y reproductiva  en estudiantes de octava grado y decimo grado en 76 estudiantes. Se realizó actividad educativa en temas de salud sexual y reproductiva en 35 personas del barrio la julia del municipio de Montenegro.
</t>
    </r>
    <r>
      <rPr>
        <b/>
        <sz val="10"/>
        <color theme="1"/>
        <rFont val="Calibri"/>
        <family val="2"/>
        <scheme val="minor"/>
      </rPr>
      <t xml:space="preserve">Secretaría de Familia: </t>
    </r>
    <r>
      <rPr>
        <sz val="10"/>
        <color theme="1"/>
        <rFont val="Calibri"/>
        <family val="2"/>
        <scheme val="minor"/>
      </rPr>
      <t xml:space="preserve">el número de embarazos en menores de 20 años es de 4358 según fuente de verificación. 
</t>
    </r>
    <r>
      <rPr>
        <b/>
        <sz val="10"/>
        <color theme="1"/>
        <rFont val="Calibri"/>
        <family val="2"/>
        <scheme val="minor"/>
      </rPr>
      <t>Alcaldía Buenavista:</t>
    </r>
    <r>
      <rPr>
        <sz val="10"/>
        <color theme="1"/>
        <rFont val="Calibri"/>
        <family val="2"/>
        <scheme val="minor"/>
      </rPr>
      <t xml:space="preserve"> 5 mujeres menores de 20 años en estado de embarazo.
</t>
    </r>
    <r>
      <rPr>
        <b/>
        <sz val="10"/>
        <color theme="1"/>
        <rFont val="Calibri"/>
        <family val="2"/>
        <scheme val="minor"/>
      </rPr>
      <t>Alcaldía Filandia:</t>
    </r>
    <r>
      <rPr>
        <sz val="10"/>
        <color theme="1"/>
        <rFont val="Calibri"/>
        <family val="2"/>
        <scheme val="minor"/>
      </rPr>
      <t xml:space="preserve"> No se cuenta con  el dato.
</t>
    </r>
    <r>
      <rPr>
        <b/>
        <sz val="10"/>
        <color theme="1"/>
        <rFont val="Calibri"/>
        <family val="2"/>
        <scheme val="minor"/>
      </rPr>
      <t xml:space="preserve">Alcaldía Armenia: </t>
    </r>
    <r>
      <rPr>
        <sz val="10"/>
        <color theme="1"/>
        <rFont val="Calibri"/>
        <family val="2"/>
        <scheme val="minor"/>
      </rPr>
      <t xml:space="preserve">Se implementan </t>
    </r>
    <r>
      <rPr>
        <b/>
        <sz val="10"/>
        <color theme="1"/>
        <rFont val="Calibri"/>
        <family val="2"/>
        <scheme val="minor"/>
      </rPr>
      <t>e</t>
    </r>
    <r>
      <rPr>
        <sz val="10"/>
        <color theme="1"/>
        <rFont val="Calibri"/>
        <family val="2"/>
        <scheme val="minor"/>
      </rPr>
      <t xml:space="preserve">strategias de garantía de derechos de los jóvenes a través de actividades en prevención de riesgos, para un total de 1102 jóvenes impactados .
</t>
    </r>
    <r>
      <rPr>
        <b/>
        <sz val="10"/>
        <color theme="1"/>
        <rFont val="Calibri"/>
        <family val="2"/>
        <scheme val="minor"/>
      </rPr>
      <t xml:space="preserve">Alcaldía de Salento: </t>
    </r>
    <r>
      <rPr>
        <sz val="10"/>
        <color theme="1"/>
        <rFont val="Calibri"/>
        <family val="2"/>
        <scheme val="minor"/>
      </rPr>
      <t xml:space="preserve">Sostenimiento de los programas de atención psicológica establecidos en el municipio.
</t>
    </r>
    <r>
      <rPr>
        <b/>
        <sz val="10"/>
        <color theme="1"/>
        <rFont val="Calibri"/>
        <family val="2"/>
        <scheme val="minor"/>
      </rPr>
      <t>Alcaldía de Montenegro:</t>
    </r>
    <r>
      <rPr>
        <sz val="10"/>
        <color theme="1"/>
        <rFont val="Calibri"/>
        <family val="2"/>
        <scheme val="minor"/>
      </rPr>
      <t xml:space="preserve"> Se realiza campaña en donde se promocionó con la comunidad los derechos sexuales y reproductivos en el cual se hace énfasis en los derechos que tienen las parejas de decidir como planificar  tener una familia.
</t>
    </r>
    <r>
      <rPr>
        <b/>
        <sz val="10"/>
        <color theme="1"/>
        <rFont val="Calibri"/>
        <family val="2"/>
        <scheme val="minor"/>
      </rPr>
      <t>Alcaldía de Calarcá</t>
    </r>
    <r>
      <rPr>
        <sz val="10"/>
        <color theme="1"/>
        <rFont val="Calibri"/>
        <family val="2"/>
        <scheme val="minor"/>
      </rPr>
      <t xml:space="preserve">: Se realizaron dos jornadas de prevención del suicidio y de sexualidad responsable, en la Institución educativa San Rafael con los integrantes de a red comunitaria instalada allí, se beneficiaron 22 jóvenes, además se les socializó la línea de atención psicosocial del municipio.               
</t>
    </r>
    <r>
      <rPr>
        <b/>
        <sz val="10"/>
        <color theme="1"/>
        <rFont val="Calibri"/>
        <family val="2"/>
        <scheme val="minor"/>
      </rPr>
      <t xml:space="preserve">ICBF: </t>
    </r>
    <r>
      <rPr>
        <sz val="10"/>
        <color theme="1"/>
        <rFont val="Calibri"/>
        <family val="2"/>
        <scheme val="minor"/>
      </rPr>
      <t xml:space="preserve">Formación de Agentes en Derechos Sexuales y Reproductivos*Fortalecimiento del PESCC*Acompañamiento Escuela de Padres.
</t>
    </r>
    <r>
      <rPr>
        <b/>
        <sz val="10"/>
        <color theme="1"/>
        <rFont val="Calibri"/>
        <family val="2"/>
        <scheme val="minor"/>
      </rPr>
      <t>Alcaldía Quimbaya:</t>
    </r>
    <r>
      <rPr>
        <sz val="10"/>
        <color theme="1"/>
        <rFont val="Calibri"/>
        <family val="2"/>
        <scheme val="minor"/>
      </rPr>
      <t xml:space="preserve"> En el municipio de Quimbaya se conmemoró la semana andina para la prevención del embarazo en la adolescencia.</t>
    </r>
  </si>
  <si>
    <r>
      <rPr>
        <b/>
        <sz val="10"/>
        <color theme="1"/>
        <rFont val="Calibri"/>
        <family val="2"/>
        <scheme val="minor"/>
      </rPr>
      <t>Secretaría Familia:</t>
    </r>
    <r>
      <rPr>
        <sz val="10"/>
        <color theme="1"/>
        <rFont val="Calibri"/>
        <family val="2"/>
        <scheme val="minor"/>
      </rPr>
      <t xml:space="preserve"> Reporta que las acciones y actividades derivadas de la implementación de la Política Pública de Juventud, son publicadas a través de redes sociales y páginas institucionales de la Gobernación. Ademas de esto. Los documentos y seguimientos trimestrales realizados a la misma también son publicados para conocimiento de la comunidad en general. </t>
    </r>
  </si>
  <si>
    <r>
      <t xml:space="preserve">Secretaría de Familia: Reporta que los doce municipios del Quindío, han realizado las asambleas juveniles, conforme al estatuto de ciudadanía juvenil. Y COORDINÓ LA REALIZACIÓN DE LA ASAMBLEA DE JUVENTUD  DEPARTAMENTAL EN EL RECINTO DE LA ASAMBLEA DEPARTAMENTAL EN EL MES DE DICIEMBRE.  Alcaldía de Buenavista: </t>
    </r>
    <r>
      <rPr>
        <sz val="10"/>
        <color theme="1"/>
        <rFont val="Calibri"/>
        <family val="2"/>
        <scheme val="minor"/>
      </rPr>
      <t>Se realizó Asamblea de Juventud en el mes de Junio de 2022.</t>
    </r>
    <r>
      <rPr>
        <b/>
        <sz val="10"/>
        <color theme="1"/>
        <rFont val="Calibri"/>
        <family val="2"/>
        <scheme val="minor"/>
      </rPr>
      <t xml:space="preserve">
Alcaldía de Salento: </t>
    </r>
    <r>
      <rPr>
        <sz val="10"/>
        <color theme="1"/>
        <rFont val="Calibri"/>
        <family val="2"/>
        <scheme val="minor"/>
      </rPr>
      <t>Hasta la fecha se ha realizada la Asamblea Municipal de Juventud, realizada el pasado 11 de Febrero</t>
    </r>
    <r>
      <rPr>
        <b/>
        <sz val="10"/>
        <color theme="1"/>
        <rFont val="Calibri"/>
        <family val="2"/>
        <scheme val="minor"/>
      </rPr>
      <t xml:space="preserve">
Alcaldía de Montenegro: </t>
    </r>
    <r>
      <rPr>
        <sz val="10"/>
        <color theme="1"/>
        <rFont val="Calibri"/>
        <family val="2"/>
        <scheme val="minor"/>
      </rPr>
      <t>Se han realizado las 2 asambleas de juventud que establece el estatuto de ciudadanía juvenil (ley  Estatutaria 1622 del 2013 modificada por la ley 1885 del 2018) .</t>
    </r>
    <r>
      <rPr>
        <b/>
        <sz val="10"/>
        <color theme="1"/>
        <rFont val="Calibri"/>
        <family val="2"/>
        <scheme val="minor"/>
      </rPr>
      <t xml:space="preserve">
Alcaldía de Córdoba: </t>
    </r>
    <r>
      <rPr>
        <sz val="10"/>
        <color theme="1"/>
        <rFont val="Calibri"/>
        <family val="2"/>
        <scheme val="minor"/>
      </rPr>
      <t xml:space="preserve">Las asambleas juveniles se realizaron en el primer semestre del 2022. </t>
    </r>
    <r>
      <rPr>
        <b/>
        <sz val="10"/>
        <color theme="1"/>
        <rFont val="Calibri"/>
        <family val="2"/>
        <scheme val="minor"/>
      </rPr>
      <t xml:space="preserve">
Alcaldía de la Tebaida:  </t>
    </r>
    <r>
      <rPr>
        <sz val="10"/>
        <color theme="1"/>
        <rFont val="Calibri"/>
        <family val="2"/>
        <scheme val="minor"/>
      </rPr>
      <t xml:space="preserve">El 05 de diciembre, se realizaron en el teatro municipal las 2 asambleas del año en vigencia dándole cumplimiento a la ley 1622 del 2013. En donde asistieron los consejeros de juventud, plataforma de juventud y demás miembros de colectivos juveniles.  </t>
    </r>
    <r>
      <rPr>
        <b/>
        <sz val="10"/>
        <color theme="1"/>
        <rFont val="Calibri"/>
        <family val="2"/>
        <scheme val="minor"/>
      </rPr>
      <t xml:space="preserve">
Alcaldía Armenia: </t>
    </r>
    <r>
      <rPr>
        <sz val="10"/>
        <color theme="1"/>
        <rFont val="Calibri"/>
        <family val="2"/>
        <scheme val="minor"/>
      </rPr>
      <t xml:space="preserve">Se han realizado dos asambleas juveniles en el mes de marzo y julio de 2022, impactando a 136 jóvenes. </t>
    </r>
    <r>
      <rPr>
        <b/>
        <sz val="10"/>
        <color theme="1"/>
        <rFont val="Calibri"/>
        <family val="2"/>
        <scheme val="minor"/>
      </rPr>
      <t xml:space="preserve">
Alcaldía de Filandia: </t>
    </r>
    <r>
      <rPr>
        <sz val="10"/>
        <color theme="1"/>
        <rFont val="Calibri"/>
        <family val="2"/>
        <scheme val="minor"/>
      </rPr>
      <t>1 conformada, para el periodo de octubre a diciembre no se convocó.</t>
    </r>
    <r>
      <rPr>
        <b/>
        <sz val="10"/>
        <color theme="1"/>
        <rFont val="Calibri"/>
        <family val="2"/>
        <scheme val="minor"/>
      </rPr>
      <t xml:space="preserve">
Alcaldía Quimbaya: </t>
    </r>
    <r>
      <rPr>
        <sz val="10"/>
        <color theme="1"/>
        <rFont val="Calibri"/>
        <family val="2"/>
        <scheme val="minor"/>
      </rPr>
      <t>En el municipio de Quimbaya se realizó una asamblea juvenil durante la vigencia 2022</t>
    </r>
    <r>
      <rPr>
        <b/>
        <sz val="10"/>
        <color theme="1"/>
        <rFont val="Calibri"/>
        <family val="2"/>
        <scheme val="minor"/>
      </rPr>
      <t xml:space="preserve">
Alcaldía de Génova: </t>
    </r>
    <r>
      <rPr>
        <sz val="10"/>
        <color theme="1"/>
        <rFont val="Calibri"/>
        <family val="2"/>
        <scheme val="minor"/>
      </rPr>
      <t>1 asamblea realizada.</t>
    </r>
    <r>
      <rPr>
        <b/>
        <sz val="10"/>
        <color theme="1"/>
        <rFont val="Calibri"/>
        <family val="2"/>
        <scheme val="minor"/>
      </rPr>
      <t xml:space="preserve">
</t>
    </r>
  </si>
  <si>
    <r>
      <rPr>
        <b/>
        <sz val="10"/>
        <color theme="1"/>
        <rFont val="Calibri"/>
        <family val="2"/>
        <scheme val="minor"/>
      </rPr>
      <t xml:space="preserve">Se beneficiaron: 11693 Personas 79% Por encima de la linea de base de 6500 beneficiados.    Alcaldía de Filandia: </t>
    </r>
    <r>
      <rPr>
        <sz val="10"/>
        <color theme="1"/>
        <rFont val="Calibri"/>
        <family val="2"/>
        <scheme val="minor"/>
      </rPr>
      <t>230 menores.</t>
    </r>
    <r>
      <rPr>
        <b/>
        <sz val="10"/>
        <color theme="1"/>
        <rFont val="Calibri"/>
        <family val="2"/>
        <scheme val="minor"/>
      </rPr>
      <t xml:space="preserve">
Alcaldía de Circasia: </t>
    </r>
    <r>
      <rPr>
        <sz val="10"/>
        <color theme="1"/>
        <rFont val="Calibri"/>
        <family val="2"/>
        <scheme val="minor"/>
      </rPr>
      <t xml:space="preserve">En la Secretaría de Gobierno y Desarrollo Social, con el coordinador de deportes se atendieron 900  jóvenes, durante estos dos últimos tres meses en los siguientes programas: Voleibol-futbol, torneo de voleibol, ciclismo y futbol de salón garantizando los espacios de recreación para la juventud, domingo activo.
</t>
    </r>
    <r>
      <rPr>
        <b/>
        <sz val="10"/>
        <color theme="1"/>
        <rFont val="Calibri"/>
        <family val="2"/>
        <scheme val="minor"/>
      </rPr>
      <t xml:space="preserve">Alcaldía de la Tebaida: </t>
    </r>
    <r>
      <rPr>
        <sz val="10"/>
        <color theme="1"/>
        <rFont val="Calibri"/>
        <family val="2"/>
        <scheme val="minor"/>
      </rPr>
      <t xml:space="preserve">70 adultos.
</t>
    </r>
    <r>
      <rPr>
        <b/>
        <sz val="10"/>
        <color theme="1"/>
        <rFont val="Calibri"/>
        <family val="2"/>
        <scheme val="minor"/>
      </rPr>
      <t>Alcaldía de Salento:</t>
    </r>
    <r>
      <rPr>
        <sz val="10"/>
        <color theme="1"/>
        <rFont val="Calibri"/>
        <family val="2"/>
        <scheme val="minor"/>
      </rPr>
      <t xml:space="preserve"> Fortalecimiento y apoyo a las Escuelas de Formación Deportiva, reactivación de torneos de fútbol, fútbol de salón.
</t>
    </r>
    <r>
      <rPr>
        <b/>
        <sz val="10"/>
        <color theme="1"/>
        <rFont val="Calibri"/>
        <family val="2"/>
        <scheme val="minor"/>
      </rPr>
      <t xml:space="preserve">Alcaldía de Calarcá: </t>
    </r>
    <r>
      <rPr>
        <sz val="10"/>
        <color theme="1"/>
        <rFont val="Calibri"/>
        <family val="2"/>
        <scheme val="minor"/>
      </rPr>
      <t xml:space="preserve">Programa recreativo para adolescencia y juventud y programa recreativo y fitness.
</t>
    </r>
    <r>
      <rPr>
        <b/>
        <sz val="10"/>
        <color theme="1"/>
        <rFont val="Calibri"/>
        <family val="2"/>
        <scheme val="minor"/>
      </rPr>
      <t xml:space="preserve">Alcaldía de Montenegro: </t>
    </r>
    <r>
      <rPr>
        <sz val="10"/>
        <color theme="1"/>
        <rFont val="Calibri"/>
        <family val="2"/>
        <scheme val="minor"/>
      </rPr>
      <t xml:space="preserve">328 personas mayores a través de hábitos y estilos de vida saludable y actividad musicalizada y recreativa para el adulto mayor.
</t>
    </r>
    <r>
      <rPr>
        <b/>
        <sz val="10"/>
        <color theme="1"/>
        <rFont val="Calibri"/>
        <family val="2"/>
        <scheme val="minor"/>
      </rPr>
      <t xml:space="preserve">Alcaldía de Armenia: </t>
    </r>
    <r>
      <rPr>
        <sz val="10"/>
        <color theme="1"/>
        <rFont val="Calibri"/>
        <family val="2"/>
        <scheme val="minor"/>
      </rPr>
      <t xml:space="preserve">Promoción, apoyo logístico, ejecución y dotación de programas de Hábitos y Estilos de Vida Saludable y Actividad Física (8945) 
</t>
    </r>
    <r>
      <rPr>
        <b/>
        <sz val="10"/>
        <color theme="1"/>
        <rFont val="Calibri"/>
        <family val="2"/>
        <scheme val="minor"/>
      </rPr>
      <t xml:space="preserve">Universidad EAM: </t>
    </r>
    <r>
      <rPr>
        <sz val="10"/>
        <color theme="1"/>
        <rFont val="Calibri"/>
        <family val="2"/>
        <scheme val="minor"/>
      </rPr>
      <t xml:space="preserve">16 personas en promedio por mes.
</t>
    </r>
    <r>
      <rPr>
        <b/>
        <sz val="10"/>
        <color theme="1"/>
        <rFont val="Calibri"/>
        <family val="2"/>
        <scheme val="minor"/>
      </rPr>
      <t>Universidad la Gran Colombia:</t>
    </r>
    <r>
      <rPr>
        <sz val="10"/>
        <color theme="1"/>
        <rFont val="Calibri"/>
        <family val="2"/>
        <scheme val="minor"/>
      </rPr>
      <t xml:space="preserve"> La UGCA no realizó actividades de promoción de la actividad física con entornos comunitarios.
</t>
    </r>
    <r>
      <rPr>
        <b/>
        <sz val="10"/>
        <color theme="1"/>
        <rFont val="Calibri"/>
        <family val="2"/>
        <scheme val="minor"/>
      </rPr>
      <t xml:space="preserve">Indeportes: </t>
    </r>
    <r>
      <rPr>
        <sz val="10"/>
        <color theme="1"/>
        <rFont val="Calibri"/>
        <family val="2"/>
        <scheme val="minor"/>
      </rPr>
      <t>1290</t>
    </r>
  </si>
  <si>
    <t xml:space="preserve">20%
</t>
  </si>
  <si>
    <r>
      <rPr>
        <b/>
        <sz val="10"/>
        <color theme="1"/>
        <rFont val="Calibri"/>
        <family val="2"/>
        <scheme val="minor"/>
      </rPr>
      <t>Se beneficiaron en total 7592 jóvenes</t>
    </r>
    <r>
      <rPr>
        <sz val="10"/>
        <color theme="1"/>
        <rFont val="Calibri"/>
        <family val="2"/>
        <scheme val="minor"/>
      </rPr>
      <t xml:space="preserve">
</t>
    </r>
    <r>
      <rPr>
        <b/>
        <sz val="10"/>
        <color theme="1"/>
        <rFont val="Calibri"/>
        <family val="2"/>
        <scheme val="minor"/>
      </rPr>
      <t>Alcaldía Salento:</t>
    </r>
    <r>
      <rPr>
        <sz val="10"/>
        <color theme="1"/>
        <rFont val="Calibri"/>
        <family val="2"/>
        <scheme val="minor"/>
      </rPr>
      <t xml:space="preserve"> Fortalecimiento y apoyo a las Escuelas de Formación Deportiva, reactivación de torneos de fútbol, fútbol de salón.
</t>
    </r>
    <r>
      <rPr>
        <b/>
        <sz val="10"/>
        <color theme="1"/>
        <rFont val="Calibri"/>
        <family val="2"/>
        <scheme val="minor"/>
      </rPr>
      <t>Alcaldía de Buenavista</t>
    </r>
    <r>
      <rPr>
        <sz val="10"/>
        <color theme="1"/>
        <rFont val="Calibri"/>
        <family val="2"/>
        <scheme val="minor"/>
      </rPr>
      <t xml:space="preserve">: Se cuenta con 120 jóvenes que hacen parte de las 4 escuelas de formación deportiva del municipio. Adicionalmente, se cuenta con entrenamiento físico por medio del gimnasio y con su instructor con horarios establecidos en horas de la mañana, tarde y noche que se ajustan a la disponibilidad de tiempo de los jóvenes.
</t>
    </r>
    <r>
      <rPr>
        <b/>
        <sz val="10"/>
        <color theme="1"/>
        <rFont val="Calibri"/>
        <family val="2"/>
        <scheme val="minor"/>
      </rPr>
      <t>Alcaldía de la Tebaida:</t>
    </r>
    <r>
      <rPr>
        <sz val="10"/>
        <color theme="1"/>
        <rFont val="Calibri"/>
        <family val="2"/>
        <scheme val="minor"/>
      </rPr>
      <t xml:space="preserve">  Microfútbol (grupo 01) 21 jóvenes;  Natación 13 jóvenes;  Futbol 15 jóvenes;  Microfútbol (grupo 02) 24 jóvenes;  Baloncesto 24 jóvenes; Fútbol de mujer 8 jóvenes; Fútbol 12 jóvenes; jóvenes; Nueva modalidad ajedrez 9 jóvenes; Nueva modalidad patinaje 14 jóvenes; Nueva modalidad levantamiento de pesas 07 jóvenes. 
</t>
    </r>
    <r>
      <rPr>
        <b/>
        <sz val="10"/>
        <color theme="1"/>
        <rFont val="Calibri"/>
        <family val="2"/>
        <scheme val="minor"/>
      </rPr>
      <t>Alcaldía Génova:</t>
    </r>
    <r>
      <rPr>
        <sz val="10"/>
        <color theme="1"/>
        <rFont val="Calibri"/>
        <family val="2"/>
        <scheme val="minor"/>
      </rPr>
      <t xml:space="preserve"> Menores integrados a las actividades de los programas de actividad física y recreación
</t>
    </r>
    <r>
      <rPr>
        <b/>
        <sz val="10"/>
        <color theme="1"/>
        <rFont val="Calibri"/>
        <family val="2"/>
        <scheme val="minor"/>
      </rPr>
      <t>Alcaldía Armenia</t>
    </r>
    <r>
      <rPr>
        <sz val="10"/>
        <color theme="1"/>
        <rFont val="Calibri"/>
        <family val="2"/>
        <scheme val="minor"/>
      </rPr>
      <t xml:space="preserve">: Se implementan escuelas de formación deportiva en diferentes disciplinas, 144 escuelas y  4225 jóvenes impactados 
</t>
    </r>
    <r>
      <rPr>
        <b/>
        <sz val="10"/>
        <color theme="1"/>
        <rFont val="Calibri"/>
        <family val="2"/>
        <scheme val="minor"/>
      </rPr>
      <t>Alcaldía de Montenegro:</t>
    </r>
    <r>
      <rPr>
        <sz val="10"/>
        <color theme="1"/>
        <rFont val="Calibri"/>
        <family val="2"/>
        <scheme val="minor"/>
      </rPr>
      <t xml:space="preserve"> Actualmente se benefician 3781 jóvenes de las diferentes escuelas de formación del municipio (23 escuelas de formación).
</t>
    </r>
    <r>
      <rPr>
        <b/>
        <sz val="10"/>
        <color theme="1"/>
        <rFont val="Calibri"/>
        <family val="2"/>
        <scheme val="minor"/>
      </rPr>
      <t>Alcaldía de Filandia</t>
    </r>
    <r>
      <rPr>
        <sz val="10"/>
        <color theme="1"/>
        <rFont val="Calibri"/>
        <family val="2"/>
        <scheme val="minor"/>
      </rPr>
      <t xml:space="preserve">: 230 menores 
</t>
    </r>
    <r>
      <rPr>
        <b/>
        <sz val="10"/>
        <color theme="1"/>
        <rFont val="Calibri"/>
        <family val="2"/>
        <scheme val="minor"/>
      </rPr>
      <t>Indeportes:</t>
    </r>
    <r>
      <rPr>
        <sz val="10"/>
        <color theme="1"/>
        <rFont val="Calibri"/>
        <family val="2"/>
        <scheme val="minor"/>
      </rPr>
      <t xml:space="preserve"> 900.
Universidad del Quindío: Para el dato solicitado se informa que no se tiene en porcentaje sino en valores que representan la cantidad de personas. Se proporciona el siguiente DATO ADICIONAL DE RANGO DE EDAD EQUIVALENTE ANTES DE LA EDAD DE ADULTO Rango de edad entre 18 a 28 años: 1.878. En relación con el presupuesto se estiman los recursos asignados a eventos y torneos deportivos para estudiantes y actividades de atención integral en deporte en general, los cuales se encuentran en ejecución.
</t>
    </r>
    <r>
      <rPr>
        <b/>
        <sz val="10"/>
        <color theme="1"/>
        <rFont val="Calibri"/>
        <family val="2"/>
        <scheme val="minor"/>
      </rPr>
      <t>Universidad San  Buenaventura:</t>
    </r>
    <r>
      <rPr>
        <sz val="10"/>
        <color theme="1"/>
        <rFont val="Calibri"/>
        <family val="2"/>
        <scheme val="minor"/>
      </rPr>
      <t xml:space="preserve"> El voluntariado Transformarte de la Universidad de San Buenaventura realizó actividad recreativa a adultos de la tercera edad en el Hogar geriátrico El Carmen de Calarcá.
</t>
    </r>
    <r>
      <rPr>
        <b/>
        <sz val="10"/>
        <color theme="1"/>
        <rFont val="Calibri"/>
        <family val="2"/>
        <scheme val="minor"/>
      </rPr>
      <t>Universidad EAM:</t>
    </r>
    <r>
      <rPr>
        <sz val="10"/>
        <color theme="1"/>
        <rFont val="Calibri"/>
        <family val="2"/>
        <scheme val="minor"/>
      </rPr>
      <t xml:space="preserve"> 92 personas en promedio por mes.
</t>
    </r>
    <r>
      <rPr>
        <b/>
        <sz val="10"/>
        <color theme="1"/>
        <rFont val="Calibri"/>
        <family val="2"/>
        <scheme val="minor"/>
      </rPr>
      <t>Universidad la Gran Colombia:</t>
    </r>
    <r>
      <rPr>
        <sz val="10"/>
        <color theme="1"/>
        <rFont val="Calibri"/>
        <family val="2"/>
        <scheme val="minor"/>
      </rPr>
      <t xml:space="preserve"> La UGCA no realizó actividades de promoción de la actividad física con entornos comunitarios.
</t>
    </r>
    <r>
      <rPr>
        <b/>
        <sz val="10"/>
        <color theme="1"/>
        <rFont val="Calibri"/>
        <family val="2"/>
        <scheme val="minor"/>
      </rPr>
      <t xml:space="preserve">Secretaría de Educación: </t>
    </r>
    <r>
      <rPr>
        <sz val="10"/>
        <color theme="1"/>
        <rFont val="Calibri"/>
        <family val="2"/>
        <scheme val="minor"/>
      </rPr>
      <t xml:space="preserve">La Secretaría de Educación Departamental no lleva dentro de sus datos estadísticos, el número o porcentaje de estudiantes que invierten tiempo en actividad física, Sin embargo dentro de las asignaturas que se dictan en las 54 Instituciones Educativas Oficiales se tiene la Educación Física como área obligatoria.
</t>
    </r>
  </si>
  <si>
    <r>
      <rPr>
        <b/>
        <sz val="10"/>
        <color theme="1"/>
        <rFont val="Calibri"/>
        <family val="2"/>
        <scheme val="minor"/>
      </rPr>
      <t xml:space="preserve">Se ejecutó el seguimiento a la ejecución de los planes de acción en un 100%.                                                  Secretaría del Interior: </t>
    </r>
    <r>
      <rPr>
        <sz val="10"/>
        <color theme="1"/>
        <rFont val="Calibri"/>
        <family val="2"/>
        <scheme val="minor"/>
      </rPr>
      <t xml:space="preserve">Se realizó la actualización del Plan Integral Departamental de Derechos Humanos donde se establece la ruta de protección y el plan de prevención de derechos humanos.Cada municipio tiene el plan integral de prevención de derechos humanos.  
</t>
    </r>
  </si>
  <si>
    <r>
      <t xml:space="preserve">la Red departamental de emprendimiento cuenta con un representante del Consejo Departamental de Juventudes.  Secretaría de Turismo Industria y Comercio: </t>
    </r>
    <r>
      <rPr>
        <sz val="10"/>
        <color theme="1"/>
        <rFont val="Calibri"/>
        <family val="2"/>
        <scheme val="minor"/>
      </rPr>
      <t>Durante el presente trimestre se lleva a cabo sesión o reunión de la Red Regional de Emprendimiento del Departamento del Quindío.</t>
    </r>
  </si>
  <si>
    <r>
      <rPr>
        <b/>
        <sz val="10"/>
        <color theme="1"/>
        <rFont val="Calibri"/>
        <family val="2"/>
        <scheme val="minor"/>
      </rPr>
      <t xml:space="preserve">Observación: SEGÚN REPORTE DE SEC. EDUCACIÓN SE IMPLEMENTAN 4 METODOLOGÍAS.                        </t>
    </r>
    <r>
      <rPr>
        <sz val="10"/>
        <color theme="1"/>
        <rFont val="Calibri"/>
        <family val="2"/>
        <scheme val="minor"/>
      </rPr>
      <t xml:space="preserve"> Se verifica en la página del Ministerio de Educación Nacional cinco (5) metodologías flexibles.  (ESCUELA NUEVA - POST PRIMARIA RURAL - SECUNDARÍA ACTIVA - ACELERACIÓN DEL APRENDIZAJE - CAMINAR EN SECUNDARIA)
</t>
    </r>
    <r>
      <rPr>
        <b/>
        <sz val="10"/>
        <color theme="1"/>
        <rFont val="Calibri"/>
        <family val="2"/>
        <scheme val="minor"/>
      </rPr>
      <t xml:space="preserve">Secretaría de Educación: </t>
    </r>
    <r>
      <rPr>
        <sz val="10"/>
        <color theme="1"/>
        <rFont val="Calibri"/>
        <family val="2"/>
        <scheme val="minor"/>
      </rPr>
      <t xml:space="preserve">En algunas de las instituciones educativas del departamento se tienen implementados los siguientes modelos flexibles para atender a poblaciones diversas o en condición de vulnerabilidad: Escuela Nueva, Post Primaria, Aceleración del aprendizaje y Pensar. </t>
    </r>
  </si>
  <si>
    <r>
      <rPr>
        <b/>
        <sz val="10"/>
        <color theme="1"/>
        <rFont val="Calibri"/>
        <family val="2"/>
        <scheme val="minor"/>
      </rPr>
      <t>SEGÚN LOS REPORTES OBTENIDOS SE VINCULARON 193 JÓVENES A PROYECTOS INNOVADORES Y DE EMPRENDIMIENTO. Sena:</t>
    </r>
    <r>
      <rPr>
        <sz val="10"/>
        <color theme="1"/>
        <rFont val="Calibri"/>
        <family val="2"/>
        <scheme val="minor"/>
      </rPr>
      <t xml:space="preserve"> El programa SENNOVA tiene por objetivo fortalecer las competencias orientadas al uso, aplicación y desarrollo de tecnologías avanzadas a través de semilleros de investigación, grupos de investigación aplicada y desarrollo tecnológico por redes de conocimiento, en los centros de formación. Pero no determina un rango de edad entre los aprendices.
</t>
    </r>
    <r>
      <rPr>
        <b/>
        <sz val="10"/>
        <color theme="1"/>
        <rFont val="Calibri"/>
        <family val="2"/>
        <scheme val="minor"/>
      </rPr>
      <t xml:space="preserve">Secretaría Turismo, Industria y Comercio: </t>
    </r>
    <r>
      <rPr>
        <sz val="10"/>
        <color theme="1"/>
        <rFont val="Calibri"/>
        <family val="2"/>
        <scheme val="minor"/>
      </rPr>
      <t xml:space="preserve">Ciento tres (103) iniciativas vinculadas a proyectos innovadores y de emprendimiento. Por medio del proyecto "Fortalecimiento del ecosistema de emprendimiento mediante el acompañamiento técnico y servicio de apoyo financiero para emprendedores en el Departamento del Quindío."CÓDIGO BPPIN: 2021003630014, financiado con recursos del SGR (Sistema General de Regalías), Además de la realización de asistencias técnicas a los emprendimientos del grupo poblacional. 
Por medio del convenio suscrito entre el Departamento y el banco agrario (2021-2022) el cual busca apoyar emprendimientos formales e informales a través de líneas de crédito, donde los recursos públicos son utilizados para subsidiar una tasa compensada, y en los cuales se identificó la siguiente información del enfoque poblacional objetivo:  11 Desembolsos para capital de trabajo.
</t>
    </r>
    <r>
      <rPr>
        <b/>
        <sz val="10"/>
        <color theme="1"/>
        <rFont val="Calibri"/>
        <family val="2"/>
        <scheme val="minor"/>
      </rPr>
      <t xml:space="preserve">Cámara de Comercio de Armenia y del Quindío: </t>
    </r>
    <r>
      <rPr>
        <sz val="10"/>
        <color theme="1"/>
        <rFont val="Calibri"/>
        <family val="2"/>
        <scheme val="minor"/>
      </rPr>
      <t xml:space="preserve"> Cámara de Comercio de Armenia y del Quindío:  La Cámara a través del área de INNOVACIÓN (Proyecto EMPRÉNDELO) y a través de su CENTRO DE TRANSFORMACIÓN DIGITAL, ha cumplido con el presente indicador, ya que son programas encaminados a la atención e impulso de emprendedores (nuevas ideas de empresas y proyectos) con herramientas tecnológicas y de medición de impacto en la comunidad en general; no obstante esto, esta especialmente dirigido a emprendedores jóvenes (18 a 35 años) etc. Igualmente, se tiene que 1.925 de las 4.708 empresas creadas a 30 de septiembre de 2022, se beneficiaron de la ley de emprendimiento juvenil (1780/2016) equivalente al 41% de las empresas matriculadas
</t>
    </r>
    <r>
      <rPr>
        <b/>
        <sz val="10"/>
        <color theme="1"/>
        <rFont val="Calibri"/>
        <family val="2"/>
        <scheme val="minor"/>
      </rPr>
      <t>Secretaría de Agricultura:</t>
    </r>
    <r>
      <rPr>
        <sz val="10"/>
        <color theme="1"/>
        <rFont val="Calibri"/>
        <family val="2"/>
        <scheme val="minor"/>
      </rPr>
      <t xml:space="preserve"> Para realizar el servicio de asesoría para el fortalecimiento de la asociatividad, en el segundo trimestre se atendieron 27 Asociaciones del sector rural, a las cuales se les brindó asesoría y asistencia técnica en diversos temas técnicos, comerciales y organizacionales orientados a fortalecer la base social, la generación de productos, el cumplimiento sanitario, la formalización comercial y el apoyo a temas sanitarios de los productos terminados. Se realizó intervención por primera vez a 11 asociaciones y seguimiento a las 16 que se les realizó asistencia en el primer trimestre, las asociaciones fortalecidas.
</t>
    </r>
    <r>
      <rPr>
        <b/>
        <sz val="10"/>
        <color theme="1"/>
        <rFont val="Calibri"/>
        <family val="2"/>
        <scheme val="minor"/>
      </rPr>
      <t>Universidad del Quindío:</t>
    </r>
    <r>
      <rPr>
        <sz val="10"/>
        <color theme="1"/>
        <rFont val="Calibri"/>
        <family val="2"/>
        <scheme val="minor"/>
      </rPr>
      <t xml:space="preserve"> Para el presupuesto se cuantificaron los recursos destinados en especie, que por lo general se relacionan con el rubro de contratación o de asignación de funcionarios al apoyo de dichos procesos.
</t>
    </r>
    <r>
      <rPr>
        <b/>
        <sz val="10"/>
        <color theme="1"/>
        <rFont val="Calibri"/>
        <family val="2"/>
        <scheme val="minor"/>
      </rPr>
      <t xml:space="preserve">Universidad EAM: </t>
    </r>
    <r>
      <rPr>
        <sz val="10"/>
        <color theme="1"/>
        <rFont val="Calibri"/>
        <family val="2"/>
        <scheme val="minor"/>
      </rPr>
      <t xml:space="preserve">15 estudiantes asesorados en creación de empresas
</t>
    </r>
    <r>
      <rPr>
        <b/>
        <sz val="10"/>
        <color theme="1"/>
        <rFont val="Calibri"/>
        <family val="2"/>
        <scheme val="minor"/>
      </rPr>
      <t>Universidad la Gran Colombia</t>
    </r>
    <r>
      <rPr>
        <sz val="10"/>
        <color theme="1"/>
        <rFont val="Calibri"/>
        <family val="2"/>
        <scheme val="minor"/>
      </rPr>
      <t xml:space="preserve">: En el marco del semillero de emprendimiento 2022-2 se realiza mentoría a 12 propuestas de negocio que a hoy se encuentran en etapa de ideación. Dentro de las iniciativas se cuenta con modelos de negocio de bisuterías, artesanías, creación de software, alimentos, turismo y empresas de arquitectura. 
</t>
    </r>
    <r>
      <rPr>
        <b/>
        <sz val="10"/>
        <color theme="1"/>
        <rFont val="Calibri"/>
        <family val="2"/>
        <scheme val="minor"/>
      </rPr>
      <t>Alcaldía de Calarcá</t>
    </r>
    <r>
      <rPr>
        <sz val="10"/>
        <color theme="1"/>
        <rFont val="Calibri"/>
        <family val="2"/>
        <scheme val="minor"/>
      </rPr>
      <t xml:space="preserve">: Se apoyó la iniciativa comunitaria BOXEANDO POR LA PAZ. Implementada en la Institución Educativa Jesús María Morales. Se beneficiaron 30 jóvenes. Esta en proceso la entrega de los implementos requeridos.
</t>
    </r>
    <r>
      <rPr>
        <b/>
        <sz val="10"/>
        <color theme="1"/>
        <rFont val="Calibri"/>
        <family val="2"/>
        <scheme val="minor"/>
      </rPr>
      <t xml:space="preserve">Alcaldía Filandia: </t>
    </r>
    <r>
      <rPr>
        <sz val="10"/>
        <color theme="1"/>
        <rFont val="Calibri"/>
        <family val="2"/>
        <scheme val="minor"/>
      </rPr>
      <t xml:space="preserve">12 jóvenes vinculados a proyectos innovadores  y 6 iniciativas empresariales apoyadas.
</t>
    </r>
    <r>
      <rPr>
        <b/>
        <sz val="10"/>
        <color theme="1"/>
        <rFont val="Calibri"/>
        <family val="2"/>
        <scheme val="minor"/>
      </rPr>
      <t>Alcaldía Quimbaya:</t>
    </r>
    <r>
      <rPr>
        <sz val="10"/>
        <color theme="1"/>
        <rFont val="Calibri"/>
        <family val="2"/>
        <scheme val="minor"/>
      </rPr>
      <t xml:space="preserve"> En el municipio de Quimbaya hay 40 jóvenes vinculados a proyectos de emprendimientos</t>
    </r>
  </si>
  <si>
    <r>
      <t xml:space="preserve">Alcaldía de Salento: </t>
    </r>
    <r>
      <rPr>
        <sz val="10"/>
        <color theme="1"/>
        <rFont val="Calibri"/>
        <family val="2"/>
        <scheme val="minor"/>
      </rPr>
      <t>Actualmente el municipio de Salento cuenta con Enlace de Juventud, el cual está a cargo de la Subsecretaría de Cultura y Deporte.</t>
    </r>
    <r>
      <rPr>
        <b/>
        <sz val="10"/>
        <color theme="1"/>
        <rFont val="Calibri"/>
        <family val="2"/>
        <scheme val="minor"/>
      </rPr>
      <t xml:space="preserve">
Alcaldía Calarcá: </t>
    </r>
    <r>
      <rPr>
        <sz val="10"/>
        <color theme="1"/>
        <rFont val="Calibri"/>
        <family val="2"/>
        <scheme val="minor"/>
      </rPr>
      <t>La alcaldía municipal designo a la Secretaria de Servicios Sociales y Salud para la articulación y asistencia técnica con las instancias de participación de los jóvenes, así mismo esta secretaría cuenta con el programa de  atención a jóvenes del municipio de Calarcá.</t>
    </r>
    <r>
      <rPr>
        <b/>
        <sz val="10"/>
        <color theme="1"/>
        <rFont val="Calibri"/>
        <family val="2"/>
        <scheme val="minor"/>
      </rPr>
      <t xml:space="preserve">
Alcaldía Quimbaya: </t>
    </r>
    <r>
      <rPr>
        <sz val="10"/>
        <color theme="1"/>
        <rFont val="Calibri"/>
        <family val="2"/>
        <scheme val="minor"/>
      </rPr>
      <t>El municipio de Quimbaya cuenta con el P:U: de Atención a grupos Vulnerables; encargado de supervisar la ejecución del proyecto de juventud.</t>
    </r>
    <r>
      <rPr>
        <b/>
        <sz val="10"/>
        <color theme="1"/>
        <rFont val="Calibri"/>
        <family val="2"/>
        <scheme val="minor"/>
      </rPr>
      <t xml:space="preserve">
Alcaldía de Montenegro:</t>
    </r>
    <r>
      <rPr>
        <sz val="10"/>
        <color theme="1"/>
        <rFont val="Calibri"/>
        <family val="2"/>
        <scheme val="minor"/>
      </rPr>
      <t xml:space="preserve"> La Subsecretaría de Desarrollo Social y Educativo creada mediante acto administrativo cuenta con el programa de juventud donde se desarrollan actividades en pro de la juventudes del municipio tal  como lo establece el estatuto de ciudadanía juvenil (ley 1622 del 2013)</t>
    </r>
    <r>
      <rPr>
        <b/>
        <sz val="10"/>
        <color theme="1"/>
        <rFont val="Calibri"/>
        <family val="2"/>
        <scheme val="minor"/>
      </rPr>
      <t xml:space="preserve">
Alcaldía de Filandia: </t>
    </r>
    <r>
      <rPr>
        <sz val="10"/>
        <color theme="1"/>
        <rFont val="Calibri"/>
        <family val="2"/>
        <scheme val="minor"/>
      </rPr>
      <t xml:space="preserve">La Secretaría de Gobierno y Desarrollo Social creada bajo el acuerdo 006  del 29 mayo de 2018, cuenta con un programa de juventud en el cual se desarrollan diversas actividades encaminadas a la participación y bienestar de la población juvenil del municipio de Filandia. </t>
    </r>
    <r>
      <rPr>
        <b/>
        <sz val="10"/>
        <color theme="1"/>
        <rFont val="Calibri"/>
        <family val="2"/>
        <scheme val="minor"/>
      </rPr>
      <t xml:space="preserve">
Alcaldía de Armenia: </t>
    </r>
    <r>
      <rPr>
        <sz val="10"/>
        <color theme="1"/>
        <rFont val="Calibri"/>
        <family val="2"/>
        <scheme val="minor"/>
      </rPr>
      <t>Cuenta con un</t>
    </r>
    <r>
      <rPr>
        <b/>
        <sz val="10"/>
        <color theme="1"/>
        <rFont val="Calibri"/>
        <family val="2"/>
        <scheme val="minor"/>
      </rPr>
      <t xml:space="preserve"> </t>
    </r>
    <r>
      <rPr>
        <sz val="10"/>
        <color theme="1"/>
        <rFont val="Calibri"/>
        <family val="2"/>
        <scheme val="minor"/>
      </rPr>
      <t xml:space="preserve">programa juventud pa todos desde la Secretaría de Desarrollo Social la cual cuenta con 4 contratistas                     </t>
    </r>
    <r>
      <rPr>
        <b/>
        <sz val="10"/>
        <color theme="1"/>
        <rFont val="Calibri"/>
        <family val="2"/>
        <scheme val="minor"/>
      </rPr>
      <t xml:space="preserve">
Alcaldía de Buenavista: </t>
    </r>
    <r>
      <rPr>
        <sz val="10"/>
        <color theme="1"/>
        <rFont val="Calibri"/>
        <family val="2"/>
        <scheme val="minor"/>
      </rPr>
      <t>Actualmente, se cuenta con un enlace de juventud para realizar el seguimiento a la Política Pública y dinamizar los espacios de participación</t>
    </r>
    <r>
      <rPr>
        <b/>
        <sz val="10"/>
        <color theme="1"/>
        <rFont val="Calibri"/>
        <family val="2"/>
        <scheme val="minor"/>
      </rPr>
      <t xml:space="preserve">
Alcaldía de Córdoba: </t>
    </r>
    <r>
      <rPr>
        <sz val="10"/>
        <color theme="1"/>
        <rFont val="Calibri"/>
        <family val="2"/>
        <scheme val="minor"/>
      </rPr>
      <t>En el municipio la Secretaría General y de Gobierno tiene a cargo el programa de Juventud y es quien se encarga del desarrollo de actividades con esta población.</t>
    </r>
    <r>
      <rPr>
        <b/>
        <sz val="10"/>
        <color theme="1"/>
        <rFont val="Calibri"/>
        <family val="2"/>
        <scheme val="minor"/>
      </rPr>
      <t xml:space="preserve">
Secretaría de Familia: </t>
    </r>
    <r>
      <rPr>
        <sz val="10"/>
        <color theme="1"/>
        <rFont val="Calibri"/>
        <family val="2"/>
        <scheme val="minor"/>
      </rPr>
      <t xml:space="preserve">Reporta que las alcaldías municipales a través de las Secretarías de Gobierno y/o de Desarrollo Social, cuentan con un programa de juventud a través del cual tienen personal contratado para ejecutar obligaciones relacionadas con juventud, La meta financiera que se reporta corresponde a estas, No obstante en ninguna se han constituido oficinas con capacidad política, técnica y financiera
</t>
    </r>
  </si>
  <si>
    <r>
      <rPr>
        <b/>
        <sz val="10"/>
        <color theme="1"/>
        <rFont val="Calibri"/>
        <family val="2"/>
        <scheme val="minor"/>
      </rPr>
      <t xml:space="preserve">
Secretaría de Familia: </t>
    </r>
    <r>
      <rPr>
        <sz val="10"/>
        <color theme="1"/>
        <rFont val="Calibri"/>
        <family val="2"/>
        <scheme val="minor"/>
      </rPr>
      <t xml:space="preserve">La Tasa de deserción a largo plazo (semestre 10) es del 54,3% según reporte del Ministerio de Educación y la tasa de absorcion de bachilleres es del 47,3%
</t>
    </r>
    <r>
      <rPr>
        <b/>
        <sz val="10"/>
        <color theme="1"/>
        <rFont val="Calibri"/>
        <family val="2"/>
        <scheme val="minor"/>
      </rPr>
      <t xml:space="preserve">Alcaldía de Buenavista: </t>
    </r>
    <r>
      <rPr>
        <sz val="10"/>
        <color theme="1"/>
        <rFont val="Calibri"/>
        <family val="2"/>
        <scheme val="minor"/>
      </rPr>
      <t xml:space="preserve">Estímulos para el acceso y permanencia en la educación superior  1 convenio con el SENA - (TÉCNICO LABORAL EN PROCESOS AGROINDUSTRIALES.
</t>
    </r>
    <r>
      <rPr>
        <b/>
        <sz val="10"/>
        <color theme="1"/>
        <rFont val="Calibri"/>
        <family val="2"/>
        <scheme val="minor"/>
      </rPr>
      <t>Alcaldía de Filandia:</t>
    </r>
    <r>
      <rPr>
        <sz val="10"/>
        <color theme="1"/>
        <rFont val="Calibri"/>
        <family val="2"/>
        <scheme val="minor"/>
      </rPr>
      <t xml:space="preserve"> Tasa de absorción de bachilleres: 35% de 140 recién graduados en el municipio de Filandia, ingresan al menos 25 a la Universidad en el siguiente año.
</t>
    </r>
    <r>
      <rPr>
        <b/>
        <sz val="10"/>
        <color theme="1"/>
        <rFont val="Calibri"/>
        <family val="2"/>
        <scheme val="minor"/>
      </rPr>
      <t>Alcaldía Génova:</t>
    </r>
    <r>
      <rPr>
        <sz val="10"/>
        <color theme="1"/>
        <rFont val="Calibri"/>
        <family val="2"/>
        <scheme val="minor"/>
      </rPr>
      <t xml:space="preserve"> 6 formaciones complementarias, tales como: empaques, muñequería navideña, comportamiento emprendedor, productos cosméticos y de aseo, manipulación de alimentos, panadería. Con el SENA Técnico en contabilización operarias comerciales y financieras con el SENA, cuarto semestre del segunda cohorte en administración pública con la esap y la respetiva preinscripción e inscripción del primer semestre del tercera cohorte en administración publica con la ESAP.
</t>
    </r>
    <r>
      <rPr>
        <b/>
        <sz val="10"/>
        <color theme="1"/>
        <rFont val="Calibri"/>
        <family val="2"/>
        <scheme val="minor"/>
      </rPr>
      <t>Alcaldía Salento:</t>
    </r>
    <r>
      <rPr>
        <sz val="10"/>
        <color theme="1"/>
        <rFont val="Calibri"/>
        <family val="2"/>
        <scheme val="minor"/>
      </rPr>
      <t xml:space="preserve"> Procesos a cargo de las instituciones educativas del municipio
</t>
    </r>
    <r>
      <rPr>
        <b/>
        <sz val="10"/>
        <color theme="1"/>
        <rFont val="Calibri"/>
        <family val="2"/>
        <scheme val="minor"/>
      </rPr>
      <t>Alcaldía de Córdoba:</t>
    </r>
    <r>
      <rPr>
        <sz val="10"/>
        <color theme="1"/>
        <rFont val="Calibri"/>
        <family val="2"/>
        <scheme val="minor"/>
      </rPr>
      <t xml:space="preserve"> El municipio fortaleció las metodologías para la oferta educativa, en los siguientes: Escuela Nueva, enfoque Epc , Etnoeducación, flexibilización curricular programa de apoyo para estudiantes con discapacidad y trastornos del aprendizaje.
</t>
    </r>
    <r>
      <rPr>
        <b/>
        <sz val="10"/>
        <color theme="1"/>
        <rFont val="Calibri"/>
        <family val="2"/>
        <scheme val="minor"/>
      </rPr>
      <t>Alcaldía de Montenegro:</t>
    </r>
    <r>
      <rPr>
        <sz val="10"/>
        <color theme="1"/>
        <rFont val="Calibri"/>
        <family val="2"/>
        <scheme val="minor"/>
      </rPr>
      <t xml:space="preserve"> Las instituciones educativas de Marco Fidel Suarez e Instituto Montenegro, realizan educación inclusiva o flexible en donde estudian por módulos.
</t>
    </r>
    <r>
      <rPr>
        <b/>
        <sz val="10"/>
        <color theme="1"/>
        <rFont val="Calibri"/>
        <family val="2"/>
        <scheme val="minor"/>
      </rPr>
      <t xml:space="preserve">Alcaldía de Calarcá: </t>
    </r>
    <r>
      <rPr>
        <sz val="10"/>
        <color theme="1"/>
        <rFont val="Calibri"/>
        <family val="2"/>
        <scheme val="minor"/>
      </rPr>
      <t xml:space="preserve">Realizamos el pago a las 14 instituciones educativas urbanas y rurales (30 sedes) con servicios públicos como energía, alcantarillado, acueducto y aseo. Aproximadamente 3.174 jóvenes beneficiados y se apoyó al 100% de los estudiantes de las 14 Instituciones Educativas sector urbano y rural con recursos de gratuidad escolar.
</t>
    </r>
    <r>
      <rPr>
        <b/>
        <sz val="10"/>
        <color theme="1"/>
        <rFont val="Calibri"/>
        <family val="2"/>
        <scheme val="minor"/>
      </rPr>
      <t xml:space="preserve">Alcaldía Armenia: </t>
    </r>
    <r>
      <rPr>
        <sz val="10"/>
        <color theme="1"/>
        <rFont val="Calibri"/>
        <family val="2"/>
        <scheme val="minor"/>
      </rPr>
      <t xml:space="preserve">35.500 Niños, Niñas, Jóvenes según la información reportada de la SEM no clasifica por edad.
</t>
    </r>
    <r>
      <rPr>
        <b/>
        <sz val="10"/>
        <color rgb="FFFF0000"/>
        <rFont val="Calibri"/>
        <family val="2"/>
        <scheme val="minor"/>
      </rPr>
      <t/>
    </r>
  </si>
  <si>
    <r>
      <rPr>
        <b/>
        <sz val="10"/>
        <color theme="1"/>
        <rFont val="Calibri"/>
        <family val="2"/>
        <scheme val="minor"/>
      </rPr>
      <t>Alcaldía de Salento</t>
    </r>
    <r>
      <rPr>
        <sz val="10"/>
        <color theme="1"/>
        <rFont val="Calibri"/>
        <family val="2"/>
        <scheme val="minor"/>
      </rPr>
      <t xml:space="preserve">: Seguimiento a las políticas de salud dadas por el Consejo Municipal de Política Social (COMPOS)
</t>
    </r>
    <r>
      <rPr>
        <b/>
        <sz val="10"/>
        <color theme="1"/>
        <rFont val="Calibri"/>
        <family val="2"/>
        <scheme val="minor"/>
      </rPr>
      <t>Alcaldía de Montenegro:</t>
    </r>
    <r>
      <rPr>
        <sz val="10"/>
        <color theme="1"/>
        <rFont val="Calibri"/>
        <family val="2"/>
        <scheme val="minor"/>
      </rPr>
      <t xml:space="preserve"> Se tiene un aseguramiento del 100% y se hace a través del Sistema de Afiliación Transaccional (SAT) o afiliación de oficio.
</t>
    </r>
    <r>
      <rPr>
        <b/>
        <sz val="10"/>
        <color theme="1"/>
        <rFont val="Calibri"/>
        <family val="2"/>
        <scheme val="minor"/>
      </rPr>
      <t>Alcaldía Buenavista:</t>
    </r>
    <r>
      <rPr>
        <sz val="10"/>
        <color theme="1"/>
        <rFont val="Calibri"/>
        <family val="2"/>
        <scheme val="minor"/>
      </rPr>
      <t xml:space="preserve"> Se revisa la prestación del servicio a jóvenes por parte del plan local de Salud al Hospital San Camilo  
</t>
    </r>
    <r>
      <rPr>
        <b/>
        <sz val="10"/>
        <color theme="1"/>
        <rFont val="Calibri"/>
        <family val="2"/>
        <scheme val="minor"/>
      </rPr>
      <t xml:space="preserve">Alcaldía de Pijao: </t>
    </r>
    <r>
      <rPr>
        <sz val="10"/>
        <color theme="1"/>
        <rFont val="Calibri"/>
        <family val="2"/>
        <scheme val="minor"/>
      </rPr>
      <t xml:space="preserve">Los representantes de los jóvenes son miembros activos y participan en el Comité de Salud Municipal.
</t>
    </r>
    <r>
      <rPr>
        <b/>
        <sz val="10"/>
        <color theme="1"/>
        <rFont val="Calibri"/>
        <family val="2"/>
        <scheme val="minor"/>
      </rPr>
      <t xml:space="preserve">Alcaldía Calarcá: </t>
    </r>
    <r>
      <rPr>
        <sz val="10"/>
        <color theme="1"/>
        <rFont val="Calibri"/>
        <family val="2"/>
        <scheme val="minor"/>
      </rPr>
      <t xml:space="preserve">Se refiere al aseguramiento en régimen subsidiado de los jóvenes que cumplen con los requisitos.  Cada tres meses se deben realizar encuestas a los jóvenes en calidad del servicio, cabe mencionar que de forma mensual se realizan 150 encuestas en la población Calarqueña.
</t>
    </r>
    <r>
      <rPr>
        <b/>
        <sz val="10"/>
        <color theme="1"/>
        <rFont val="Calibri"/>
        <family val="2"/>
        <scheme val="minor"/>
      </rPr>
      <t>Alcaldía de Córdoba:</t>
    </r>
    <r>
      <rPr>
        <sz val="10"/>
        <color theme="1"/>
        <rFont val="Calibri"/>
        <family val="2"/>
        <scheme val="minor"/>
      </rPr>
      <t xml:space="preserve"> Mediante el Plan Local de Salud se realiza seguimiento a la E.S.E Hospital San Roque de Córdoba, en los espacios de participación en cuanto a al Comité Operativo de Infancia y Adolescencia, Consejo Municipal de Policía Social - CMPS.
</t>
    </r>
    <r>
      <rPr>
        <b/>
        <sz val="10"/>
        <color theme="1"/>
        <rFont val="Calibri"/>
        <family val="2"/>
        <scheme val="minor"/>
      </rPr>
      <t xml:space="preserve">Secretaría de Salud: </t>
    </r>
    <r>
      <rPr>
        <sz val="10"/>
        <color theme="1"/>
        <rFont val="Calibri"/>
        <family val="2"/>
        <scheme val="minor"/>
      </rPr>
      <t xml:space="preserve">Socialización con las alcaldías, se efectuaron talleres, visitas a los municipios y auditorías, la cobertura de aseguramiento en poblacion joven es del 85%.
</t>
    </r>
  </si>
  <si>
    <r>
      <rPr>
        <b/>
        <sz val="10"/>
        <color theme="1"/>
        <rFont val="Calibri"/>
        <family val="2"/>
        <scheme val="minor"/>
      </rPr>
      <t>Indeportes: 69% de deportistas participantes jovenes quindianos en juegos nacionales</t>
    </r>
    <r>
      <rPr>
        <sz val="10"/>
        <color theme="1"/>
        <rFont val="Calibri"/>
        <family val="2"/>
        <scheme val="minor"/>
      </rPr>
      <t>.</t>
    </r>
  </si>
  <si>
    <r>
      <rPr>
        <b/>
        <sz val="10"/>
        <color theme="1"/>
        <rFont val="Calibri"/>
        <family val="2"/>
        <scheme val="minor"/>
      </rPr>
      <t xml:space="preserve">Secretaría de Cultura: </t>
    </r>
    <r>
      <rPr>
        <sz val="10"/>
        <color theme="1"/>
        <rFont val="Calibri"/>
        <family val="2"/>
        <scheme val="minor"/>
      </rPr>
      <t>se realizaron talleres de promoción de lectura y escritura en los diferentes municipios  con el apoyo de los instituciones educativas, impactando a 250  jóvenes en este cuarto  trimestre, así como también desde las bibliotecas públicas hemos atendido a 1250  jóvenes. 118 estimulos otorgados a talentos jovenes.</t>
    </r>
  </si>
  <si>
    <r>
      <t xml:space="preserve">   
</t>
    </r>
    <r>
      <rPr>
        <b/>
        <sz val="10"/>
        <color theme="1"/>
        <rFont val="Calibri"/>
        <family val="2"/>
        <scheme val="minor"/>
      </rPr>
      <t xml:space="preserve">Secretaría de Cultura: </t>
    </r>
    <r>
      <rPr>
        <sz val="10"/>
        <color theme="1"/>
        <rFont val="Calibri"/>
        <family val="2"/>
        <scheme val="minor"/>
      </rPr>
      <t>En la ejecución del programa  de concertación los proyectos siguientes fueron los que mas beneficiaron población juvenil: asociación libre teatro con un total de : 2.200 jóvenes realizando el festival calle arriba calle abajo en los municipios de Calarcá, Armenia, Quimbaya el corregimiento de Barcelona. La fundación torre de palabras realizó talleres de literatura y cine en donde se beneficiaron 500 jóvenes en los municipios de Calarcá y Armenia. La corporación los muñecos del teatro escondido realizó un proceso de realización en artes con 1100 jóvenes en el municipio de Armenia. La fundación acción para la vida realizó talleres de música y danza folclórica con 610 jóvenes en el corregimiento de Barcelona.
la fundación talento cafetero realizó un festival de música andina colombiana con la participación de 900 jóvenes. La corporación kymera realizó el laboratorio de creación audiovisual elaborando vídeos de animación con 1447 en losm12 municipios del Departamento. La corporación red apoyó la realización de talleres de formación en música con 12 jóvenes del CAE la Primavera del municipio de Montenegro . 92 proyectos de concertacion con organizaciones juveniles, culturales apoyados</t>
    </r>
  </si>
  <si>
    <t>PROGRAMADO 
(Meta al 2023)</t>
  </si>
  <si>
    <t>11.5%</t>
  </si>
  <si>
    <t>3.41%</t>
  </si>
  <si>
    <t>54.3%</t>
  </si>
  <si>
    <t>EJECUTADO HASTA EL PRIMER TRIMESTRE DEL 2023</t>
  </si>
  <si>
    <t>2023 III TRIMESTRE</t>
  </si>
  <si>
    <r>
      <rPr>
        <b/>
        <sz val="10"/>
        <rFont val="Calibri"/>
        <family val="2"/>
        <scheme val="minor"/>
      </rPr>
      <t xml:space="preserve">Secretaría de Familia: </t>
    </r>
    <r>
      <rPr>
        <sz val="10"/>
        <rFont val="Calibri"/>
        <family val="2"/>
        <scheme val="minor"/>
      </rPr>
      <t xml:space="preserve">Reporta que en el Departamento del Quindío, nueve de los doce municipios cuentan con política pública de juventud formulada y en ejecución. Los municipios que no cuentan con política pública de juventud, son Génova, Córdoba y  Pijao.
</t>
    </r>
    <r>
      <rPr>
        <b/>
        <sz val="10"/>
        <rFont val="Calibri"/>
        <family val="2"/>
        <scheme val="minor"/>
      </rPr>
      <t xml:space="preserve">
Alcaldía de Circasia: </t>
    </r>
    <r>
      <rPr>
        <sz val="10"/>
        <rFont val="Calibri"/>
        <family val="2"/>
        <scheme val="minor"/>
      </rPr>
      <t xml:space="preserve">Cuenta con el Acuerdo Municipal 011 del 29 de mayo de 2015, que adopta la Política Pública de Juventud Municipal "Circasia  para la Juventud" 2015-2024
</t>
    </r>
    <r>
      <rPr>
        <b/>
        <sz val="10"/>
        <rFont val="Calibri"/>
        <family val="2"/>
        <scheme val="minor"/>
      </rPr>
      <t xml:space="preserve">Alcaldía de Salento: </t>
    </r>
    <r>
      <rPr>
        <sz val="10"/>
        <rFont val="Calibri"/>
        <family val="2"/>
        <scheme val="minor"/>
      </rPr>
      <t xml:space="preserve">Salento cuenta con Política Pública de Juventud vigente (Acuerdo Municipal 013 del 15 de Noviembre de 2017), de igual manera, está articulada al Plan de Desarrollo Municipal "Salento Somos Todos" 2020-2023, en conjunto con otras políticas, planes y proyectos de ámbito social.
</t>
    </r>
    <r>
      <rPr>
        <b/>
        <sz val="10"/>
        <rFont val="Calibri"/>
        <family val="2"/>
        <scheme val="minor"/>
      </rPr>
      <t>Alcaldía de Armenia:</t>
    </r>
    <r>
      <rPr>
        <sz val="10"/>
        <rFont val="Calibri"/>
        <family val="2"/>
        <scheme val="minor"/>
      </rPr>
      <t xml:space="preserve"> Se cuenta con la POLÍTICA PÚBLICA JÓVENES CONSTRUYENDO CIUDAD 2014-2024 adoptada mediante el  DECRETO 169 DEL 11 DE FEBRERO DE 2015, se realizan dos seguimientos al año de manera semestral y en concordancia a los planes de acción de las diferentes secretarías del municipio, se socializan en el sistema municipal de juventud  y el  consejo de política social.  
</t>
    </r>
    <r>
      <rPr>
        <b/>
        <sz val="10"/>
        <rFont val="Calibri"/>
        <family val="2"/>
        <scheme val="minor"/>
      </rPr>
      <t>Alcaldía La  Tebaida:</t>
    </r>
    <r>
      <rPr>
        <sz val="10"/>
        <rFont val="Calibri"/>
        <family val="2"/>
        <scheme val="minor"/>
      </rPr>
      <t xml:space="preserve"> La Administración Municipal, cuenta Política Pública formulada y adoptada mediante el acuerdo municipal 015 de 2019, en el momento se encuentra en etapa de ejecución.
</t>
    </r>
    <r>
      <rPr>
        <b/>
        <sz val="10"/>
        <rFont val="Calibri"/>
        <family val="2"/>
        <scheme val="minor"/>
      </rPr>
      <t>Alcaldía de Quimbaya</t>
    </r>
    <r>
      <rPr>
        <sz val="10"/>
        <rFont val="Calibri"/>
        <family val="2"/>
        <scheme val="minor"/>
      </rPr>
      <t xml:space="preserve">: El Municipio de Quimbaya adoptó la política pública de juventud mediante el acuerdo municipal 016 de 2019.
</t>
    </r>
    <r>
      <rPr>
        <b/>
        <sz val="10"/>
        <rFont val="Calibri"/>
        <family val="2"/>
        <scheme val="minor"/>
      </rPr>
      <t>Alcaldía de Buenavista</t>
    </r>
    <r>
      <rPr>
        <sz val="10"/>
        <rFont val="Calibri"/>
        <family val="2"/>
        <scheme val="minor"/>
      </rPr>
      <t xml:space="preserve">: El Municipio cuenta con la Politica Pública de Juventud, "Buenavista… un lugar para crear, soñar y construir",  adoptada mediante decreto 087 de diciembre 15 de 2017, con 10 años para su ejecución; para lo cual se está implementando y dándole cumplimiento.
</t>
    </r>
    <r>
      <rPr>
        <b/>
        <sz val="10"/>
        <rFont val="Calibri"/>
        <family val="2"/>
        <scheme val="minor"/>
      </rPr>
      <t>Alcaldía Génova:</t>
    </r>
    <r>
      <rPr>
        <sz val="10"/>
        <rFont val="Calibri"/>
        <family val="2"/>
        <scheme val="minor"/>
      </rPr>
      <t xml:space="preserve"> El municipio de Génova se encuentra en etapa de formulación de la política pública de Juventud                         
</t>
    </r>
    <r>
      <rPr>
        <b/>
        <sz val="10"/>
        <rFont val="Calibri"/>
        <family val="2"/>
        <scheme val="minor"/>
      </rPr>
      <t>Alcaldía de Montenegro:</t>
    </r>
    <r>
      <rPr>
        <sz val="10"/>
        <rFont val="Calibri"/>
        <family val="2"/>
        <scheme val="minor"/>
      </rPr>
      <t xml:space="preserve"> el Municipio de Montenegro cuenta con Política Pública de Juventud, la cual fue adoptada  bajo el acuerdo 07 de septiembre de 2022, al momento se encuentra en ejecución.
</t>
    </r>
    <r>
      <rPr>
        <b/>
        <sz val="10"/>
        <rFont val="Calibri"/>
        <family val="2"/>
        <scheme val="minor"/>
      </rPr>
      <t>Alcaldía de Filandia</t>
    </r>
    <r>
      <rPr>
        <sz val="10"/>
        <rFont val="Calibri"/>
        <family val="2"/>
        <scheme val="minor"/>
      </rPr>
      <t xml:space="preserve">: El  municipio de Filandia cuenta con política de juventud adoptada bajo acuerdo N°021 de 2019, cuya medición se realiza en el COMPOS municipal.
</t>
    </r>
    <r>
      <rPr>
        <b/>
        <sz val="10"/>
        <rFont val="Calibri"/>
        <family val="2"/>
        <scheme val="minor"/>
      </rPr>
      <t xml:space="preserve">Alcaldía de Pijao: </t>
    </r>
    <r>
      <rPr>
        <sz val="10"/>
        <rFont val="Calibri"/>
        <family val="2"/>
        <scheme val="minor"/>
      </rPr>
      <t xml:space="preserve">No cuenta con Política Pública.
</t>
    </r>
    <r>
      <rPr>
        <b/>
        <sz val="10"/>
        <rFont val="Calibri"/>
        <family val="2"/>
        <scheme val="minor"/>
      </rPr>
      <t>Alcaldía de Córdoba:</t>
    </r>
    <r>
      <rPr>
        <sz val="10"/>
        <rFont val="Calibri"/>
        <family val="2"/>
        <scheme val="minor"/>
      </rPr>
      <t xml:space="preserve"> El municipio no cuenta con la política pública de juventud implementada, sin embargo se realizan actividades teniendo en cuenta la Política Departamental de Juventud. 
</t>
    </r>
    <r>
      <rPr>
        <b/>
        <sz val="10"/>
        <rFont val="Calibri"/>
        <family val="2"/>
        <scheme val="minor"/>
      </rPr>
      <t>Alcaldía Calarcá:</t>
    </r>
    <r>
      <rPr>
        <sz val="10"/>
        <rFont val="Calibri"/>
        <family val="2"/>
        <scheme val="minor"/>
      </rPr>
      <t xml:space="preserve"> El Municipio cuenta con la Política Pública de Juventudes "LOS JÓVENES SOMOS EL CAMBIO" adopata mediante el acuerdo municipal 019 del 06 de septiembre de 2018. 
</t>
    </r>
  </si>
  <si>
    <r>
      <t xml:space="preserve">Secretaría de Familia: </t>
    </r>
    <r>
      <rPr>
        <sz val="10"/>
        <rFont val="Calibri"/>
        <family val="2"/>
        <scheme val="minor"/>
      </rPr>
      <t xml:space="preserve">Reporta que las alcaldías municipales a través de las Secretarías de Gobierno y/o de Desarrollo Social, cuentan con un programa de juventud a través del cual tienen personal contratado para ejecutar obligaciones relacionadas con juventud, La meta financiera que se reporta corresponde a estas, No obstante en ninguna se han constituido oficinas con capacidad política, técnica y financiera.
</t>
    </r>
    <r>
      <rPr>
        <b/>
        <sz val="10"/>
        <rFont val="Calibri"/>
        <family val="2"/>
        <scheme val="minor"/>
      </rPr>
      <t xml:space="preserve">
Alcaldía de Salento: </t>
    </r>
    <r>
      <rPr>
        <sz val="10"/>
        <rFont val="Calibri"/>
        <family val="2"/>
        <scheme val="minor"/>
      </rPr>
      <t xml:space="preserve">Actualmente el municipio de Salento cuenta con Enlace de Juventud, el cual está a cargo de la Subsecretaría de Cultura y Deporte.
</t>
    </r>
    <r>
      <rPr>
        <b/>
        <sz val="10"/>
        <rFont val="Calibri"/>
        <family val="2"/>
        <scheme val="minor"/>
      </rPr>
      <t xml:space="preserve">Alcaldía Armenia: </t>
    </r>
    <r>
      <rPr>
        <sz val="10"/>
        <rFont val="Calibri"/>
        <family val="2"/>
        <scheme val="minor"/>
      </rPr>
      <t>programa juventud pa todos desde la secretaria de desarrollo social la cual cuenta con 4 contratistas.</t>
    </r>
    <r>
      <rPr>
        <b/>
        <sz val="10"/>
        <rFont val="Calibri"/>
        <family val="2"/>
        <scheme val="minor"/>
      </rPr>
      <t xml:space="preserve">
Alcaldía Calarcá: </t>
    </r>
    <r>
      <rPr>
        <sz val="10"/>
        <rFont val="Calibri"/>
        <family val="2"/>
        <scheme val="minor"/>
      </rPr>
      <t xml:space="preserve"> de acuerdo al Plan de Desarrollo Calarca Para Todos en el Eje 1. Arquitectura Institucional Línea de Acción 1.1. Promover la Politica Publica de Juventud en la Meta 1.1.1. Designar dependencia encargada para la articulación de acciones en la implementacion seguimiento y monitoreo de la Política Pública "Los Jóvenes Somos el Cambio,  Se realiza a través de Gestión. y se asigna profesional encargado. </t>
    </r>
    <r>
      <rPr>
        <b/>
        <sz val="10"/>
        <rFont val="Calibri"/>
        <family val="2"/>
        <scheme val="minor"/>
      </rPr>
      <t xml:space="preserve">
Alcaldía Quimbaya: </t>
    </r>
    <r>
      <rPr>
        <sz val="10"/>
        <rFont val="Calibri"/>
        <family val="2"/>
        <scheme val="minor"/>
      </rPr>
      <t xml:space="preserve">El Municipio de Quimbaya cuenta con el profesional universitario de atención a grupos vulnerables, el cual es el encargado de supervisar el proyecto de juventud. </t>
    </r>
    <r>
      <rPr>
        <b/>
        <sz val="10"/>
        <rFont val="Calibri"/>
        <family val="2"/>
        <scheme val="minor"/>
      </rPr>
      <t xml:space="preserve">
Alcaldía de Montenegro:</t>
    </r>
    <r>
      <rPr>
        <sz val="10"/>
        <rFont val="Calibri"/>
        <family val="2"/>
        <scheme val="minor"/>
      </rPr>
      <t xml:space="preserve"> En el momento se cuenta con un programa de juventud adscrito a la Subsecretaría de Desarrollo Social Y Educativo, la cual es la encargada de acompañar al Consejo de Juventud, a la Plataforma de Juventud y de hacer seguimiento a la Política Pública de Juventud.</t>
    </r>
    <r>
      <rPr>
        <b/>
        <sz val="10"/>
        <rFont val="Calibri"/>
        <family val="2"/>
        <scheme val="minor"/>
      </rPr>
      <t xml:space="preserve">
Alcaldía de Filandia: </t>
    </r>
    <r>
      <rPr>
        <sz val="10"/>
        <rFont val="Calibri"/>
        <family val="2"/>
        <scheme val="minor"/>
      </rPr>
      <t xml:space="preserve">La Secretaría de Gobierno y Desarrollo Social creada bajo el acuerdo 006  del 29 mayo de 2018, cuenta con un programa de juventud en el cual se desarrollan diversas actividades encaminadas a la participación y bienestar de la población juvenil del municipio de Filandia.          </t>
    </r>
    <r>
      <rPr>
        <b/>
        <sz val="10"/>
        <rFont val="Calibri"/>
        <family val="2"/>
        <scheme val="minor"/>
      </rPr>
      <t xml:space="preserve">
Alcaldía de Buenavista: N</t>
    </r>
    <r>
      <rPr>
        <sz val="10"/>
        <rFont val="Calibri"/>
        <family val="2"/>
        <scheme val="minor"/>
      </rPr>
      <t xml:space="preserve">o cuenta con oficina de juventud, no obstante, desde la oficina de Seretaría de Gobierno y Participación Comunitaria, cuenta con un contratista quien es el encargado de realizar seguimiento y cumplimiento a algunas actividades de la Politica Pública de juventud. 
</t>
    </r>
    <r>
      <rPr>
        <b/>
        <sz val="10"/>
        <rFont val="Calibri"/>
        <family val="2"/>
        <scheme val="minor"/>
      </rPr>
      <t xml:space="preserve">Alcaldía Tebaida: </t>
    </r>
    <r>
      <rPr>
        <sz val="10"/>
        <rFont val="Calibri"/>
        <family val="2"/>
        <scheme val="minor"/>
      </rPr>
      <t>Se  encuentra adscrita a la Dirección Administrativa de Servicios Sociales,  la cual cuenta con una profesional de población vulnerable encargada del Sistema de Juventud de acuerdo a la ley 1622 del 2013 y la 1885 del 2018. Finalmente se cuenta con rubro para juventud, el cual es alimentado cada año dependiendo las necesidades de la población juvenil.</t>
    </r>
    <r>
      <rPr>
        <b/>
        <sz val="10"/>
        <rFont val="Calibri"/>
        <family val="2"/>
        <scheme val="minor"/>
      </rPr>
      <t xml:space="preserve">
Alcaldía de Córdoba: </t>
    </r>
    <r>
      <rPr>
        <sz val="10"/>
        <rFont val="Calibri"/>
        <family val="2"/>
        <scheme val="minor"/>
      </rPr>
      <t xml:space="preserve">En el municipio la Secretaria General y de Gobierno tiene a cargo el programa de Juventud y es quien se encarga del desarrollo de actividades con esta población. Igualmente se cuenta con el contratista enlace municipal de juventud mediante contrato de prestación de servicios  CPS163-2023, quien apoya en la ejecución de las actividades relacionadas con el programa de juventud.
</t>
    </r>
  </si>
  <si>
    <r>
      <rPr>
        <b/>
        <sz val="10"/>
        <rFont val="Calibri"/>
        <family val="2"/>
        <scheme val="minor"/>
      </rPr>
      <t xml:space="preserve">Secretaría de Familia: </t>
    </r>
    <r>
      <rPr>
        <sz val="10"/>
        <rFont val="Calibri"/>
        <family val="2"/>
        <scheme val="minor"/>
      </rPr>
      <t xml:space="preserve">Reporta que los planes y políticas del Plan de Desarrollo Departamental se encuentran armonizadas con la política pública de juventud.
</t>
    </r>
    <r>
      <rPr>
        <b/>
        <sz val="10"/>
        <rFont val="Calibri"/>
        <family val="2"/>
        <scheme val="minor"/>
      </rPr>
      <t xml:space="preserve">
Consejo municipal de política Social de Filandia: </t>
    </r>
    <r>
      <rPr>
        <sz val="10"/>
        <rFont val="Calibri"/>
        <family val="2"/>
        <scheme val="minor"/>
      </rPr>
      <t xml:space="preserve">En lo que va del año se han realizado dos sesiones del consejo de política social (COMPOS), en esta se realizan informes de los avances de las diferentes políticas, entre las acciones está: - El pago de las pruebas ICFES, beneficiando a la población estudiantil y población víctima. - Adquisición de kits escolares para las instituciones educativas, brindando apoyo en la permanencia escolar, además para el apoyo de un grupo de alfabetización. - Apoyo con el pago del transporte escolar para la población estudiantil en beneficio de los jóvenes, niños niñas y adolescentes. - También se realizó La compra de tiquetes intermunicipales favoreciendo a la población estudiantil, víctima, con discapacidad o que necesite alguna ayuda para transportarse a la ciudad de Armenia para alguna cita o control médico.
</t>
    </r>
    <r>
      <rPr>
        <b/>
        <sz val="10"/>
        <rFont val="Calibri"/>
        <family val="2"/>
        <scheme val="minor"/>
      </rPr>
      <t>Consejo municipal de política Social La Tebaida:</t>
    </r>
    <r>
      <rPr>
        <sz val="10"/>
        <rFont val="Calibri"/>
        <family val="2"/>
        <scheme val="minor"/>
      </rPr>
      <t xml:space="preserve"> Promover y fortalecer la participación ciudadana y política, en la interacción pública social, mediante el cumplimiento y protección de los derechos humanos y la diversidad de creencias, buscando la promoción de un ambiente de paz, reconciliación, seguridad y convivencia ciudadana con un enfoque diferencial e integral.
</t>
    </r>
    <r>
      <rPr>
        <b/>
        <sz val="10"/>
        <rFont val="Calibri"/>
        <family val="2"/>
        <scheme val="minor"/>
      </rPr>
      <t>Consejo municipal de política Social Calarcá:</t>
    </r>
    <r>
      <rPr>
        <sz val="10"/>
        <rFont val="Calibri"/>
        <family val="2"/>
        <scheme val="minor"/>
      </rPr>
      <t xml:space="preserve"> La alcaldía municipal designó a la Secretaría de Servicios Sociales y Salud para la articulación y asistencia técnica con las instancias de participación de los jóvenes, así mismo esta Secretaría cuenta con el Programa de  atención a jóvenes del municipio de Calarcá.
</t>
    </r>
    <r>
      <rPr>
        <b/>
        <sz val="10"/>
        <rFont val="Calibri"/>
        <family val="2"/>
        <scheme val="minor"/>
      </rPr>
      <t>Consejo municipal de política Social Córdoba</t>
    </r>
    <r>
      <rPr>
        <sz val="10"/>
        <rFont val="Calibri"/>
        <family val="2"/>
        <scheme val="minor"/>
      </rPr>
      <t xml:space="preserve">: Desde el Consejo Municipal de Política Social de Municipio de Córdoba se realiza seguimiento a las acciones establecidas a las líneas estratégicas de las políticas públicas del municipio las cuales van armonizadas con el plan de desarrollo y el plan de acción del compos, vale resaltar que el municipio aún no cuenta con política pública de juventud.
</t>
    </r>
  </si>
  <si>
    <r>
      <rPr>
        <b/>
        <sz val="10"/>
        <rFont val="Calibri"/>
        <family val="2"/>
        <scheme val="minor"/>
      </rPr>
      <t xml:space="preserve">Secretaría de Familia: </t>
    </r>
    <r>
      <rPr>
        <sz val="10"/>
        <rFont val="Calibri"/>
        <family val="2"/>
        <scheme val="minor"/>
      </rPr>
      <t xml:space="preserve">Reporta la existencia de un Sistema Departamental de Juventud conformado por la Plataforma Departamental de Juventud, realización de Asambleas Juveniles, Comisiones de Concertación y Decisión y fortalecimiento de los Consejos de Juventud.
</t>
    </r>
  </si>
  <si>
    <r>
      <t xml:space="preserve">
Secretaría de Familia: </t>
    </r>
    <r>
      <rPr>
        <sz val="10"/>
        <rFont val="Calibri"/>
        <family val="2"/>
        <scheme val="minor"/>
      </rPr>
      <t>Reporta que los doce municipios del Departamento, han sido asistidos técnicamente desde la Jefatura de Juventud, para la conformación y operación de los sistemas municipales de juventud.</t>
    </r>
    <r>
      <rPr>
        <b/>
        <sz val="10"/>
        <rFont val="Calibri"/>
        <family val="2"/>
        <scheme val="minor"/>
      </rPr>
      <t xml:space="preserve">
Alcaldía de Armenia:</t>
    </r>
    <r>
      <rPr>
        <sz val="10"/>
        <rFont val="Calibri"/>
        <family val="2"/>
        <scheme val="minor"/>
      </rPr>
      <t xml:space="preserve"> Mediante el decreto 349 del 09 de noviembre de 2020,  se crea el sistema municipal de juventud, se realizan cuatro reuniones al año </t>
    </r>
    <r>
      <rPr>
        <b/>
        <sz val="10"/>
        <rFont val="Calibri"/>
        <family val="2"/>
        <scheme val="minor"/>
      </rPr>
      <t xml:space="preserve">
Alcaldía de Circasia: </t>
    </r>
    <r>
      <rPr>
        <sz val="10"/>
        <rFont val="Calibri"/>
        <family val="2"/>
        <scheme val="minor"/>
      </rPr>
      <t>Está en proceso el acto administrativo para la Comisión de Concertación y Decisión Juvenil que canalizará la gestión municipal en materia de juventud, además se cuenta con la Plataforma de Juventud y realización de Asambleas.</t>
    </r>
    <r>
      <rPr>
        <b/>
        <sz val="10"/>
        <rFont val="Calibri"/>
        <family val="2"/>
        <scheme val="minor"/>
      </rPr>
      <t xml:space="preserve">
Alcaldía Quimbaya: </t>
    </r>
    <r>
      <rPr>
        <sz val="10"/>
        <rFont val="Calibri"/>
        <family val="2"/>
        <scheme val="minor"/>
      </rPr>
      <t>El municipio de Quimbaya durante el trimestre aportó la información de los delegados departamentales a la plataforma y al consejo de juventud.</t>
    </r>
    <r>
      <rPr>
        <b/>
        <sz val="10"/>
        <rFont val="Calibri"/>
        <family val="2"/>
        <scheme val="minor"/>
      </rPr>
      <t xml:space="preserve">
Alcaldía de Salento: </t>
    </r>
    <r>
      <rPr>
        <sz val="10"/>
        <rFont val="Calibri"/>
        <family val="2"/>
        <scheme val="minor"/>
      </rPr>
      <t>Actualmente el municipio de Salento tiene operando el Consejo Municipal de Juventud (CMJ), Plataforma Municipal de Juventud y actualmente cumplen con sus funciones y actividades. El Subsistema Institucional está a cargo de la Alcaldía por intermedio de la Subsecretaría de Cultura y Deporte como el enlace de juventud.</t>
    </r>
    <r>
      <rPr>
        <b/>
        <sz val="10"/>
        <rFont val="Calibri"/>
        <family val="2"/>
        <scheme val="minor"/>
      </rPr>
      <t xml:space="preserve">
Alcaldía de Filandia: </t>
    </r>
    <r>
      <rPr>
        <sz val="10"/>
        <rFont val="Calibri"/>
        <family val="2"/>
        <scheme val="minor"/>
      </rPr>
      <t xml:space="preserve">el municipio de Filandia cuenta con Consejo Municipal de Juventud  y Plataforma de Juventud operando. </t>
    </r>
    <r>
      <rPr>
        <b/>
        <sz val="10"/>
        <rFont val="Calibri"/>
        <family val="2"/>
        <scheme val="minor"/>
      </rPr>
      <t xml:space="preserve">
Alcaldía de Calarcá: </t>
    </r>
    <r>
      <rPr>
        <sz val="10"/>
        <rFont val="Calibri"/>
        <family val="2"/>
        <scheme val="minor"/>
      </rPr>
      <t>Desde el programa de juventudes se realiza asistencia técnica a las instancias de participación. Desde el Consejo Municipal se delego a un Consejero para el Consejo Departamental. Y desde la plataforma Municipal se delegaron los dos jóvenes para la instancia departamental</t>
    </r>
    <r>
      <rPr>
        <b/>
        <sz val="10"/>
        <rFont val="Calibri"/>
        <family val="2"/>
        <scheme val="minor"/>
      </rPr>
      <t xml:space="preserve">
Alcaldía de Génova: </t>
    </r>
    <r>
      <rPr>
        <sz val="10"/>
        <rFont val="Calibri"/>
        <family val="2"/>
        <scheme val="minor"/>
      </rPr>
      <t>Plataforma Deptal y Consejo Deptal activo y con delegados de Génova.</t>
    </r>
    <r>
      <rPr>
        <b/>
        <sz val="10"/>
        <rFont val="Calibri"/>
        <family val="2"/>
        <scheme val="minor"/>
      </rPr>
      <t xml:space="preserve">
Alcaldía Pijao: </t>
    </r>
    <r>
      <rPr>
        <sz val="10"/>
        <rFont val="Calibri"/>
        <family val="2"/>
        <scheme val="minor"/>
      </rPr>
      <t xml:space="preserve">Se cuenta con la plataforma Municipal de juventud actualizada, consejo de juventud, cada uno con sus reglamentos internos y en total funcionamiento.
</t>
    </r>
    <r>
      <rPr>
        <b/>
        <sz val="10"/>
        <rFont val="Calibri"/>
        <family val="2"/>
        <scheme val="minor"/>
      </rPr>
      <t>Alcaldiía Córdoba:</t>
    </r>
    <r>
      <rPr>
        <sz val="10"/>
        <rFont val="Calibri"/>
        <family val="2"/>
        <scheme val="minor"/>
      </rPr>
      <t xml:space="preserve"> El Municipio de Córdoba cuenta con el Consejo municipal de jueventudes,  conformado mediante Resolución Nº06 de enero 11 de 2022  y la plataforma de juventudes registrada mediante acta de la personeria municipal
</t>
    </r>
    <r>
      <rPr>
        <b/>
        <sz val="10"/>
        <rFont val="Calibri"/>
        <family val="2"/>
        <scheme val="minor"/>
      </rPr>
      <t xml:space="preserve">Alcaldia Buenavista: </t>
    </r>
    <r>
      <rPr>
        <sz val="10"/>
        <rFont val="Calibri"/>
        <family val="2"/>
        <scheme val="minor"/>
      </rPr>
      <t xml:space="preserve"> Cuenta con los delegados a la diferentes instancias que conforman el Sistema de Juventud.
</t>
    </r>
    <r>
      <rPr>
        <b/>
        <sz val="10"/>
        <rFont val="Calibri"/>
        <family val="2"/>
        <scheme val="minor"/>
      </rPr>
      <t xml:space="preserve">Alcaldia Montenegro: </t>
    </r>
    <r>
      <rPr>
        <sz val="10"/>
        <rFont val="Calibri"/>
        <family val="2"/>
        <scheme val="minor"/>
      </rPr>
      <t>Al</t>
    </r>
    <r>
      <rPr>
        <b/>
        <sz val="10"/>
        <rFont val="Calibri"/>
        <family val="2"/>
        <scheme val="minor"/>
      </rPr>
      <t xml:space="preserve"> </t>
    </r>
    <r>
      <rPr>
        <sz val="10"/>
        <rFont val="Calibri"/>
        <family val="2"/>
        <scheme val="minor"/>
      </rPr>
      <t xml:space="preserve">momento contamos con una plataforma, un consejo de juventud. Sin embargo, la plataforma está funcionando de manera activa pero el consejo se encuentra desarticualdo, solo 1 consejero acompañando los espacios de participación. Por otra parte, se ha cumplido de manera puntual con la asamblea de juventud y con las comisiones de concertación y decisión.
</t>
    </r>
    <r>
      <rPr>
        <b/>
        <sz val="10"/>
        <rFont val="Calibri"/>
        <family val="2"/>
        <scheme val="minor"/>
      </rPr>
      <t xml:space="preserve">Alcadia Calarca: </t>
    </r>
    <r>
      <rPr>
        <sz val="10"/>
        <rFont val="Calibri"/>
        <family val="2"/>
        <scheme val="minor"/>
      </rPr>
      <t>se cuenta con plataforma municipal de juventudes y consejo municipal de juventudes los cuales sesionan 1 vez al mes</t>
    </r>
    <r>
      <rPr>
        <b/>
        <sz val="10"/>
        <rFont val="Calibri"/>
        <family val="2"/>
        <scheme val="minor"/>
      </rPr>
      <t xml:space="preserve">.
</t>
    </r>
    <r>
      <rPr>
        <sz val="10"/>
        <rFont val="Calibri"/>
        <family val="2"/>
        <scheme val="minor"/>
      </rPr>
      <t xml:space="preserve">
</t>
    </r>
  </si>
  <si>
    <r>
      <rPr>
        <b/>
        <sz val="10"/>
        <rFont val="Calibri"/>
        <family val="2"/>
        <scheme val="minor"/>
      </rPr>
      <t>Secretaría de Turismo Industria y Comercio:</t>
    </r>
    <r>
      <rPr>
        <sz val="10"/>
        <rFont val="Calibri"/>
        <family val="2"/>
        <scheme val="minor"/>
      </rPr>
      <t xml:space="preserve"> A través del proyecto "Fortalecimiento del ecosistema de emprendimiento mediante el acompañamiento técnico y servicio de apoyo financiero para emprendedores en el Departamento del Quindío." CÓDIGO BPPIN: 2021003630014, financiado con recursos del SGR (Sistema General de Regalías), se viene realizando asistencia técnica en el Centro de Innovación y Emprendimiento CINNE con el fin de realizar el acompañamiento respectivo a las iniciativas. De acuerdo a la población objeto se tienen siete (7) emprendimientos dentro de los cuales dos (2) están en entrevista inicial: Trenno Sport área comercio, Sinnestesia Handmade miniatura (arte y entretenimiento) y cinco (5) en ruta: Leal proyectos y consultoría (medio ambiente), la gracia -Panadería bajo 0 (manufactura), Bocaditos con amor (productos alimenticios congelados), café especialidad (cafetería)
</t>
    </r>
    <r>
      <rPr>
        <b/>
        <sz val="10"/>
        <rFont val="Calibri"/>
        <family val="2"/>
        <scheme val="minor"/>
      </rPr>
      <t xml:space="preserve">SENA: </t>
    </r>
    <r>
      <rPr>
        <sz val="10"/>
        <rFont val="Calibri"/>
        <family val="2"/>
        <scheme val="minor"/>
      </rPr>
      <t xml:space="preserve">Hasta la fecha se han formado 20.286 aprendices.
</t>
    </r>
    <r>
      <rPr>
        <b/>
        <sz val="10"/>
        <rFont val="Calibri"/>
        <family val="2"/>
        <scheme val="minor"/>
      </rPr>
      <t>Nota:</t>
    </r>
    <r>
      <rPr>
        <sz val="10"/>
        <rFont val="Calibri"/>
        <family val="2"/>
        <scheme val="minor"/>
      </rPr>
      <t xml:space="preserve"> Es importante resaltar que el indicador y medio de verificación no permiten realizar un adecuado seguimiento al cumplimiento de la actividad ya que como se puede evidenciar desde la Administración Departamental y actores externos, se impacta pero no se refleja en el porcentaje de avance.  
</t>
    </r>
  </si>
  <si>
    <r>
      <rPr>
        <b/>
        <sz val="10"/>
        <rFont val="Calibri"/>
        <family val="2"/>
        <scheme val="minor"/>
      </rPr>
      <t xml:space="preserve">
Cámara de Comercio de Armenia y del Quindío:  </t>
    </r>
    <r>
      <rPr>
        <sz val="10"/>
        <rFont val="Calibri"/>
        <family val="2"/>
        <scheme val="minor"/>
      </rPr>
      <t xml:space="preserve">La tasa de desempleo juvenil en la ciudad de Armenia es de 20,5 según el DANE en su último informe publicado
</t>
    </r>
    <r>
      <rPr>
        <b/>
        <sz val="10"/>
        <rFont val="Calibri"/>
        <family val="2"/>
        <scheme val="minor"/>
      </rPr>
      <t>Secretaría de Agricultura:</t>
    </r>
    <r>
      <rPr>
        <sz val="10"/>
        <rFont val="Calibri"/>
        <family val="2"/>
        <scheme val="minor"/>
      </rPr>
      <t xml:space="preserve">  Se aprobaron los proyectos de planta de bioinsumos y proyecto de la plataforma para la captura de informacion en tiempo real del sector agropecuario, con el fin de que la poblacion juvenil puedan hacer parte de este tipo de proyectos, mediante la investigacion y apropiacion del conocimiento.
</t>
    </r>
    <r>
      <rPr>
        <b/>
        <sz val="10"/>
        <rFont val="Calibri"/>
        <family val="2"/>
        <scheme val="minor"/>
      </rPr>
      <t xml:space="preserve">Alcaldía de Filandia: </t>
    </r>
    <r>
      <rPr>
        <sz val="10"/>
        <rFont val="Calibri"/>
        <family val="2"/>
        <scheme val="minor"/>
      </rPr>
      <t xml:space="preserve">55% de jóvenes vinculados laboralmente.
</t>
    </r>
    <r>
      <rPr>
        <b/>
        <sz val="10"/>
        <rFont val="Calibri"/>
        <family val="2"/>
        <scheme val="minor"/>
      </rPr>
      <t>Secretaría Turismo, Industria y Comercio:</t>
    </r>
    <r>
      <rPr>
        <sz val="10"/>
        <rFont val="Calibri"/>
        <family val="2"/>
        <scheme val="minor"/>
      </rPr>
      <t xml:space="preserve"> Para este tercer trimestre de la vigencia 2023, no se han realizado actividades que den avance al indicador.
</t>
    </r>
    <r>
      <rPr>
        <b/>
        <sz val="10"/>
        <rFont val="Calibri"/>
        <family val="2"/>
        <scheme val="minor"/>
      </rPr>
      <t xml:space="preserve">Alcaldía Salento: </t>
    </r>
    <r>
      <rPr>
        <sz val="10"/>
        <rFont val="Calibri"/>
        <family val="2"/>
        <scheme val="minor"/>
      </rPr>
      <t xml:space="preserve">Actividades desarrolladas por parte del programa Cátedra de la Salentinidad hacia las instituciones educativas (Capacitacion docentes y dotación material pedagógico)
</t>
    </r>
    <r>
      <rPr>
        <b/>
        <sz val="10"/>
        <rFont val="Calibri"/>
        <family val="2"/>
        <scheme val="minor"/>
      </rPr>
      <t>Alcaldía Córdoba:</t>
    </r>
    <r>
      <rPr>
        <sz val="10"/>
        <rFont val="Calibri"/>
        <family val="2"/>
        <scheme val="minor"/>
      </rPr>
      <t xml:space="preserve"> Actualmente el municipio no cuenta con tasa de desempleo juvenil  
</t>
    </r>
    <r>
      <rPr>
        <b/>
        <sz val="10"/>
        <rFont val="Calibri"/>
        <family val="2"/>
        <scheme val="minor"/>
      </rPr>
      <t>Sena:</t>
    </r>
    <r>
      <rPr>
        <sz val="10"/>
        <rFont val="Calibri"/>
        <family val="2"/>
        <scheme val="minor"/>
      </rPr>
      <t xml:space="preserve"> Durante los meses de abril a junio, se realizo orientacion ocupacional a 4440 jovenes a traves de la Agencia Publica de Empleo SENA. De los cuales 959 jovenes quedaron vinculados en las diferentes ofertas laborales en el I semestre del año 2023.
Ademas dentro de la estrategia SENNOVA, se hicieron Actividades de promoción y divulgación de cultura investigadora por medio de proyectos de investigación, Fomento de innovación, Modernización por medio de los Semilleros de investigación y el grupo de investigación
</t>
    </r>
    <r>
      <rPr>
        <b/>
        <sz val="10"/>
        <rFont val="Calibri"/>
        <family val="2"/>
        <scheme val="minor"/>
      </rPr>
      <t>Alcaldía Armenia:</t>
    </r>
    <r>
      <rPr>
        <sz val="10"/>
        <rFont val="Calibri"/>
        <family val="2"/>
        <scheme val="minor"/>
      </rPr>
      <t xml:space="preserve"> Realizar acciones tendientes para ejecutar la estrategia creación de oportunidades laborales "EMPLEO PA´TODOS""•        FORMACIÓN - DOS (2)  ACCIONES -  Primera acción: Gestión ante la Secretaría de Educación y  Segunda acción:  4 talleres ocupacionales. Realizar jornadas de inserción laboral para jóvenes
Se solicitó la rearticulación con Secretaría de Educación para la continuidad del proceso inicial del año 2021 en el que se identificaron 282 vendedores ambulantes sin terminar estudios y 28 personas acogidas desde la estrategia de generación de empleo para apoyar y acompañar su proceso de culminación de estudios de bachillerato acción que se realiza para el 2022. 
Talleres ocupacionales: Se realizaron 4 talleres ocupacionales en los cinco puntos vive digital en los que se atendió 172 personas entre los 18  y 60 años, de los cuales 97 eran mujeres, 75 hombres. 
•       AGENCIA PUBLICA DE EMPLEO - UNA (1) ACCIÓN:  76 cuyabros atendidos.
Se prestó atención dentro de los puntos vive digital habilitados para la ejecución del convenio. Desde allí, los técnicos han realizado acompañamiento a 76 cuyabros en áreas como: actualización de documentos y datos, inscripción, cargue y postulación de vacantes ofertadas desde la Agencia Pública de Empleo. La población atendida fue caracterizada como: población menor (13 - 17 años) 1 persona, población joven (18 - 28 años) 98 personas, personas adultas (29 - 59 años) 119 personas y 5 personas mayores de 60 años. En cuanto a la caracterización de los cuyabros atendidos se identificó que: 20 fueron hombres, 56 mujeres; 6 personas caracterizadas como víctimas y desplazados, 2 como población afro,  y 1 indígena, el restante no contó con algún enfoque diferencial. Los puntos en los que se prestaron atención fueron: Punto vive digital: libreros comuna 7, Punto vive digital: San José comuna 6, Punto vive digital: Estadio centenario comuna 1,  Punto vive digital: ciudad dorada comuna 3 y Punto vive digital: Santander comuna 4
•        JORNADAS DE INSERCIÓN LABORAL - UNA (1) ACCIÓN:  4 jornadas de inserción laboral en las comunas.
Se ha apoyado el reclutamiento de personal de las  diferentes empresas. A la fecha se han atendido 233 personas, de las cuales 90 fueron catalogadas como población joven (18-28 años), 119 personas población adulta (29-59 años) y 5 personas adultas mayores de 60 años. Entre los mencionados, 107 eran hombres y 205 mujeres; 19 de ellos caracterizados como población víctima, 6 como afrocolombiano, 1 como indígena, 2 migrantes y el restante (205) como población sin enfoque diferencial. Dentro de las jornadas mencionadas se han ofertado1248 vacantes para cargos como: asesores comerciales, lideres comerciales, operarios de pdn, auxiliar contables, recepcionistas, operarios de granja, soldadores, oficios varios, auxiliar de RRHH, coordinadores de unidad, ingeniero agrónomo, técnico o tecnólogo en carreras administrativas o afines, operador de vehículo, islero, lavadores, ingeniero mecánico, administradores de empresas, operador de planta, transportadores de alimentos, técnico mecánico automotriz,  auxiliar de reparto, asesor de ventar T&amp;T. Las empresas articuladas fueron: Adecco, comfenalco, expertos consultores, claro Colombia, Inversiones ASL, On vacation, buses Armenia, Nases, Centro automotor La Renault, Distribuidora Picaflor, Jardines del Renacer. 
•        JORNADAS DE INCENTIVOS - UNA (1) ACCIÓN:   35 visitas empresariales de sensibilización sobre los beneficios tributarios y no tributarios.
Beneficios a los que las empresas se pueden acoger si presentan contratación a personas con enfoque diferencial y ciclo vitales específicos. Entre las visitas realizadas fueron: Vipcol, Granadina de Vigilancia, M&amp;O, Prohome, Seguridad  Napoles, Construcciones Nocav, La crónica del Quindío, constructora soriano, fumigaciones Juancontrol, Valsalud SAS, Carnecol, IBG, Floresa, Palacio Hermanos SAS, Bodega de materiales exito, ferreservicios del eje cafetero, Satagro, Master chips, Proarquitectura, Urbe construcción,  portal del Quindío, Clínica Guadalupe, Renault, Avanza, tonner y tintas, miscelánea verde limón, Papelería y Variedades Clipcum, El mundo de Pan, Pan Pa mi gente, Materiales James, Droguería Marilu, Supermercado D la costa, Smart Power Gim, Supermercado Superinter Américas."
</t>
    </r>
    <r>
      <rPr>
        <b/>
        <sz val="10"/>
        <rFont val="Calibri"/>
        <family val="2"/>
        <scheme val="minor"/>
      </rPr>
      <t xml:space="preserve">Alcaldía Buenavista: </t>
    </r>
    <r>
      <rPr>
        <sz val="10"/>
        <rFont val="Calibri"/>
        <family val="2"/>
        <scheme val="minor"/>
      </rPr>
      <t xml:space="preserve">se realizó por medio de la agencia de empleo de confenalco Quindio, una jornada de asistencia en el municipio, dirigida a toda la comunidad.
</t>
    </r>
    <r>
      <rPr>
        <b/>
        <sz val="10"/>
        <rFont val="Calibri"/>
        <family val="2"/>
        <scheme val="minor"/>
      </rPr>
      <t xml:space="preserve">Alcaldia Calarca: </t>
    </r>
    <r>
      <rPr>
        <sz val="10"/>
        <rFont val="Calibri"/>
        <family val="2"/>
        <scheme val="minor"/>
      </rPr>
      <t xml:space="preserve">se realizan asesorias, las cuales consisten  en registrar o actualizar la hoja de vida de cada joven en la APE, con el fin de identificar su perfil ocupacional. Seguido a esto se busca una vacante que se ajuste a sus estudios y experiencia (a su perfil laboral); si se encuentra alguna vacante y cumple con todos los requisitos se postula. 
*Las socializaciones consisten sobre la vinculación de la vida laboral y sobre el  manejo de la plataforma Agencia Pública de Empleo para inscripción, actualización, búsqueda de vacantes y postulaciones. 
</t>
    </r>
    <r>
      <rPr>
        <b/>
        <sz val="10"/>
        <rFont val="Calibri"/>
        <family val="2"/>
        <scheme val="minor"/>
      </rPr>
      <t>Alcaldia Quimbaya:</t>
    </r>
    <r>
      <rPr>
        <sz val="10"/>
        <rFont val="Calibri"/>
        <family val="2"/>
        <scheme val="minor"/>
      </rPr>
      <t xml:space="preserve"> El municipio no cuenta con esta informacion estadistica</t>
    </r>
    <r>
      <rPr>
        <b/>
        <sz val="10"/>
        <rFont val="Calibri"/>
        <family val="2"/>
        <scheme val="minor"/>
      </rPr>
      <t xml:space="preserve">
Alcaldía Montenegro: </t>
    </r>
    <r>
      <rPr>
        <sz val="10"/>
        <rFont val="Calibri"/>
        <family val="2"/>
        <scheme val="minor"/>
      </rPr>
      <t xml:space="preserve">al momento no se cuenta con una tasa de desempleo juvenil en el municipio, sin embargo desde la Subsecretría de Desarrollo Social y Educativo se han abierto espacios para que los jóvenes conoscan de algunas ofertas laborales.
</t>
    </r>
    <r>
      <rPr>
        <b/>
        <sz val="10"/>
        <rFont val="Calibri"/>
        <family val="2"/>
        <scheme val="minor"/>
      </rPr>
      <t xml:space="preserve">Alcaldía Pijao: </t>
    </r>
    <r>
      <rPr>
        <sz val="10"/>
        <rFont val="Calibri"/>
        <family val="2"/>
        <scheme val="minor"/>
      </rPr>
      <t xml:space="preserve">convocatorias y apoyo a empresas, recepción de hojas de vida.
</t>
    </r>
  </si>
  <si>
    <r>
      <rPr>
        <b/>
        <sz val="10"/>
        <rFont val="Calibri"/>
        <family val="2"/>
        <scheme val="minor"/>
      </rPr>
      <t xml:space="preserve">Observación: </t>
    </r>
    <r>
      <rPr>
        <sz val="10"/>
        <rFont val="Calibri"/>
        <family val="2"/>
        <scheme val="minor"/>
      </rPr>
      <t>La suma del primero, segundo y tercer trimestre del 2023 en cuanto a No de Jóvenes vinculados a proyectos innovadores y de emprendimiento es de 220.</t>
    </r>
    <r>
      <rPr>
        <b/>
        <sz val="10"/>
        <rFont val="Calibri"/>
        <family val="2"/>
        <scheme val="minor"/>
      </rPr>
      <t xml:space="preserve">
Secretaría Turismo, Industria y Comercio: </t>
    </r>
    <r>
      <rPr>
        <sz val="10"/>
        <rFont val="Calibri"/>
        <family val="2"/>
        <scheme val="minor"/>
      </rPr>
      <t xml:space="preserve">Se realiza taller de direccionamiento estratégico enfocado a (19)  jovenes con empredimientos en etapa inicial, intermedia y avanzada 
Se realizó visita al establecimiento “SARAMAMA”  del municipio de Armenia, con el fin de hacerle una socialización del programa de asistencia técnica a las mipymes para el acceso a nuevos mercados y se inició dicho acompañamiento.
</t>
    </r>
    <r>
      <rPr>
        <b/>
        <sz val="10"/>
        <rFont val="Calibri"/>
        <family val="2"/>
        <scheme val="minor"/>
      </rPr>
      <t xml:space="preserve">Cámara de Comercio de Armenia y del Quindío: </t>
    </r>
    <r>
      <rPr>
        <sz val="10"/>
        <rFont val="Calibri"/>
        <family val="2"/>
        <scheme val="minor"/>
      </rPr>
      <t xml:space="preserve"> Cámara de Comercio de Armenia y del Quindío:  La Cámara a través del área de INNOVACIÓN (Proyecto EMPRÉNDELO) y a través de su CENTRO DE TRANSFORMACIÓN DIGITAL, ha cumplido con el presente indicador, ya que son programas encaminados a la atención e impulso de emprendedores (nuevas ideas de empresas y proyectos) con herramientas tecnológicas y de medición de impacto en la comunidad en general; no obstante esto, esta especialmente dirigido a emprendedores jóvenes (18 a 35 años) etc. Igualmente, se tiene que 1.925 de las 4.708 empresas creadas a 30 de septiembre de 2022, se beneficiaron de la ley de emprendimiento juvenil (1780/2016) equivalente al 41% de las empresas matriculadas
</t>
    </r>
    <r>
      <rPr>
        <b/>
        <sz val="10"/>
        <rFont val="Calibri"/>
        <family val="2"/>
        <scheme val="minor"/>
      </rPr>
      <t>Secretaría de Agricultura:</t>
    </r>
    <r>
      <rPr>
        <sz val="10"/>
        <rFont val="Calibri"/>
        <family val="2"/>
        <scheme val="minor"/>
      </rPr>
      <t xml:space="preserve"> Para realizar el servicio de asesoría para el fortalecimiento de la asociatividad, en el segundo trimestre se atendieron 27 Asociaciones del sector rural, a las cuales se les brindó asesoría y asistencia técnica en diversos temas técnicos, comerciales y organizacionales orientados a fortalecer la base social, la generación de productos, el cumplimiento sanitario, la formalización comercial y el apoyo a temas sanitarios de los productos terminados. Se realizó intervención por primera vez a 11 asociaciones y seguimiento a las 16 que se les realizó asistencia en el primer trimestre, las asociaciones fortalecidas.
</t>
    </r>
    <r>
      <rPr>
        <b/>
        <sz val="10"/>
        <rFont val="Calibri"/>
        <family val="2"/>
        <scheme val="minor"/>
      </rPr>
      <t>SENA:</t>
    </r>
    <r>
      <rPr>
        <sz val="10"/>
        <rFont val="Calibri"/>
        <family val="2"/>
        <scheme val="minor"/>
      </rPr>
      <t xml:space="preserve"> Vinculación de jóvenes en los programas de emprendimiento del Centro de desarrollo Empresarial del SENA Regional Quindío.*28 jóvenes vinculados: 6 en fortalecimiento empresarial, 4 en formulación de fondo emprender y 18 puesta en marcha otras fuentes de financiación.
</t>
    </r>
    <r>
      <rPr>
        <b/>
        <sz val="10"/>
        <rFont val="Calibri"/>
        <family val="2"/>
        <scheme val="minor"/>
      </rPr>
      <t>Universidad del Quindío:</t>
    </r>
    <r>
      <rPr>
        <sz val="10"/>
        <rFont val="Calibri"/>
        <family val="2"/>
        <scheme val="minor"/>
      </rPr>
      <t xml:space="preserve"> Para el presupuesto se cuantifcaron los recursos destinados en especie, que por lo general se relacionan con el rubro de contratación o de asignación de funcionarios al apoyo de dichos procesos.
</t>
    </r>
    <r>
      <rPr>
        <b/>
        <sz val="10"/>
        <rFont val="Calibri"/>
        <family val="2"/>
        <scheme val="minor"/>
      </rPr>
      <t xml:space="preserve">Universidad EAM: </t>
    </r>
    <r>
      <rPr>
        <sz val="10"/>
        <rFont val="Calibri"/>
        <family val="2"/>
        <scheme val="minor"/>
      </rPr>
      <t xml:space="preserve">14 estudiantes con 10 proyectos de creación de empresa y/o empresa creada (opción de grado programas de pregrado).
6 aspirantes a grado con planes de negocio en acompañamiento con 3 emprendimientos.
</t>
    </r>
    <r>
      <rPr>
        <b/>
        <sz val="10"/>
        <rFont val="Calibri"/>
        <family val="2"/>
        <scheme val="minor"/>
      </rPr>
      <t xml:space="preserve">U Von Humbolt: </t>
    </r>
    <r>
      <rPr>
        <sz val="10"/>
        <rFont val="Calibri"/>
        <family val="2"/>
        <scheme val="minor"/>
      </rPr>
      <t xml:space="preserve">A través de la Ud de Empredimiento Emprendelab de han atendido a cuatro (4) estudiantes de la comunidad académica de la Humboldt, a quienes se les ha acompañado en una ruta de emprendimiento. Asi mismo, a traves de prácticas empresariales se han acompañado a setenta y dos (72) estudiantes del programa de Administración de Empresas, quienes han presentado propuestas de mejora en las empresas
2 graduados con planes de negocio en acompañamiento con 2 emprendimientos
</t>
    </r>
    <r>
      <rPr>
        <b/>
        <sz val="10"/>
        <rFont val="Calibri"/>
        <family val="2"/>
        <scheme val="minor"/>
      </rPr>
      <t>Universidad la Gran Colombia</t>
    </r>
    <r>
      <rPr>
        <sz val="10"/>
        <rFont val="Calibri"/>
        <family val="2"/>
        <scheme val="minor"/>
      </rPr>
      <t xml:space="preserve">: En el marco del semillero de emprendimiento 2022-2 se realiza mentoría a 12 propuestas de negocio que a hoy se encuentran en etapa de ideación. Dentro de las iniciativas se cuenta con modelos de negocio de bisuterías, artesanías, creación de software, alimentos, turismo y empresas de arquitectura. 
</t>
    </r>
    <r>
      <rPr>
        <b/>
        <sz val="10"/>
        <rFont val="Calibri"/>
        <family val="2"/>
        <scheme val="minor"/>
      </rPr>
      <t>Alcaldía Buenavista:</t>
    </r>
    <r>
      <rPr>
        <sz val="10"/>
        <rFont val="Calibri"/>
        <family val="2"/>
        <scheme val="minor"/>
      </rPr>
      <t xml:space="preserve"> en Buenavista se cuenta con 8 jóvenes vinculados a un proyecto de emprendimiento que busca formarlos para su vida laboral, y se llama ASOJEX.</t>
    </r>
    <r>
      <rPr>
        <b/>
        <sz val="10"/>
        <rFont val="Calibri"/>
        <family val="2"/>
        <scheme val="minor"/>
      </rPr>
      <t xml:space="preserve">
Alcaldía Armenia:</t>
    </r>
    <r>
      <rPr>
        <sz val="10"/>
        <rFont val="Calibri"/>
        <family val="2"/>
        <scheme val="minor"/>
      </rPr>
      <t xml:space="preserve"> Apoyo a actividades de Ciencia, Tecnología e Innovación, para impulsar el crecimiento económico:  MARKETPLACE, MEDIOS DE PAGO, ACODRES, se está realizando caracterizaciones para conocer las necesidades de los empresarios y emprendedores de la ciudad y así poder apoyarlos en la parte de innovación digital
</t>
    </r>
    <r>
      <rPr>
        <b/>
        <sz val="10"/>
        <rFont val="Calibri"/>
        <family val="2"/>
        <scheme val="minor"/>
      </rPr>
      <t>Alcaldía Córdoba:</t>
    </r>
    <r>
      <rPr>
        <sz val="10"/>
        <rFont val="Calibri"/>
        <family val="2"/>
        <scheme val="minor"/>
      </rPr>
      <t xml:space="preserve"> en  el mes de agosto se realizó actividad pedagógica bus escuela Bancolombia sobre educación financiera, como también en el mes de julio se realizó una actividad de empleabilidad a través de la estrategia móvil, donde se realizó en el parque principal José Maria Córdoba  la cual se realiza con el contratista de apoyo de empleabilidad de la secretaria de planeación e infraestructura el cual tuvo contrato de prestación de servicios en julio, agosto y septiembre.
</t>
    </r>
    <r>
      <rPr>
        <b/>
        <sz val="10"/>
        <rFont val="Calibri"/>
        <family val="2"/>
        <scheme val="minor"/>
      </rPr>
      <t>Alcaldía de Calarcá</t>
    </r>
    <r>
      <rPr>
        <sz val="10"/>
        <rFont val="Calibri"/>
        <family val="2"/>
        <scheme val="minor"/>
      </rPr>
      <t xml:space="preserve">: se realizo convocatoria a jovenes de 14 a 28 años que cuenten con iniciativas juveniles en pro de los jovenes para participar por apoyo de las mismas, asi mismo se realizaron 4 talleres a los jovenes que se postularon con sus propuestas.
</t>
    </r>
    <r>
      <rPr>
        <b/>
        <sz val="10"/>
        <rFont val="Calibri"/>
        <family val="2"/>
        <scheme val="minor"/>
      </rPr>
      <t xml:space="preserve">Alcaldía Filandia: </t>
    </r>
    <r>
      <rPr>
        <sz val="10"/>
        <rFont val="Calibri"/>
        <family val="2"/>
        <scheme val="minor"/>
      </rPr>
      <t xml:space="preserve">12 jóvenes vinculados a proyectos innovadores  y 6 iniciativas empresariales apoyadas.
</t>
    </r>
    <r>
      <rPr>
        <b/>
        <sz val="10"/>
        <rFont val="Calibri"/>
        <family val="2"/>
        <scheme val="minor"/>
      </rPr>
      <t xml:space="preserve">Alcaldía Montenegro: </t>
    </r>
    <r>
      <rPr>
        <sz val="10"/>
        <rFont val="Calibri"/>
        <family val="2"/>
        <scheme val="minor"/>
      </rPr>
      <t xml:space="preserve">no se cuenta en el momento con jovenes vinculados a proyectos innovadores de emprendimiento, sin embargo estamos en la tarea de crear un grupo de jovenes empresarios para fortalecer este proceso
</t>
    </r>
    <r>
      <rPr>
        <b/>
        <sz val="10"/>
        <rFont val="Calibri"/>
        <family val="2"/>
        <scheme val="minor"/>
      </rPr>
      <t>Alcaldía Quimbaya:</t>
    </r>
    <r>
      <rPr>
        <sz val="10"/>
        <rFont val="Calibri"/>
        <family val="2"/>
        <scheme val="minor"/>
      </rPr>
      <t xml:space="preserve"> A través del apoyo a las iniciativas de emprendimiento juvenil se brinda acompañamiento a 40 jóvenes emprendedores.
</t>
    </r>
    <r>
      <rPr>
        <b/>
        <sz val="10"/>
        <rFont val="Calibri"/>
        <family val="2"/>
        <scheme val="minor"/>
      </rPr>
      <t>Alcaldía de Pijao:</t>
    </r>
    <r>
      <rPr>
        <sz val="10"/>
        <rFont val="Calibri"/>
        <family val="2"/>
        <scheme val="minor"/>
      </rPr>
      <t xml:space="preserve"> No cuenta con Jovenes vinculados a proyectos innovadores y de emprendimiento.
</t>
    </r>
    <r>
      <rPr>
        <b/>
        <sz val="10"/>
        <rFont val="Calibri"/>
        <family val="2"/>
        <scheme val="minor"/>
      </rPr>
      <t>Alcaldia Buenavista:</t>
    </r>
    <r>
      <rPr>
        <sz val="10"/>
        <rFont val="Calibri"/>
        <family val="2"/>
        <scheme val="minor"/>
      </rPr>
      <t xml:space="preserve"> en Buenavista se cuenta con 8 jovenes vinculados a un proyecto de emprendimiento que busca formarlos para su vida laboralpor medio de la asociación ASOJEX</t>
    </r>
  </si>
  <si>
    <r>
      <t xml:space="preserve">
</t>
    </r>
    <r>
      <rPr>
        <b/>
        <sz val="10"/>
        <rFont val="Calibri"/>
        <family val="2"/>
        <scheme val="minor"/>
      </rPr>
      <t>Secretaría de Familia:</t>
    </r>
    <r>
      <rPr>
        <sz val="10"/>
        <rFont val="Calibri"/>
        <family val="2"/>
        <scheme val="minor"/>
      </rPr>
      <t xml:space="preserve"> El indicador se observa en estado crítico, toda vez que la unidad de medida está en términos porcentuales, y los actores reportan en términos absolutos, lo que dificulta la medición de avance, sin embargo, se adelantan las siguientes acciones que se relacionan a la meta financiera: </t>
    </r>
    <r>
      <rPr>
        <b/>
        <sz val="10"/>
        <rFont val="Calibri"/>
        <family val="2"/>
        <scheme val="minor"/>
      </rPr>
      <t xml:space="preserve">
Cámara de Comercio de Armenia y del Quindío:</t>
    </r>
    <r>
      <rPr>
        <sz val="10"/>
        <rFont val="Calibri"/>
        <family val="2"/>
        <scheme val="minor"/>
      </rPr>
      <t xml:space="preserve">  Se realizaron cinco (5) misiones comerciales en las ciudades de Bogotá, Ibagué, Cartagena, Neiva y Cali; con el fin de promocionar el destino, QUINDÍO CORAZÓN DE COLOMBIA y fortalecer el tema de conectividad aérea, donde participaron 10 agencias de viajes operadoras del departamento del Quindío, una perteneciente a un (1) joven. Entre el 30 y 31 de agosto de 2022 se llevó a cabo la 3era versión de EMPRENDE LAC 2022 en el Centro Cultural Metropolitano de Convenciones, evento que impacto a más de 5.000 jóvenes emprendedores e influenciadores, el cual tuvo la participación de Gustavo Zabala cofundador de FESTIC 
</t>
    </r>
    <r>
      <rPr>
        <b/>
        <sz val="10"/>
        <rFont val="Calibri"/>
        <family val="2"/>
        <scheme val="minor"/>
      </rPr>
      <t>SENA:</t>
    </r>
    <r>
      <rPr>
        <sz val="10"/>
        <rFont val="Calibri"/>
        <family val="2"/>
        <scheme val="minor"/>
      </rPr>
      <t xml:space="preserve"> Durante el trimestre no se realizaron ruedas de negocios regionales o nacionales. Se espera realizar para el segundo semestre del año.
</t>
    </r>
    <r>
      <rPr>
        <b/>
        <sz val="10"/>
        <rFont val="Calibri"/>
        <family val="2"/>
        <scheme val="minor"/>
      </rPr>
      <t xml:space="preserve">Alcaldía Filandia: </t>
    </r>
    <r>
      <rPr>
        <sz val="10"/>
        <rFont val="Calibri"/>
        <family val="2"/>
        <scheme val="minor"/>
      </rPr>
      <t xml:space="preserve">2 jóvenes en ruedas de negocio.
</t>
    </r>
    <r>
      <rPr>
        <b/>
        <sz val="10"/>
        <rFont val="Calibri"/>
        <family val="2"/>
        <scheme val="minor"/>
      </rPr>
      <t>Secretaria de Turismo Industria y Comercio:</t>
    </r>
    <r>
      <rPr>
        <sz val="10"/>
        <rFont val="Calibri"/>
        <family val="2"/>
        <scheme val="minor"/>
      </rPr>
      <t xml:space="preserve"> Para este tercer trimestre de la vigencia 2023, no se han realizado actividades que den avance al indicador, con relación a la población objetiva.
Secrearia de Familia: No es posible medir el indicador ya que la información reportada por los actores responsables no es la adecuada para medir su avance en porcentaje, es por ello que se encuentra en estado crítico.
</t>
    </r>
    <r>
      <rPr>
        <b/>
        <sz val="10"/>
        <rFont val="Calibri"/>
        <family val="2"/>
        <scheme val="minor"/>
      </rPr>
      <t xml:space="preserve">Alcaldía Buenavista: </t>
    </r>
    <r>
      <rPr>
        <sz val="10"/>
        <rFont val="Calibri"/>
        <family val="2"/>
        <scheme val="minor"/>
      </rPr>
      <t xml:space="preserve"> los jóvenes no asisten a ruedas de negocios a nivel Departametal y Nacional.
</t>
    </r>
    <r>
      <rPr>
        <b/>
        <sz val="10"/>
        <rFont val="Calibri"/>
        <family val="2"/>
        <scheme val="minor"/>
      </rPr>
      <t>Secretaría Turismo, Industria y Comercio:</t>
    </r>
    <r>
      <rPr>
        <sz val="10"/>
        <rFont val="Calibri"/>
        <family val="2"/>
        <scheme val="minor"/>
      </rPr>
      <t xml:space="preserve"> Para este primer trimestre de la vigencia 2023, no se han realizado actividades que den avance al indicador
</t>
    </r>
    <r>
      <rPr>
        <b/>
        <sz val="10"/>
        <rFont val="Calibri"/>
        <family val="2"/>
        <scheme val="minor"/>
      </rPr>
      <t>Alcaldía Quimbaya:</t>
    </r>
    <r>
      <rPr>
        <sz val="10"/>
        <rFont val="Calibri"/>
        <family val="2"/>
        <scheme val="minor"/>
      </rPr>
      <t xml:space="preserve"> Durante el trimestre no se realizaron acciones para dar cumplimiento a la meta.
</t>
    </r>
    <r>
      <rPr>
        <b/>
        <sz val="10"/>
        <rFont val="Calibri"/>
        <family val="2"/>
        <scheme val="minor"/>
      </rPr>
      <t xml:space="preserve">Alcaldía Montenegro: </t>
    </r>
    <r>
      <rPr>
        <sz val="10"/>
        <rFont val="Calibri"/>
        <family val="2"/>
        <scheme val="minor"/>
      </rPr>
      <t xml:space="preserve">Para el segundo trimestre no se cuenta con jóvenes participando de ruedas de negocio regionales
</t>
    </r>
    <r>
      <rPr>
        <b/>
        <sz val="10"/>
        <rFont val="Calibri"/>
        <family val="2"/>
        <scheme val="minor"/>
      </rPr>
      <t>Alcaldía de Pijao</t>
    </r>
    <r>
      <rPr>
        <sz val="10"/>
        <rFont val="Calibri"/>
        <family val="2"/>
        <scheme val="minor"/>
      </rPr>
      <t xml:space="preserve">: no cuenta con un porcentaje de Emprendimientos que participan en Ruedas de Negocios Regionales y Nacionales que son liderados por Jóvenes en el Municipio.
</t>
    </r>
    <r>
      <rPr>
        <b/>
        <sz val="10"/>
        <rFont val="Calibri"/>
        <family val="2"/>
        <scheme val="minor"/>
      </rPr>
      <t xml:space="preserve">Alcaldía Filandia: </t>
    </r>
    <r>
      <rPr>
        <sz val="10"/>
        <rFont val="Calibri"/>
        <family val="2"/>
        <scheme val="minor"/>
      </rPr>
      <t xml:space="preserve">2 jóvenes en ruedas de negocio
</t>
    </r>
    <r>
      <rPr>
        <b/>
        <sz val="10"/>
        <rFont val="Calibri"/>
        <family val="2"/>
        <scheme val="minor"/>
      </rPr>
      <t>Alcaldia Calarca:</t>
    </r>
    <r>
      <rPr>
        <sz val="10"/>
        <rFont val="Calibri"/>
        <family val="2"/>
        <scheme val="minor"/>
      </rPr>
      <t xml:space="preserve"> Se realizará en agosto semana de la juventud, como se realiza cada año, en la que se pretenden realizar actividades empresariales para jóvenes. </t>
    </r>
    <r>
      <rPr>
        <b/>
        <sz val="10"/>
        <rFont val="Calibri"/>
        <family val="2"/>
        <scheme val="minor"/>
      </rPr>
      <t>Alcaldía Armenia:</t>
    </r>
    <r>
      <rPr>
        <sz val="10"/>
        <rFont val="Calibri"/>
        <family val="2"/>
        <scheme val="minor"/>
      </rPr>
      <t xml:space="preserve"> articulación con el ecosistema de la red regional de emprendimiento para asistencia técnica a empresas del municipio de armenia
</t>
    </r>
    <r>
      <rPr>
        <b/>
        <sz val="10"/>
        <rFont val="Calibri"/>
        <family val="2"/>
        <scheme val="minor"/>
      </rPr>
      <t>Alcaldia Cordoba:</t>
    </r>
    <r>
      <rPr>
        <sz val="10"/>
        <rFont val="Calibri"/>
        <family val="2"/>
        <scheme val="minor"/>
      </rPr>
      <t xml:space="preserve"> en el municipio de Cordoba Quindio  en el mes de septimbre se realizo la semana de la juventud 
</t>
    </r>
    <r>
      <rPr>
        <b/>
        <sz val="10"/>
        <rFont val="Calibri"/>
        <family val="2"/>
        <scheme val="minor"/>
      </rPr>
      <t>Ministerio del Trabajo:</t>
    </r>
    <r>
      <rPr>
        <sz val="10"/>
        <rFont val="Calibri"/>
        <family val="2"/>
        <scheme val="minor"/>
      </rPr>
      <t xml:space="preserve"> Reporta Matriz sin información
</t>
    </r>
  </si>
  <si>
    <r>
      <rPr>
        <b/>
        <sz val="10"/>
        <rFont val="Calibri"/>
        <family val="2"/>
        <scheme val="minor"/>
      </rPr>
      <t xml:space="preserve">Cámara de Comercio de Armenia y del Quindío: Cámara de Comercio de Armenia y del Quindío: </t>
    </r>
    <r>
      <rPr>
        <sz val="10"/>
        <rFont val="Calibri"/>
        <family val="2"/>
        <scheme val="minor"/>
      </rPr>
      <t xml:space="preserve">La Cámara a través del área de INNOVACIÓN (Proyecto EMPRÉNDELO) y a través de su CENTRO DE TRANSFORMACIÓN DIGITAL, ha cumplido con el presente indicador, ya que son programas encaminados a la atención e impulso de emprendedores (nuevas ideas de empresas y proyectos) con herramientas tecnológicas y de medición de impacto en la comunidad en general; no obstante esto, está especialmente dirigido a emprendedores jóvenes (18 a 35 años) etc. Igualmente, se tiene que 1.925 de las 4.708 empresas creadas a 30 de septiembre de 2022, se beneficiaron de la ley de emprendimiento juvenil (1780/2016) equivalente al 41% de las empresas matriculadas.
</t>
    </r>
    <r>
      <rPr>
        <b/>
        <sz val="10"/>
        <rFont val="Calibri"/>
        <family val="2"/>
        <scheme val="minor"/>
      </rPr>
      <t xml:space="preserve">SENA: </t>
    </r>
    <r>
      <rPr>
        <sz val="10"/>
        <rFont val="Calibri"/>
        <family val="2"/>
        <scheme val="minor"/>
      </rPr>
      <t xml:space="preserve">Durante los meses de abril a junio, se realizó orientación ocupacional a 4440 jóvenes a través de la Agencia Pública de Empleo. De los cuales 959 jóvenes quedaron vinculados en las diferentes ofertas laborales en el I semestre del año 2023.
</t>
    </r>
  </si>
  <si>
    <r>
      <rPr>
        <b/>
        <sz val="10"/>
        <rFont val="Calibri"/>
        <family val="2"/>
        <scheme val="minor"/>
      </rPr>
      <t>OBSERVACIONES:</t>
    </r>
    <r>
      <rPr>
        <sz val="10"/>
        <rFont val="Calibri"/>
        <family val="2"/>
        <scheme val="minor"/>
      </rPr>
      <t xml:space="preserve"> Segun el último  Reporte de la Gran Encuesta Integrada de Hogares-DANE; La tasa de trabajo infantil es del 3 % y la tasa de trabajo infantil ampliado es del 5,3 %.
</t>
    </r>
    <r>
      <rPr>
        <b/>
        <sz val="10"/>
        <rFont val="Calibri"/>
        <family val="2"/>
        <scheme val="minor"/>
      </rPr>
      <t xml:space="preserve">Secretaría de Familia: </t>
    </r>
    <r>
      <rPr>
        <sz val="10"/>
        <rFont val="Calibri"/>
        <family val="2"/>
        <scheme val="minor"/>
      </rPr>
      <t xml:space="preserve">*Atención a niños, niñas y adolescentes y sus familias en riesgos o trabajo infantil, alta permanencia en calle y vida en calle
*Actividades comunitarias de prevención de Riegos o trabajo infantil, alta pernanencia en calle y vida en calle 
*Asistencias Técnicas a agentes del SNBF
*Operativos, jornadas de sensibilización y prevenció, campañas y movilizaciones sociales
*Remisiones autoridades administrativas competenetes para restableciminto de derecho.
</t>
    </r>
    <r>
      <rPr>
        <b/>
        <sz val="10"/>
        <rFont val="Calibri"/>
        <family val="2"/>
        <scheme val="minor"/>
      </rPr>
      <t xml:space="preserve">Secretaría de Agricultura: </t>
    </r>
    <r>
      <rPr>
        <sz val="10"/>
        <rFont val="Calibri"/>
        <family val="2"/>
        <scheme val="minor"/>
      </rPr>
      <t xml:space="preserve">Se cofinanciaron 3  proyectos productivos a través de convocatoria realizada por el Ministerio de Agricultura y  Desarrollo Rural, así:
1. Convenio No. 084 - 2021, con la ASOCIACIÓN VICTIMAS DE PIJAO “ASOVICPI”.
2. Convenio No. 078-2021 con la  ASOCIACIÓN DE PRODUCTORES DE AGUACATE DE FILANDIA (HASSFILANDIA).
3. Convenio No. 087 con la   ASOCIACIÓN AGROPLATANERA DEL CACIQUE CALARCÁ, quedando pendiente  el   Convenio No. 080-2021 con la ASOCIACIÓN DE RELEVO GENERACIONAL DEL CAMPO ARMENIA – ASORGEC .
</t>
    </r>
    <r>
      <rPr>
        <b/>
        <sz val="10"/>
        <rFont val="Calibri"/>
        <family val="2"/>
        <scheme val="minor"/>
      </rPr>
      <t>Ministerio del Trabajo:</t>
    </r>
    <r>
      <rPr>
        <sz val="10"/>
        <rFont val="Calibri"/>
        <family val="2"/>
        <scheme val="minor"/>
      </rPr>
      <t xml:space="preserve"> Al respecto es importante hacer las siguientes claridades:1. Tomando en cuenta que la fuente es DANE-GEIH y la consulta no depende de plataforma exclusiva de este ente Ministerial la misma puede ser consultada por cualquier entidad. De esta manera y según la información registrada en la plataforma se cuenta con los registros correspondientes al año 2021 publicado en el año 2022.2. En el evento de contar con datos mas recientes se considera que la competencia es de Planeación Departamental el cual tiene a cargo los indicadores de tipo social para el departamento. 3. Por otro lado la estrategia para la Erradicación del trabajo infantil se ha llevado a cabo a través del CIETI DEPARTAMENTAL, en la cual se han desarrollado diferentes escenarios de participación en todo el Departamento del Quindío en asocio con las entidades que lo integran. El MINTRABAJO  tiene a su cargo el fomento de trabajo protegido a través de las autorizaciones de trabajo a menores, obtenido para el periodo objeto de estudio los siguientes resultados según la información aportada desde el grupo de atención al ciudadano y trámite así: a. Permisos otorgados: 36, de los cuales 17 fueron otorgadas a niñas y 19 a niños. b. Consultas laborales menores: 0
</t>
    </r>
    <r>
      <rPr>
        <b/>
        <sz val="10"/>
        <rFont val="Calibri"/>
        <family val="2"/>
        <scheme val="minor"/>
      </rPr>
      <t>ICBF</t>
    </r>
    <r>
      <rPr>
        <sz val="10"/>
        <rFont val="Calibri"/>
        <family val="2"/>
        <scheme val="minor"/>
      </rPr>
      <t xml:space="preserve">: *Atención Directa a familias con NNA en trabajo infantil *Alta permanencia en calle*Situación de vida en calle *Constataciones *Movilización del SNBF a través de la oferta*Actividades comunitarias de promoción y prevención en articulación con el SNBF *direccionamiento de NNA con Derechos amenazados o vulnerados al Centro de atención para el Restablecimiento de Derechos.
</t>
    </r>
    <r>
      <rPr>
        <b/>
        <sz val="10"/>
        <rFont val="Calibri"/>
        <family val="2"/>
        <scheme val="minor"/>
      </rPr>
      <t xml:space="preserve">Alcaldía Calarcá: </t>
    </r>
    <r>
      <rPr>
        <sz val="10"/>
        <rFont val="Calibri"/>
        <family val="2"/>
        <scheme val="minor"/>
      </rPr>
      <t xml:space="preserve">El programa de NNA, realizó  una jornada de prevención del trabajo infantil en el barrio Llanitos Piloto. 
</t>
    </r>
    <r>
      <rPr>
        <b/>
        <sz val="10"/>
        <rFont val="Calibri"/>
        <family val="2"/>
        <scheme val="minor"/>
      </rPr>
      <t xml:space="preserve">Alcaldía Filandia: </t>
    </r>
    <r>
      <rPr>
        <sz val="10"/>
        <rFont val="Calibri"/>
        <family val="2"/>
        <scheme val="minor"/>
      </rPr>
      <t xml:space="preserve">el Municipio de Filandia no cuenta con casos de trabajo infantil.
</t>
    </r>
    <r>
      <rPr>
        <b/>
        <sz val="10"/>
        <rFont val="Calibri"/>
        <family val="2"/>
        <scheme val="minor"/>
      </rPr>
      <t>Alcaldía Quimbaya:</t>
    </r>
    <r>
      <rPr>
        <sz val="10"/>
        <rFont val="Calibri"/>
        <family val="2"/>
        <scheme val="minor"/>
      </rPr>
      <t xml:space="preserve"> El municipio no cuenta con esta información en tasa. 
</t>
    </r>
    <r>
      <rPr>
        <b/>
        <sz val="10"/>
        <rFont val="Calibri"/>
        <family val="2"/>
        <scheme val="minor"/>
      </rPr>
      <t>Alcaldía Buenavista:</t>
    </r>
    <r>
      <rPr>
        <sz val="10"/>
        <rFont val="Calibri"/>
        <family val="2"/>
        <scheme val="minor"/>
      </rPr>
      <t xml:space="preserve"> No cuenta con reportes de trabajo infantil, no obstante se realizan campañas para prevenir esta problemática.
</t>
    </r>
    <r>
      <rPr>
        <b/>
        <sz val="10"/>
        <rFont val="Calibri"/>
        <family val="2"/>
        <scheme val="minor"/>
      </rPr>
      <t xml:space="preserve">Alcaldía Montenegro: </t>
    </r>
    <r>
      <rPr>
        <sz val="10"/>
        <rFont val="Calibri"/>
        <family val="2"/>
        <scheme val="minor"/>
      </rPr>
      <t xml:space="preserve">Campañas en las instituciones educativas y en la poblacion en general con el fin de disminuir la taza de trabajo infantil.
</t>
    </r>
    <r>
      <rPr>
        <b/>
        <sz val="10"/>
        <rFont val="Calibri"/>
        <family val="2"/>
        <scheme val="minor"/>
      </rPr>
      <t xml:space="preserve">Alcaldía Salento: </t>
    </r>
    <r>
      <rPr>
        <sz val="10"/>
        <rFont val="Calibri"/>
        <family val="2"/>
        <scheme val="minor"/>
      </rPr>
      <t xml:space="preserve">Campañas de sensibilización entorno a la prevención del trabajo infantil en los establecimientos de servicios turísticos.
</t>
    </r>
    <r>
      <rPr>
        <b/>
        <sz val="10"/>
        <rFont val="Calibri"/>
        <family val="2"/>
        <scheme val="minor"/>
      </rPr>
      <t>Alcaldía de Pijao</t>
    </r>
    <r>
      <rPr>
        <sz val="10"/>
        <rFont val="Calibri"/>
        <family val="2"/>
        <scheme val="minor"/>
      </rPr>
      <t xml:space="preserve">: Comité de radicación del trabajo infantil implementado  bajo el decreto 021 de 01/08/2016. No se presentan casos.
</t>
    </r>
    <r>
      <rPr>
        <b/>
        <sz val="10"/>
        <rFont val="Calibri"/>
        <family val="2"/>
        <scheme val="minor"/>
      </rPr>
      <t>Alcaldia Armenia:</t>
    </r>
    <r>
      <rPr>
        <sz val="10"/>
        <rFont val="Calibri"/>
        <family val="2"/>
        <scheme val="minor"/>
      </rPr>
      <t xml:space="preserve">Implementar estrategias de garantía de derechos de la infancia a través de Jornadas para  niños y niñas de 6 a 12 años ( en prevención de las peores formas de trabajo infantil ,  prevención de la utilización de niños, niñas para la comisión de delitos)
</t>
    </r>
    <r>
      <rPr>
        <b/>
        <sz val="10"/>
        <rFont val="Calibri"/>
        <family val="2"/>
        <scheme val="minor"/>
      </rPr>
      <t xml:space="preserve">Ministerio del Trabajo: </t>
    </r>
    <r>
      <rPr>
        <sz val="10"/>
        <rFont val="Calibri"/>
        <family val="2"/>
        <scheme val="minor"/>
      </rPr>
      <t xml:space="preserve">Reporta Matriz sin información.
</t>
    </r>
    <r>
      <rPr>
        <b/>
        <sz val="10"/>
        <rFont val="Calibri"/>
        <family val="2"/>
        <scheme val="minor"/>
      </rPr>
      <t>Alcaldia Calarca:</t>
    </r>
    <r>
      <rPr>
        <sz val="10"/>
        <rFont val="Calibri"/>
        <family val="2"/>
        <scheme val="minor"/>
      </rPr>
      <t xml:space="preserve"> se realizan escuelas de padres en las instituciones educativas del municipio con el fin de implementar estrategias de erradicacion del trabajo infantil.
</t>
    </r>
    <r>
      <rPr>
        <b/>
        <sz val="10"/>
        <rFont val="Calibri"/>
        <family val="2"/>
        <scheme val="minor"/>
      </rPr>
      <t xml:space="preserve">ICBF: </t>
    </r>
    <r>
      <rPr>
        <sz val="10"/>
        <rFont val="Calibri"/>
        <family val="2"/>
        <scheme val="minor"/>
      </rPr>
      <t xml:space="preserve">*Atención a niños, niñas y adolescentes y sus familias en riesgos o trabajo infantil, alta permanencia en calle y vida en calle
*Actividades comunitarias de prevención de Riegos o trabajo infantil, alta pernanencia en calle y vida en calle 
*Asistencias Técnicas a agentes del SNBF
*Operativos, jornadas de sensibilización y prevención, campañas y movilizaciones sociales
*Remisiones autoridades administrativas competenetes para restablecimiento de derecho </t>
    </r>
  </si>
  <si>
    <r>
      <rPr>
        <b/>
        <sz val="10"/>
        <rFont val="Calibri"/>
        <family val="2"/>
        <scheme val="minor"/>
      </rPr>
      <t xml:space="preserve">Secretaría de familia: </t>
    </r>
    <r>
      <rPr>
        <sz val="10"/>
        <rFont val="Calibri"/>
        <family val="2"/>
        <scheme val="minor"/>
      </rPr>
      <t xml:space="preserve">La información reportada por los actores responsables no es la adecuada para medir el indicador en porcentaje.
</t>
    </r>
    <r>
      <rPr>
        <b/>
        <sz val="10"/>
        <rFont val="Calibri"/>
        <family val="2"/>
        <scheme val="minor"/>
      </rPr>
      <t xml:space="preserve">Universidad Alexander Von Humbolt: </t>
    </r>
    <r>
      <rPr>
        <sz val="10"/>
        <rFont val="Calibri"/>
        <family val="2"/>
        <scheme val="minor"/>
      </rPr>
      <t xml:space="preserve">Actualmente la Facultad de Ciencias Administrativas no desarrolla acción alguna sobre emprendimientos rurales, pero a través de un Convenio con el SENA se estará acompañando a la entidad proximamente. Por otra parte la facultad es asesora técnica del proyecto llamado "Estrategia digital integral e innovadora de turismo rural para emprendedores rurales de la cordillera del Quindío". Se intervendrán dieciséis emprendedores rurales.
</t>
    </r>
    <r>
      <rPr>
        <b/>
        <sz val="10"/>
        <rFont val="Calibri"/>
        <family val="2"/>
        <scheme val="minor"/>
      </rPr>
      <t>Sena:</t>
    </r>
    <r>
      <rPr>
        <sz val="10"/>
        <rFont val="Calibri"/>
        <family val="2"/>
        <scheme val="minor"/>
      </rPr>
      <t xml:space="preserve"> Esta actividad es atendida por el programa SENA EMPRENDE RURAL, el cual busca promover la generación de ingresos para la población rural a través de acciones de formación para el desarrollo y fortalecimiento de capacidades y competencias, así como el acompañamiento de las iniciativas productivas rurales orientadas al autoconsumo, los negocios rurales y/o la creación empresa. Por la misión del programa, no distingue en personas atendidas por edad.
</t>
    </r>
    <r>
      <rPr>
        <b/>
        <sz val="10"/>
        <rFont val="Calibri"/>
        <family val="2"/>
        <scheme val="minor"/>
      </rPr>
      <t xml:space="preserve">Universidad del Quindío: </t>
    </r>
    <r>
      <rPr>
        <sz val="10"/>
        <rFont val="Calibri"/>
        <family val="2"/>
        <scheme val="minor"/>
      </rPr>
      <t xml:space="preserve">Para el presupuesto se cuantificaron los recursos destinados en especie, que por lo general se relacionan con el rubro de contratación o de asignación de funcionarios al apoyo de dichos procesos
</t>
    </r>
    <r>
      <rPr>
        <b/>
        <sz val="10"/>
        <rFont val="Calibri"/>
        <family val="2"/>
        <scheme val="minor"/>
      </rPr>
      <t>Universidad La Gran Colombia:</t>
    </r>
    <r>
      <rPr>
        <sz val="10"/>
        <rFont val="Calibri"/>
        <family val="2"/>
        <scheme val="minor"/>
      </rPr>
      <t xml:space="preserve"> A través del semillero de emprendimiento UGCA se desarrolla mentoría a 14 iniciativas de emprendimiento de estudiantes de grados 8-9 y 10 de la institución educativa NARANJAL del municipio de Quimbaya, vereda Naranjal. Iniciativas de negocio agropecuario como: "Manejo de campos electromagnéticos en el cultivo del maíz y a partir de allí producir productos a base de maíz naturales y amigables con el medio ambiente, incluyendo la producción del maíz" "Producción y comercialización de Mascarillas a base de Miel con uso de tecnologías limpias" "Producción y comercialización de sustrato de hongos coriolus Vercicolos para la aplicación al cultivo de tomate" "Producción y comercialización de Hortalizas Germinadas (Son hortalizas que  contienen fibra, vitaminas y minerales que pueden combinarse) " "Elaboración de bloques de raquis para la alimentación de conejos" "Producción y comercialización de abonos a con lombricompuesto y  lixiviado de lombriz" "Cultivo Aguapònico de lechugas utilizando aguas lluvias"  
</t>
    </r>
    <r>
      <rPr>
        <b/>
        <sz val="10"/>
        <rFont val="Calibri"/>
        <family val="2"/>
        <scheme val="minor"/>
      </rPr>
      <t xml:space="preserve">Secretaría de Turismo Industria y Comercio: </t>
    </r>
    <r>
      <rPr>
        <sz val="10"/>
        <rFont val="Calibri"/>
        <family val="2"/>
        <scheme val="minor"/>
      </rPr>
      <t>Para la promoción de emprendimiento de jóvenes de origen rural o étnico, se realizaron las siguientes acciones: 
Se realizaron  acercamiento con el gobernador de la comunidad Embera Chamí y el representante de la comunidad AFRO Consejo comunitario del municipio de Córdoba Quindío identificando lo siguiente:
 El dìa 12 de septirmbre del 2023, se establece comunicaciòn telèfònica con el lìder del Consejo comunitario la primavera, comnunidad afro, En la llamada telefónica, se buscaba obtener información relacionada con: 
1.        Población general: 
2.        Jóvenes entre 18 a 28 años: 
3.        Mujeres: 
4.        Hombres: 
5.        Población en situación de discapacidad: 
6.        Madres cabeza de hogar: 
7.        Emprendimientos identificados: 
8.        Emprendimientos requeridos: 
9.        Situación problema de la comunidad afro: 
2. El dìa 27 de septiembre del 2023 de manera reiterativa le solicited al señor JAIME MARIN programar la posible fecha y hora de vista a la comunidad que el representa.
3. El dìa 27 de septiembre del 2023, vìa llamada telefònica y WhatsApp tratè de establecer comunicaciòn con el Gobernador de la comunida Embera Chamì, pero fue dificil. Se espara que en el IV trimestre de la vigencia en curso se establezca algùn tipo de comuniciòn con el representante mencionad</t>
    </r>
    <r>
      <rPr>
        <b/>
        <sz val="10"/>
        <rFont val="Calibri"/>
        <family val="2"/>
        <scheme val="minor"/>
      </rPr>
      <t>o. 
Secretaría de Agricultura:</t>
    </r>
    <r>
      <rPr>
        <sz val="10"/>
        <rFont val="Calibri"/>
        <family val="2"/>
        <scheme val="minor"/>
      </rPr>
      <t xml:space="preserve"> 'Con corte a 30 de SEPTIEMBRE se están apoyando 75  productores agropecuarios en  los municipios de: ARMENIA, BUENAVISTA, CALARCA, CORDOBA, CIRCASIA, FILANDIA,  GENOVA, MONTENEGRO, LA TEBAIDA,  PIJAO, QUIMBAYA Y SALENTO , con el desarrollo de las siguientes  acciones: Apoyo técnico para el fomento organizativo de la Agricultura campesina, familiar y comunitaria y actividades de promoción y difusión la cartilla de seguridad alimentaria  
</t>
    </r>
    <r>
      <rPr>
        <b/>
        <sz val="10"/>
        <rFont val="Calibri"/>
        <family val="2"/>
        <scheme val="minor"/>
      </rPr>
      <t xml:space="preserve">Secretaría de Educación: </t>
    </r>
    <r>
      <rPr>
        <sz val="10"/>
        <rFont val="Calibri"/>
        <family val="2"/>
        <scheme val="minor"/>
      </rPr>
      <t xml:space="preserve">Ejecución de etapa productiva de programas técnicos articulados con el SENA, a través del desarrollo de proyectos productivos mediante ruta del emprendimiento.
</t>
    </r>
  </si>
  <si>
    <r>
      <rPr>
        <b/>
        <sz val="10"/>
        <rFont val="Calibri"/>
        <family val="2"/>
        <scheme val="minor"/>
      </rPr>
      <t xml:space="preserve">Secretaría de familia: </t>
    </r>
    <r>
      <rPr>
        <sz val="10"/>
        <rFont val="Calibri"/>
        <family val="2"/>
        <scheme val="minor"/>
      </rPr>
      <t>La información reportada por los actores responsables no es la adecuada para medir el indicador en porcentaje.</t>
    </r>
    <r>
      <rPr>
        <b/>
        <sz val="10"/>
        <rFont val="Calibri"/>
        <family val="2"/>
        <scheme val="minor"/>
      </rPr>
      <t xml:space="preserve">
Sena:</t>
    </r>
    <r>
      <rPr>
        <sz val="10"/>
        <rFont val="Calibri"/>
        <family val="2"/>
        <scheme val="minor"/>
      </rPr>
      <t xml:space="preserve"> Se realizó una convocatoria "fondo emprender" con apoyo de la Gobernación del Quindío, en ella fueron viables 24 planes de negocio. Adicionalmente a nivel nacional se lanzó la convocatoria 93 para jóvenes emprendedores. *5 planes de negocio formulados en la convocatoria 260 del Quindío, corresponde al 20.8% de jóvenes.
</t>
    </r>
    <r>
      <rPr>
        <b/>
        <sz val="10"/>
        <rFont val="Calibri"/>
        <family val="2"/>
        <scheme val="minor"/>
      </rPr>
      <t>Secretaría de Turismo Industria y Comercio:</t>
    </r>
    <r>
      <rPr>
        <sz val="10"/>
        <rFont val="Calibri"/>
        <family val="2"/>
        <scheme val="minor"/>
      </rPr>
      <t xml:space="preserve"> La Ordenanza 022 de 2021,  guarda  coherencia con el PROYECTO: APOYO A LA GENERACIÓN  Y  FORMALIZACIÓN  DEL  EMPLEO  EN EL DEPARTAMENTO DEL QUINDÍO,  PARA EL CUMPLIMIENTO DE LA  META  PRODUCTO: SERVICIOS  DE  APOYO FINANCIERO PARA  LA  CREACIÓN  DE  EMPRESAS 
A través de un proceso de convocatoria se beneficiaron los siguientes emprendimientos con un apoyo financiero, plan semilla por valor de $20.000.000 de pesos cada uno.
*Industria de alimentos Arepas el Quindiano 
*Pagoda By Tuk Tuk 
*Anonima Cocina. 
</t>
    </r>
    <r>
      <rPr>
        <b/>
        <sz val="10"/>
        <rFont val="Calibri"/>
        <family val="2"/>
        <scheme val="minor"/>
      </rPr>
      <t xml:space="preserve">Universidad del Quindío: </t>
    </r>
    <r>
      <rPr>
        <sz val="10"/>
        <rFont val="Calibri"/>
        <family val="2"/>
        <scheme val="minor"/>
      </rPr>
      <t xml:space="preserve">No se tienen proyectos que reciban estímulo financiero ya que desde la Universidad los que se apoyan se hacen con recursos en especie.
</t>
    </r>
    <r>
      <rPr>
        <b/>
        <sz val="10"/>
        <rFont val="Calibri"/>
        <family val="2"/>
        <scheme val="minor"/>
      </rPr>
      <t>Universidad EAM:</t>
    </r>
    <r>
      <rPr>
        <sz val="10"/>
        <rFont val="Calibri"/>
        <family val="2"/>
        <scheme val="minor"/>
      </rPr>
      <t xml:space="preserve"> 1
</t>
    </r>
    <r>
      <rPr>
        <b/>
        <sz val="10"/>
        <rFont val="Calibri"/>
        <family val="2"/>
        <scheme val="minor"/>
      </rPr>
      <t>Universidad San Buenaventura:</t>
    </r>
    <r>
      <rPr>
        <sz val="10"/>
        <rFont val="Calibri"/>
        <family val="2"/>
        <scheme val="minor"/>
      </rPr>
      <t xml:space="preserve"> Programa de Becas y/o descuentos: La Universidad de San Buenaventura cada semestre cuenta con el programa de Becas y/o descuentos donde se otorga descuentos a estudiantes de egresados de colegios bachillerato que cumplen con los requisitos exigidos por la Resolución de Rectoría No. 060 del 27 de noviembre de 2020. En la resolución se hace mención sobre la descripción de los diferentes tipos de descuento, entre ellos se encuentra bachilleres que obtengan las tres mejores pruebas saber 11 y los tres mejores bachilleres de instituciones educativas del valle de Aburrá, Armenia e Ibagué, los tres mejores promedios académicos para bachilleres y normalistas superiores de las Escuelas Normales con las que se tienen convenio, además de descuento para la comunidad afrodescendiente, raizales, víctimas de conflicto armado y comunidades indígenas y también a egresados de instituciones que tienen convenio con la Universidad.  
</t>
    </r>
    <r>
      <rPr>
        <b/>
        <sz val="10"/>
        <rFont val="Calibri"/>
        <family val="2"/>
        <scheme val="minor"/>
      </rPr>
      <t>Universidad Vom Humbolt:</t>
    </r>
    <r>
      <rPr>
        <sz val="10"/>
        <rFont val="Calibri"/>
        <family val="2"/>
        <scheme val="minor"/>
      </rPr>
      <t xml:space="preserve">La Facultad de Ciencias Administrativas, no cuenta en su presupuesto con un rubro que aporte recursos económicos para impulsar emprendimientos, pero nuestra ruta de emprendimiento está conectada al CINNE que es la ruta de emprendimiento de la Cámara de Comercio de Armenia y también somos aliados del SENA con el programa Fondo Emprender.
</t>
    </r>
    <r>
      <rPr>
        <b/>
        <sz val="10"/>
        <rFont val="Calibri"/>
        <family val="2"/>
        <scheme val="minor"/>
      </rPr>
      <t>Universidad La Gran Colombia:</t>
    </r>
    <r>
      <rPr>
        <sz val="10"/>
        <rFont val="Calibri"/>
        <family val="2"/>
        <scheme val="minor"/>
      </rPr>
      <t xml:space="preserve"> La UGCA cuenta con un ecosistema Emprendedor constituido por 3 fases: 1. Ideación 2. Desarrollo Empresarial 3. Fortalecimiento Empresarial, articulado con el sector externo a través del centro de desarrollo empresarial, unido a la red regional de emprendimiento, INNPULSA a través del programa  En la U CEEMPRENDE, que permite que las ideas de negocio mas importantes tengan acceso a la consecución de recursos externos como FONDO EMPRENDER para financiación Y cofinanciación y desde el ecosistema el estudiante recibe todo el acompañamiento en el proceso. 
</t>
    </r>
    <r>
      <rPr>
        <b/>
        <sz val="10"/>
        <rFont val="Calibri"/>
        <family val="2"/>
        <scheme val="minor"/>
      </rPr>
      <t>Secretaría de Educación:</t>
    </r>
    <r>
      <rPr>
        <sz val="10"/>
        <rFont val="Calibri"/>
        <family val="2"/>
        <scheme val="minor"/>
      </rPr>
      <t xml:space="preserve"> No hay actividades planeadas sobre el tema para mención para este periodo de tiempo.
</t>
    </r>
  </si>
  <si>
    <r>
      <t xml:space="preserve">
Secretaría de Turismo Industria y Comercio: </t>
    </r>
    <r>
      <rPr>
        <sz val="10"/>
        <rFont val="Calibri"/>
        <family val="2"/>
        <scheme val="minor"/>
      </rPr>
      <t>Para el tercer trimestre, se llevó a cabo el día 2 de agosto de 2023, el Comité de Red Departamental de Emprendimiento se reunió pero pese a que hubo convocatoria a todas la entidades que tienen asciento en esta instancia, entre ellas un representante de los jovenes, los mismos no asistieron.</t>
    </r>
  </si>
  <si>
    <r>
      <rPr>
        <b/>
        <sz val="10"/>
        <rFont val="Calibri"/>
        <family val="2"/>
        <scheme val="minor"/>
      </rPr>
      <t>Observación: SEGÚN REPORTE DE SEC. EDUCACIÓN SE IMPLEMENTAN 4 METODOLOGÍAS.</t>
    </r>
    <r>
      <rPr>
        <sz val="10"/>
        <rFont val="Calibri"/>
        <family val="2"/>
        <scheme val="minor"/>
      </rPr>
      <t xml:space="preserve"> Se verifica en la página del Ministerio de Educación Nacional cinco (5) metodologías flexibles.  (ESCUELA NUEVA - POST PRIMARIA RURAL - SECUNDARÍA ACTIVA - ACELERACIÓN DEL APRENDIZAJE - CAMINAR EN SECUNDARIA).
</t>
    </r>
    <r>
      <rPr>
        <b/>
        <sz val="10"/>
        <rFont val="Calibri"/>
        <family val="2"/>
        <scheme val="minor"/>
      </rPr>
      <t xml:space="preserve">Secretaría de Educación: </t>
    </r>
    <r>
      <rPr>
        <sz val="10"/>
        <rFont val="Calibri"/>
        <family val="2"/>
        <scheme val="minor"/>
      </rPr>
      <t xml:space="preserve">En algunas de las instituciones educativas del departamento se tienen implementados los siguientes modelos flexibles para atender a poblaciones diversas o en condición de vulnerabilidad: Escuela Nueva, Post Primaria, Aceleración del aprendizaje y Pensar. 
</t>
    </r>
    <r>
      <rPr>
        <b/>
        <sz val="10"/>
        <rFont val="Calibri"/>
        <family val="2"/>
        <scheme val="minor"/>
      </rPr>
      <t>Alcaldia Buenavista:</t>
    </r>
    <r>
      <rPr>
        <sz val="10"/>
        <rFont val="Calibri"/>
        <family val="2"/>
        <scheme val="minor"/>
      </rPr>
      <t xml:space="preserve"> desde la institución educativa se cuenta con un programa de estudio los días sabados que permite a los jovenes con extra edad, terminar su bachillerato.
</t>
    </r>
    <r>
      <rPr>
        <b/>
        <sz val="10"/>
        <rFont val="Calibri"/>
        <family val="2"/>
        <scheme val="minor"/>
      </rPr>
      <t>Alcaldía de Pijao:</t>
    </r>
    <r>
      <rPr>
        <sz val="10"/>
        <rFont val="Calibri"/>
        <family val="2"/>
        <scheme val="minor"/>
      </rPr>
      <t xml:space="preserve"> no cuenta con metodologias flexibles implementadas
</t>
    </r>
    <r>
      <rPr>
        <b/>
        <sz val="10"/>
        <rFont val="Calibri"/>
        <family val="2"/>
        <scheme val="minor"/>
      </rPr>
      <t xml:space="preserve">Alcaldía Armenia: </t>
    </r>
    <r>
      <rPr>
        <sz val="10"/>
        <rFont val="Calibri"/>
        <family val="2"/>
        <scheme val="minor"/>
      </rPr>
      <t xml:space="preserve">731 jóvenes y adultos atendido a través de modelo flexibles.
</t>
    </r>
    <r>
      <rPr>
        <b/>
        <sz val="10"/>
        <rFont val="Calibri"/>
        <family val="2"/>
        <scheme val="minor"/>
      </rPr>
      <t>Alcaldia Cordoba:</t>
    </r>
    <r>
      <rPr>
        <sz val="10"/>
        <rFont val="Calibri"/>
        <family val="2"/>
        <scheme val="minor"/>
      </rPr>
      <t xml:space="preserve"> El municipio fortalecio las metodologias para la oferta educativa, en los siguientes: Escuela Nueva, enfoque Epc , Etnoeducación, flexibilización curricular  programa de apoyo para estudiantes con discapacidad y trastornos del aprendizaje</t>
    </r>
  </si>
  <si>
    <r>
      <t xml:space="preserve">
</t>
    </r>
    <r>
      <rPr>
        <b/>
        <sz val="10"/>
        <rFont val="Calibri"/>
        <family val="2"/>
        <scheme val="minor"/>
      </rPr>
      <t xml:space="preserve">Secretaría de Salud: </t>
    </r>
    <r>
      <rPr>
        <sz val="10"/>
        <rFont val="Calibri"/>
        <family val="2"/>
        <scheme val="minor"/>
      </rPr>
      <t>• Comités departamentales de salud sexual y reproductiva, se envió el plan de acción a las IPS y EAPB del  Departamento del Quindío.
• Asistencias técnicas y aplicación de lista de chequeo sobre Ruta de atención integral en salud sexual y reproductiva Res. 3280 curso de vida adolescente en las IPS de los municipios del Quindío.
• Se realizaron talleres pedagógicos con  padres de familia y estudiantes  y docentes de los 12 municipios del Quindío para el tema salud sexual reproductiva en las que se trataron derechos sexuales y reproductivos, prevención del embarazo en adolescentes, prevención del embarazo subsiguiente, ruta y proceso de acercamiento a las IPS para adolescentes, síndrome de infección cervical, síndrome de descarga uretral, síndrome de úlcera genital, síndrome de flujo vaginal, síndrome de inflamación escrotal, síndrome de dolor abdominal bajo agudo (enfermedad pélvica inflamatoria), bubón inguinal, VIH, Hepatitis B C, Sífilis, Enfermedad de Chagas, virus del papiloma humano.
• Se realizaron auditoria de historias clínicas de seguimiento de gestantes que viven con VIH SIDA Hepatitis B C como seguimiento del programa de ITS, valoración integral a través de lista de chequeo en IPS.
• Se realizaron auditoria de historias clínicas de seguimiento de personas que viven con VIH SIDA Hepatitis B C como seguimiento del programa de ITS, valoración integral a través de lista de chequeo en IPS.
• Se realizó aplicación de lista de chequeo de calidad de los servicios de salud amigables para adolescentes y jóvenes en las IPS de los 11 municipios y con usuarios adolescentes y padres de familia.
• Realización de subcomités sobre ITS VIH SIDA Hepatitis B C.
• Mesas de trabajo para la creación de la Red departamental de VIH (participación social)
• Auditorías a las EAPB que operan en el departamento del Quindío y a las IPS QUE atienden PVV, con seguimiento respecto la calidad de atención de personas que viven con VIH Sida y Hepatitis B C.
• Acciones de gestión del riesgo para los eventos VIH y hepatitis B C de los pacientes con riesgos detectados.  
• Mediante el plan de intervenciones colectivas se realizaron tamizajes para VIH Hepatitis B C en los municipios. En conjunto con el PAI, se realizaron campañas de vacunación de hepatitis B a las población clave.
• Asistencia técnica certificación en toma de pruebas rápidas de VIH hepatitis b c sífilis.
• Fortalecimiento en RIAS en salud, sexualidad, salud sexual y reproductiva en los 5 cursos de vida, curso de vida adolescente, transversal para todos los cursos de vida, ETMI plus, aguanta cuidarte, gpc vih y hepatitis b y c.Temas tratados: RIAS SSR Res. 3280 Curso de vida adolescente, ITS - Planificacion familiar -  Estrategia Aguanta cuidarte, Escala de Tanner - Estrategia Etmi Plus,  GPC VIH , GPC Hepatitis B y C  , Resolución 1904 de 2007 (salud sexual y reproductiva en discapacidad).</t>
    </r>
  </si>
  <si>
    <r>
      <rPr>
        <b/>
        <sz val="10"/>
        <rFont val="Calibri"/>
        <family val="2"/>
        <scheme val="minor"/>
      </rPr>
      <t>Alcaldía de Salento</t>
    </r>
    <r>
      <rPr>
        <sz val="10"/>
        <rFont val="Calibri"/>
        <family val="2"/>
        <scheme val="minor"/>
      </rPr>
      <t xml:space="preserve">: Seguimiento a las políticas de salud dadas por el Consejo Municipal de Política Social (COMPOS)
</t>
    </r>
    <r>
      <rPr>
        <b/>
        <sz val="10"/>
        <rFont val="Calibri"/>
        <family val="2"/>
        <scheme val="minor"/>
      </rPr>
      <t>Alcaldía Buenavista:</t>
    </r>
    <r>
      <rPr>
        <sz val="10"/>
        <rFont val="Calibri"/>
        <family val="2"/>
        <scheme val="minor"/>
      </rPr>
      <t xml:space="preserve"> Se revisa la prestación del servicio a jóvenes por parte del plan local de Salud al Hospital San Camilo  
</t>
    </r>
    <r>
      <rPr>
        <b/>
        <sz val="10"/>
        <rFont val="Calibri"/>
        <family val="2"/>
        <scheme val="minor"/>
      </rPr>
      <t xml:space="preserve">Alcaldía de Pijao: </t>
    </r>
    <r>
      <rPr>
        <sz val="10"/>
        <rFont val="Calibri"/>
        <family val="2"/>
        <scheme val="minor"/>
      </rPr>
      <t xml:space="preserve">Los representantes de los jóvenes son miembros activos y participan en el Comité de Salud Municipal.
</t>
    </r>
    <r>
      <rPr>
        <b/>
        <sz val="10"/>
        <rFont val="Calibri"/>
        <family val="2"/>
        <scheme val="minor"/>
      </rPr>
      <t xml:space="preserve">Alcaldía Calarcá: </t>
    </r>
    <r>
      <rPr>
        <sz val="10"/>
        <rFont val="Calibri"/>
        <family val="2"/>
        <scheme val="minor"/>
      </rPr>
      <t xml:space="preserve">Se refiere al aseguramiento en régimen subsidiado de los jóvenes que cumplen con los requisitos.  Cada tres meses se deben realizar encuestas a los jóvenes en calidad del servicio, cabe mencionar que de forma mensual se realizan 150 encuestas en la población Calarqueña.
</t>
    </r>
    <r>
      <rPr>
        <b/>
        <sz val="10"/>
        <rFont val="Calibri"/>
        <family val="2"/>
        <scheme val="minor"/>
      </rPr>
      <t>Alcaldía de Córdoba:</t>
    </r>
    <r>
      <rPr>
        <sz val="10"/>
        <rFont val="Calibri"/>
        <family val="2"/>
        <scheme val="minor"/>
      </rPr>
      <t xml:space="preserve"> Mediante el Plan Local de Salud se realiza seguimiento a la E.S.E Hospital San Roque de Córdoba, en los espacios de participación en cuanto a al Comité Operativo de Infancia y Adolescencia, Consejo Municipal de Policía Social - CMPS.
</t>
    </r>
    <r>
      <rPr>
        <b/>
        <sz val="10"/>
        <rFont val="Calibri"/>
        <family val="2"/>
        <scheme val="minor"/>
      </rPr>
      <t xml:space="preserve">Secretaría de Salud: </t>
    </r>
    <r>
      <rPr>
        <sz val="10"/>
        <rFont val="Calibri"/>
        <family val="2"/>
        <scheme val="minor"/>
      </rPr>
      <t xml:space="preserve">Población: IPS que manejan pacientes con VIH, Hepatitis B y C
Cantidad de personas: 40 historias clínicas
Institución: Sies Salud y Grupo Vihda
Actividad o acción:Análisis de Historias clínicas
Temas tratados: Análisis según resolución 0273 del 2019 del ministerio de salud
y protección social
Población: IPS que manejan pacientes con VIH, Hepatitis B y C
Cantidad de personas: 320 pacientes a los cuales se les verificó la entrega de
medicamentos mensual
Institución: Sies Salud y Grupo Vihda
Actividad o acción: Revisión de la entrega de medicamentos antirretrovirales en la
IPS y/o servicio farmacéutico
Temas tratados:Entrega en la completitud de medicamentos antirretrovirales en la IPS
y/o servicio farmacéutico
Población: Pacientes que viven con el virus del VIH y Hepatitis B y C
Cantidad de personas: 73 pacientes a los cuales se les realizó gestión del riego según
reportes sivigila
Institución: Reportes SIVIGILA
Actividad o acción: Gestión del riesgo respecto al acceso a la ruta de atención y
continuidad de atención de los pacientes reportados en Sivigila con VIH SIDA,
Hepatitis B C
Temas tratados: Ruta de atención de los pacientes reportados en Sivigila con VIH
SIDA, Hepatitis B C
Población: Pacientes que viven con el virus del VIH y Hepatitis B y C
Cantidad de personas: 120 pacientes a los cuales se les realizo llamadas telefonicas
Institución: Sies Salud y Grupo Vihda
Actividad o acción: Verificación en la calidad de la atención recibida en las IPS que
atienden personas que viven con el virus
Temas tratados: Calidad de la atención recibida en las IPS que atienden a personas
que viven con el virus.
Población: Funcionarios IPS Sies Salud y Grupo Vihda, Funcionarios de diferentes IPS
del Departamento del Quindío
Cantidad de personas: 26
Institución: Sies Salud y Grupo Vihda y diferentes IPS del Departamento del Quindío
Actividad o acción: Fortalecimiento en prevención, promoción de la salud en
temas de Infecciones de transmisión sexual/VIH/SIDA, Hepatitis B C D, Sífilis,
Enfermedad de Chagas (estrategia 95-95-95), (estrategia aguanta cuidarte)
(Estrategia ETMI Plus), Modelo de gestión programática en VIH/sida, aplicación
de guías de práctica clínica VIH/Hepatitis B C.-Capacitación pruebas rápidas VIH y
Hepatitis B y C.
Temas tratados: Infecciones de transmisión sexual/VIH/SIDA, Hepatitis B C D,
Sífilis, Enfermedad de Chagas (estrategia 95-95-95), (estrategia aguanta
cuidarte) (Estrategia ETMI Plus), Modelo de gestión programática en VIH/sida, aplicación de guías de práctica clínica VIH/Hepatitis B C.-Capacitación pruebas
rápidas VIH y Hepatitis B y C.
Este es el resumen de población alcanzada y los lugares donde se realizó actividades de la dimensión en salud sexual reproductiva en las que se trataron derechos sexuales y reproductivos, prevención del embarazo en adolescentes, prevención del embarazo subsiguiente, ruta y proceso de acercamiento a las IPS para adolescentes, síndrome de infección cervical, síndrome de descarga uretral, síndrome de úlcera genital, síndrome de flujo vaginal, síndrome de inflamación escrotal, síndrome de dolor abdominal bajo agudo (enfermedad pélvica inflamatoria), bubón inguinal, VIH, Hepatitis B C, Sífilis, Enfermedad de Chagas, virus del papiloma humano.
Asistencias técnicas y aplicación de lista de chequeo sobre Ruta de atención integral en salud sexual y reproductiva Res. 3280 curso de vida adolescente en las IPS de los municipios del Quindio.
Población: Funcionarios P y D
Cantidad de personas: 37
Institución: IPS de los municipios del departamento del Quindío
Actividad o acción: Aplicación lista de chequeo y verificación sobre ruta de atención integral en salud sexual y reproductiva Res, 3280 curso de vida adolescente
Temas tratados: Ruta de atención integral en salud sexual y reproductiva Res, 3280 curso de vida adolescente.
Población: Funcionarios P y D
Cantidad de personas: 26
Institución: IPS de los municipios del departamento del Quindío
Actividad o acción: Asistencia técnica sobre ruta de atención integral en salud sexual y reproductiva Res, 3280 curso de vida adolescente
Temas tratados: Ruta de atención integral en salud sexual y reproductiva Res, 3280 curso de vida adolescente-capacitación herramienta Tanner.
Población: Pacientes adolescentes
Cantidad de personas: 19
Institución: IPS de los municipios del departamento del Quindío
Actividad o acción: Aplicación lista de chequeo sobre ruta de atención integral en salud sexual y reproductiva Res, 3280 curso de vida adolescente
Temas tratados: Ruta de atención integral en salud sexual y reproductiva Res, 3280 curso de vida adolescente-capacitación herramienta Tanner.
</t>
    </r>
    <r>
      <rPr>
        <b/>
        <sz val="10"/>
        <rFont val="Calibri"/>
        <family val="2"/>
        <scheme val="minor"/>
      </rPr>
      <t>Alcaldía Tebaida:</t>
    </r>
    <r>
      <rPr>
        <sz val="10"/>
        <rFont val="Calibri"/>
        <family val="2"/>
        <scheme val="minor"/>
      </rPr>
      <t xml:space="preserve">  El total de la población activa que corresponde al Régimen Subsidiado es de 22.281 de este total,  5.394 es población joven que está en el rango de 14 a 28 año y El total de la población activa que corresponde al Régimen Contributivo es de 9.522 de este total 2.610 es población joven que está en el rango de 14 a 28 años.
</t>
    </r>
  </si>
  <si>
    <r>
      <t>Alcaldía Filandia:</t>
    </r>
    <r>
      <rPr>
        <sz val="10"/>
        <rFont val="Calibri"/>
        <family val="2"/>
        <scheme val="minor"/>
      </rPr>
      <t xml:space="preserve"> 340 jóvenes participan en actividades recreativas, deportivas y de actividad física.</t>
    </r>
    <r>
      <rPr>
        <b/>
        <sz val="10"/>
        <rFont val="Calibri"/>
        <family val="2"/>
        <scheme val="minor"/>
      </rPr>
      <t xml:space="preserve">
Alcaldía Salento: </t>
    </r>
    <r>
      <rPr>
        <sz val="10"/>
        <rFont val="Calibri"/>
        <family val="2"/>
        <scheme val="minor"/>
      </rPr>
      <t xml:space="preserve">Fortalecimiento y apoyo a las Escuelas de Formación Deportiva, reactivación de torneos de fútbol, fútbol de salón. </t>
    </r>
    <r>
      <rPr>
        <b/>
        <sz val="10"/>
        <rFont val="Calibri"/>
        <family val="2"/>
        <scheme val="minor"/>
      </rPr>
      <t xml:space="preserve">
Alcaldía Génova:  </t>
    </r>
    <r>
      <rPr>
        <sz val="10"/>
        <rFont val="Calibri"/>
        <family val="2"/>
        <scheme val="minor"/>
      </rPr>
      <t>Jóvenes integrando las escuelas de formación en fútbol, baloncesto, jóvenes participando en torneos de fútbol categoría libre, jóvenes participando en torneo nacional de baloncesto, jóvenes participando en campamentos juveniles y actividades recreativas.</t>
    </r>
    <r>
      <rPr>
        <b/>
        <sz val="10"/>
        <rFont val="Calibri"/>
        <family val="2"/>
        <scheme val="minor"/>
      </rPr>
      <t xml:space="preserve">
Alcaldía de Armenia: </t>
    </r>
    <r>
      <rPr>
        <sz val="10"/>
        <rFont val="Calibri"/>
        <family val="2"/>
        <scheme val="minor"/>
      </rPr>
      <t>Promoción, apoyo logístico, ejecución y dotación  de programas de Hábitos y Estilos de Vida Saludable y Actividad Física.</t>
    </r>
    <r>
      <rPr>
        <b/>
        <sz val="10"/>
        <rFont val="Calibri"/>
        <family val="2"/>
        <scheme val="minor"/>
      </rPr>
      <t xml:space="preserve">       
Alcaldía de Montenegro: S</t>
    </r>
    <r>
      <rPr>
        <sz val="10"/>
        <rFont val="Calibri"/>
        <family val="2"/>
        <scheme val="minor"/>
      </rPr>
      <t xml:space="preserve">e ha fortalecido la oferta institucional frente a la actividad física al igual que los grupos de formación deportiva, se hace promoción y seguimiento de eventos y actividades
</t>
    </r>
    <r>
      <rPr>
        <b/>
        <sz val="10"/>
        <rFont val="Calibri"/>
        <family val="2"/>
        <scheme val="minor"/>
      </rPr>
      <t>Alcaldía de Pijao:</t>
    </r>
    <r>
      <rPr>
        <sz val="10"/>
        <rFont val="Calibri"/>
        <family val="2"/>
        <scheme val="minor"/>
      </rPr>
      <t xml:space="preserve"> Entrenamientos permanentes con las escuelas deportivas, actividades recreativas con el colegio la mariela (rural), apoyo actividades eninstituciones educativas urbanas en los interclases.</t>
    </r>
    <r>
      <rPr>
        <b/>
        <sz val="10"/>
        <rFont val="Calibri"/>
        <family val="2"/>
        <scheme val="minor"/>
      </rPr>
      <t xml:space="preserve">
Alcaldía de Calarcá: </t>
    </r>
    <r>
      <rPr>
        <sz val="10"/>
        <rFont val="Calibri"/>
        <family val="2"/>
        <scheme val="minor"/>
      </rPr>
      <t xml:space="preserve">Desde la Subsecretaría de Cultura se realizó el evento "Caciques más fuertes" y "Color fest".
</t>
    </r>
    <r>
      <rPr>
        <b/>
        <sz val="10"/>
        <rFont val="Calibri"/>
        <family val="2"/>
        <scheme val="minor"/>
      </rPr>
      <t>Alcaldía Córdoba:</t>
    </r>
    <r>
      <rPr>
        <sz val="10"/>
        <rFont val="Calibri"/>
        <family val="2"/>
        <scheme val="minor"/>
      </rPr>
      <t xml:space="preserve"> El municipio de Córdoba Quindío, cuenta con las 6 escuelas de formacion deportiva y el centro de alto rendimiento gimnasio, con un total población atendida: 223 de la siguiente manera:- Futbol: 60 Deportistas- Microfútbol: 70 Deportistas - Natación: 35 Deportistas- Ciclismo: 13 Deportistas- Patinaje: 28 Deportistas-Gimnasio: 25 deportistas.
se ha realizo encuentros deportivos en las instalaciones deportivas del municipio de Córdoba (estadio y coliseo); tales como: -Escuela de formación de futbol de Córdoba V&amp; equipo de pijao. -Escuela de microfútbol de Córdoba V&amp; equipo de Buenavista.
-Se participo en una salida deportiva al corregimiento de Barcelona.
INDEPORTES: 1325  jóvenes atendidos con el Servicio de promoción de la actividad física, la recreación y el deporte, mediante Hábitos y Estilos de Vida Saludable, Acompañamiento a Grupos de Campistas Juveniles y recreación.
</t>
    </r>
    <r>
      <rPr>
        <b/>
        <sz val="10"/>
        <rFont val="Calibri"/>
        <family val="2"/>
        <scheme val="minor"/>
      </rPr>
      <t xml:space="preserve">Alcaldía salento: </t>
    </r>
    <r>
      <rPr>
        <sz val="10"/>
        <rFont val="Calibri"/>
        <family val="2"/>
        <scheme val="minor"/>
      </rPr>
      <t xml:space="preserve">177 jóvenes que pertenecen a escuelas deportivas.
</t>
    </r>
  </si>
  <si>
    <r>
      <rPr>
        <b/>
        <sz val="10"/>
        <rFont val="Calibri"/>
        <family val="2"/>
        <scheme val="minor"/>
      </rPr>
      <t xml:space="preserve">Secretaría de Salud:  </t>
    </r>
    <r>
      <rPr>
        <sz val="10"/>
        <rFont val="Calibri"/>
        <family val="2"/>
        <scheme val="minor"/>
      </rPr>
      <t>11  municipios alcanzados en sus diferentes instituciones educativas 
Población: Estudiantes
Cantidad de Personas: 2500
Instituciónes Educativas
Actividad o acción: 
Asistencia técnica sobre estrategias de salud sexual y reproductiva, prevención de enfermedades de transmisión sexual.
Temas tratados: Derechos sexuales y reproductivos, prevención del embarazo, prevención del embarazo subsiguiente, ruta y proceso de acercamiento a las IPS para adolescentes, síndrome de infección cervical, Síndrome de descarga uretral, Síndrome de ulcera Genital, Síndrome de flujo vaginal, Síndrome de inflamación escrotal, Síndrome de dolor abdominal bajo agudo (enfermedad pélvica inflamatoria) bubón inguinal, VIH, Hepatitis B, C, Sífilis, Enfermedad de 
Chagas, Virus del papiloma humano.</t>
    </r>
  </si>
  <si>
    <r>
      <rPr>
        <b/>
        <sz val="10"/>
        <rFont val="Calibri"/>
        <family val="2"/>
        <scheme val="minor"/>
      </rPr>
      <t xml:space="preserve">Secretaría de Salud: </t>
    </r>
    <r>
      <rPr>
        <sz val="10"/>
        <rFont val="Calibri"/>
        <family val="2"/>
        <scheme val="minor"/>
      </rPr>
      <t>Desde el programa Convivencia Social y Salud Mental se orienta de manera permanente acompañamiento en términos de gestión del riesgo a las instituciones educativas de los 11 municipios de competencia departamental cuando  así lo requieran, mencionando también  el acompañamiento en la mitigación de las brechas de acceso en salud mental para la aplicación de tecnologías enmarcadas en la resolución 3280, y de la misma forma se capacita al personal de salud encargado de aplicar las mismas en los municipios. Generación de capacidad de asistencia técnica a instituciones educativas, instituciones de salud y demás que lo requieren frente a temas de atención en salud mental.
Se realizan actividades de garantía de los derechos en salud en relación al curso de vida JUVENTUD tales como el seguimiento a la gestión del riesgo en eventos de interés en salud mental como el 875 violencia intrafamiliar y 356 conducta suicida, en el que se realizan actividades de gestión  en relación a la activación de ruta en salud mental  referente a los casos reportados a través de la plataforma epidemiológica SIVIGILA (Sistema Nacional de Vigilancia en Salud Pública). Se han realizado además, asistencias técnicas en los temas de servicios amigables de salud para jóvenes y adolescentes.</t>
    </r>
  </si>
  <si>
    <r>
      <t xml:space="preserve">
</t>
    </r>
    <r>
      <rPr>
        <b/>
        <sz val="10"/>
        <rFont val="Calibri"/>
        <family val="2"/>
        <scheme val="minor"/>
      </rPr>
      <t xml:space="preserve">Secretaría del Interior: </t>
    </r>
    <r>
      <rPr>
        <sz val="10"/>
        <rFont val="Calibri"/>
        <family val="2"/>
        <scheme val="minor"/>
      </rPr>
      <t xml:space="preserve">Acompañamiento y seguimiento en los municipios de Filandia, Córdoba, Montenegro y Quimbaya
</t>
    </r>
    <r>
      <rPr>
        <b/>
        <sz val="10"/>
        <rFont val="Calibri"/>
        <family val="2"/>
        <scheme val="minor"/>
      </rPr>
      <t>Policía Nacional:</t>
    </r>
    <r>
      <rPr>
        <sz val="10"/>
        <rFont val="Calibri"/>
        <family val="2"/>
        <scheme val="minor"/>
      </rPr>
      <t xml:space="preserve"> El Grupo de protección a la infancia y adolescencia, durante el periodo comprometido de julio a septiembre realizó en los 12 municipios del Departamento más de 128 acciones en instituciones educativas, beneficiando a más de  2.630 estudiantes en temáticas como legislación nacional, violencia intrafamiliar, pautas y crianza, valores y principios, explotación sexual y comercial de NNA, trabajo infantil entre otros, logrando afianzar la cultura de la denuncia para mitigar y reducir la vulneración de sus derechos a través de la líneas de emergencia 123 y 141. 
</t>
    </r>
    <r>
      <rPr>
        <b/>
        <sz val="10"/>
        <rFont val="Calibri"/>
        <family val="2"/>
        <scheme val="minor"/>
      </rPr>
      <t>ICBF:</t>
    </r>
    <r>
      <rPr>
        <sz val="10"/>
        <rFont val="Calibri"/>
        <family val="2"/>
        <scheme val="minor"/>
      </rPr>
      <t xml:space="preserve"> Asistencias técnicas, acompañamiento en los comités municipales 
Divulgación ruta de convivencia escolar
*Acompañamiento a los comités de los municipios de Armenia, Filandia, Circasia, La Tebaida y Córdoba.
</t>
    </r>
    <r>
      <rPr>
        <b/>
        <sz val="10"/>
        <rFont val="Calibri"/>
        <family val="2"/>
        <scheme val="minor"/>
      </rPr>
      <t xml:space="preserve">
Secretaría de Salud: </t>
    </r>
    <r>
      <rPr>
        <sz val="10"/>
        <rFont val="Calibri"/>
        <family val="2"/>
        <scheme val="minor"/>
      </rPr>
      <t>Se realizaron asistencias técnicas en los temas de servicios amigables de salud para jóvenes y adolescentes en los municipios de Filandia, Circasia, Salento, Pijao, Génova, Córdoba, Buenavista, Calarcá, Quimbaya, La Tebaida y Montenegro como también se socializó con líderes COVECOM de los municipios de tebaida y Quimbaya. 
Se realizaron asistencias técnicas extraordinarias con los municipios de Circasia y La Tebaida para revisión del seguimiento a la activación de ruta en los casos de violencia de género e intrafamiliar.
Se realizó asistencia técnica sobre Rutas de atención en salud mental sobre intento de Suicidio, en  los once (11) municipios de competencia departamental. 2 presenciales en campo, el resto de municipios en una reunión que fueron invitados.
Se realiza intervención sobre la importancia del cuidado de la salud mental para prevenir el suicidio, con los grado 11 de algunos I. E de la Tebaida, y se hizo esta misma charla con todos los grados de secundaria de la I. E Antonio Nariño de Calarcá.</t>
    </r>
  </si>
  <si>
    <r>
      <t xml:space="preserve">
 No se encuentra definida la tasa nacional
</t>
    </r>
    <r>
      <rPr>
        <b/>
        <sz val="10"/>
        <rFont val="Calibri"/>
        <family val="2"/>
        <scheme val="minor"/>
      </rPr>
      <t xml:space="preserve">Alcaldía Montenegro: </t>
    </r>
    <r>
      <rPr>
        <sz val="10"/>
        <rFont val="Calibri"/>
        <family val="2"/>
        <scheme val="minor"/>
      </rPr>
      <t xml:space="preserve">se han realizado campañas y talleres en las instituciones educativas sobre prevención al sexting, convivencia ciudadana y demás
</t>
    </r>
    <r>
      <rPr>
        <b/>
        <sz val="10"/>
        <rFont val="Calibri"/>
        <family val="2"/>
        <scheme val="minor"/>
      </rPr>
      <t>Alcaldía de Córdoba:</t>
    </r>
    <r>
      <rPr>
        <sz val="10"/>
        <rFont val="Calibri"/>
        <family val="2"/>
        <scheme val="minor"/>
      </rPr>
      <t xml:space="preserve"> Teniendo encuenta los informes de las estadisticas de seguridad y convivencia presentados en el consejo de seguridad del municipio por parte de la Estacion de Policia Cordoba, se cuenta con un 0% de homicidios en el municipio. 
</t>
    </r>
    <r>
      <rPr>
        <b/>
        <sz val="10"/>
        <rFont val="Calibri"/>
        <family val="2"/>
        <scheme val="minor"/>
      </rPr>
      <t xml:space="preserve">Alcaldía de Pijao: </t>
    </r>
    <r>
      <rPr>
        <sz val="10"/>
        <rFont val="Calibri"/>
        <family val="2"/>
        <scheme val="minor"/>
      </rPr>
      <t xml:space="preserve">No cuenta con casos, no se adelanta ninguna acción.
</t>
    </r>
    <r>
      <rPr>
        <b/>
        <sz val="10"/>
        <rFont val="Calibri"/>
        <family val="2"/>
        <scheme val="minor"/>
      </rPr>
      <t xml:space="preserve">Secretaría de Familia: </t>
    </r>
    <r>
      <rPr>
        <sz val="10"/>
        <rFont val="Calibri"/>
        <family val="2"/>
        <scheme val="minor"/>
      </rPr>
      <t xml:space="preserve">Desde la Jefatura de Juventud, se brindan talleres formativos donde de proporcionan herramientas para el diario vivir de los jóvenes.
</t>
    </r>
    <r>
      <rPr>
        <b/>
        <sz val="10"/>
        <rFont val="Calibri"/>
        <family val="2"/>
        <scheme val="minor"/>
      </rPr>
      <t xml:space="preserve">Alcaldía Filandia: </t>
    </r>
    <r>
      <rPr>
        <sz val="10"/>
        <rFont val="Calibri"/>
        <family val="2"/>
        <scheme val="minor"/>
      </rPr>
      <t xml:space="preserve"> El municipio de Filandia no cuenta con homicidios desde hace mas de 5 años.
</t>
    </r>
    <r>
      <rPr>
        <b/>
        <sz val="10"/>
        <rFont val="Calibri"/>
        <family val="2"/>
        <scheme val="minor"/>
      </rPr>
      <t>Secretaría del Interior:</t>
    </r>
    <r>
      <rPr>
        <sz val="10"/>
        <rFont val="Calibri"/>
        <family val="2"/>
        <scheme val="minor"/>
      </rPr>
      <t xml:space="preserve"> La tasa actual es de  56,78 por cada 100 mil jóvenes según informe de página JUACO, 2021.
</t>
    </r>
  </si>
  <si>
    <r>
      <t xml:space="preserve">
</t>
    </r>
    <r>
      <rPr>
        <b/>
        <sz val="10"/>
        <rFont val="Calibri"/>
        <family val="2"/>
        <scheme val="minor"/>
      </rPr>
      <t>Secretaría de Familia:</t>
    </r>
    <r>
      <rPr>
        <sz val="10"/>
        <rFont val="Calibri"/>
        <family val="2"/>
        <scheme val="minor"/>
      </rPr>
      <t xml:space="preserve"> la tasa de accidentes fatales viales x 100 mil jóvenes es 131 según fuente de verificación, sin embargo la tasa nacional no fue encontrada en esta fuente.
</t>
    </r>
    <r>
      <rPr>
        <b/>
        <sz val="10"/>
        <rFont val="Calibri"/>
        <family val="2"/>
        <scheme val="minor"/>
      </rPr>
      <t>Alcaldía de Armenia:</t>
    </r>
    <r>
      <rPr>
        <sz val="10"/>
        <rFont val="Calibri"/>
        <family val="2"/>
        <scheme val="minor"/>
      </rPr>
      <t xml:space="preserve"> Realización de educación a personas en todos los cursos de vida en la prevención del accidente de tránsito 301.
</t>
    </r>
    <r>
      <rPr>
        <b/>
        <sz val="10"/>
        <rFont val="Calibri"/>
        <family val="2"/>
        <scheme val="minor"/>
      </rPr>
      <t>Alcaldía Salento:</t>
    </r>
    <r>
      <rPr>
        <sz val="10"/>
        <rFont val="Calibri"/>
        <family val="2"/>
        <scheme val="minor"/>
      </rPr>
      <t xml:space="preserve"> En ejecución la Política Pública de Seguridad Vial, proceso a cargo de la Secretaría de Gobierno
</t>
    </r>
    <r>
      <rPr>
        <b/>
        <sz val="10"/>
        <rFont val="Calibri"/>
        <family val="2"/>
        <scheme val="minor"/>
      </rPr>
      <t>Alcaldía de Calarcá</t>
    </r>
    <r>
      <rPr>
        <sz val="10"/>
        <rFont val="Calibri"/>
        <family val="2"/>
        <scheme val="minor"/>
      </rPr>
      <t xml:space="preserve">: Jornadas de capacitación en las 17 Instituciones Educativas del Municipio.
</t>
    </r>
    <r>
      <rPr>
        <b/>
        <sz val="10"/>
        <rFont val="Calibri"/>
        <family val="2"/>
        <scheme val="minor"/>
      </rPr>
      <t>Alcaldía de Pijao</t>
    </r>
    <r>
      <rPr>
        <sz val="10"/>
        <rFont val="Calibri"/>
        <family val="2"/>
        <scheme val="minor"/>
      </rPr>
      <t xml:space="preserve">: No cuenta con casos, no se adelanta ninguna acción.
</t>
    </r>
    <r>
      <rPr>
        <b/>
        <sz val="10"/>
        <rFont val="Calibri"/>
        <family val="2"/>
        <scheme val="minor"/>
      </rPr>
      <t>IDTQ:</t>
    </r>
    <r>
      <rPr>
        <sz val="10"/>
        <rFont val="Calibri"/>
        <family val="2"/>
        <scheme val="minor"/>
      </rPr>
      <t xml:space="preserve"> Se ejecutó el  Programa de control y atención de tránsito y  transporte   en los Municipios de Salento, Filandia, Circasia y Montenegro, este último donde se suscribió un convenio interinstitucional con la Alcaldía de Montenegro en el mes de Junio, contratándose a 4 agentes de tránsito y 4 reguladores, fortaleciendo la acción de la movilidad y seguridad vial a través de operativos con enfoque especial en : cumplimiento de la normatividad de tránsito, control de velocidad y Transporte informal en el departamento del Quindío, donde se realizaron para este tercer trimestre 58 controles, como parte de la implementación de su plan estratégico Tú y yo juntos por la seguridad vial. En los Municipios de:
Salento, Filandia, Circasia, Montenegro, Buenavista, Córdoba, Pijao y Génova. Para lo cual se Benefició a 557 personas en campañas educativas sobre normas de tránsito, en los municipios de injerencia del IDTQ
</t>
    </r>
    <r>
      <rPr>
        <b/>
        <sz val="10"/>
        <rFont val="Calibri"/>
        <family val="2"/>
        <scheme val="minor"/>
      </rPr>
      <t>Alcaldía de Montenegro:</t>
    </r>
    <r>
      <rPr>
        <sz val="10"/>
        <rFont val="Calibri"/>
        <family val="2"/>
        <scheme val="minor"/>
      </rPr>
      <t xml:space="preserve"> Planes adelantados frente a la movilidad, la educación en seguridad vial, fortalecimiento cultural y el compromiso por la seguridad vial por Montenegro. Una coordinación interinstitucional con policía nacional y agentes de tránsito en un recorrido por el municipio para generar conciencia e impacto en la comunidad
</t>
    </r>
  </si>
  <si>
    <r>
      <rPr>
        <b/>
        <sz val="10"/>
        <rFont val="Calibri"/>
        <family val="2"/>
        <scheme val="minor"/>
      </rPr>
      <t>Observación</t>
    </r>
    <r>
      <rPr>
        <sz val="10"/>
        <rFont val="Calibri"/>
        <family val="2"/>
        <scheme val="minor"/>
      </rPr>
      <t xml:space="preserve">: No se encuentra definida la tasa nacional
</t>
    </r>
    <r>
      <rPr>
        <b/>
        <sz val="10"/>
        <rFont val="Calibri"/>
        <family val="2"/>
        <scheme val="minor"/>
      </rPr>
      <t xml:space="preserve">Secretaría de Familia: </t>
    </r>
    <r>
      <rPr>
        <sz val="10"/>
        <rFont val="Calibri"/>
        <family val="2"/>
        <scheme val="minor"/>
      </rPr>
      <t>la tasa de suicidios x 100 mil jóvenes es 7,2 según fuente de verificación, sin embargo la tasa nacional no fue encontrada en esta fuente.</t>
    </r>
    <r>
      <rPr>
        <b/>
        <sz val="10"/>
        <rFont val="Calibri"/>
        <family val="2"/>
        <scheme val="minor"/>
      </rPr>
      <t xml:space="preserve">
Secretaría de Salud:</t>
    </r>
    <r>
      <rPr>
        <sz val="10"/>
        <rFont val="Calibri"/>
        <family val="2"/>
        <scheme val="minor"/>
      </rPr>
      <t xml:space="preserve">  Desde el programa Convivencia Social y Salud Mental se orienta de manera permanente acompañamiento en términos de gestión del riesgo a las instituciones educativas de los 11 municipios de competencia departamental cuando  así lo requieran, mencionando también  el acompañamiento en la mitigación de las brechas de acceso en salud mental para la aplicación de tecnologías enmarcadas en la resolución 3280, y de la misma forma se capacita al personal de salud encargado de aplicar las mismas en los municipios. Generación de capacidad de asistencia técnica a instituciones educativas, instituciones de salud y demás que lo requieren frente a temas de atención en salud mental.
Se realizan actividades de garantía de los derechos en salud en relación al curso de vida JUVENTUD tales como el seguimiento a la gestión del riesgo en eventos de interés en salud mental como el 875 violencia intrafamiliar y 356 conducta suicida, en el que se realizan actividades de gestión  en relación a la activación de ruta en salud mental  referente a los casos reportados a través de la plataforma epidemiológica SIVIGILA (Sistema Nacional de Vigilancia en Salud Pública). Se han realizado además, asistencias técnicas en los temas de servicios amigables de salud para jóvenes y adolescentes.y demás que lo requieren frente a temas de atención en salud mental.
</t>
    </r>
    <r>
      <rPr>
        <b/>
        <sz val="10"/>
        <rFont val="Calibri"/>
        <family val="2"/>
        <scheme val="minor"/>
      </rPr>
      <t>Alcaldía Génova</t>
    </r>
    <r>
      <rPr>
        <sz val="10"/>
        <rFont val="Calibri"/>
        <family val="2"/>
        <scheme val="minor"/>
      </rPr>
      <t xml:space="preserve">: Prestación de servicios por el área de psicología a las personas que presenten problemas relacionados a su salud mental y así mismo remitir en caso tal de requerirse atención por el área de salud. - Realización de campañas, charlas y /o actividades en procura de  evitar problemas de salud mental que lleven a ideación o conducta suicida.
</t>
    </r>
    <r>
      <rPr>
        <b/>
        <sz val="10"/>
        <rFont val="Calibri"/>
        <family val="2"/>
        <scheme val="minor"/>
      </rPr>
      <t>Alcaldía de Armenia:</t>
    </r>
    <r>
      <rPr>
        <sz val="10"/>
        <rFont val="Calibri"/>
        <family val="2"/>
        <scheme val="minor"/>
      </rPr>
      <t xml:space="preserve"> Población cubierta con acciones de promoción de factores protectores frente a la conducta suicida, 5000 jóvenes 
</t>
    </r>
    <r>
      <rPr>
        <b/>
        <sz val="10"/>
        <rFont val="Calibri"/>
        <family val="2"/>
        <scheme val="minor"/>
      </rPr>
      <t>Alcaldía de Salento</t>
    </r>
    <r>
      <rPr>
        <sz val="10"/>
        <rFont val="Calibri"/>
        <family val="2"/>
        <scheme val="minor"/>
      </rPr>
      <t xml:space="preserve">: Sostenimiento de los programas de atención psicológica establecidos en el municipio.
</t>
    </r>
    <r>
      <rPr>
        <b/>
        <sz val="10"/>
        <rFont val="Calibri"/>
        <family val="2"/>
        <scheme val="minor"/>
      </rPr>
      <t>Alcaldía de Córdoba</t>
    </r>
    <r>
      <rPr>
        <sz val="10"/>
        <rFont val="Calibri"/>
        <family val="2"/>
        <scheme val="minor"/>
      </rPr>
      <t xml:space="preserve">: La Administración Municipal, por parte del Plan Local de Salud Territorial ha realizado campañas en contra del suicidio a la población en general, con el fin de evitar y prevenir estos casos en el municipio. 
 La información no puede ser socializada en porcentaje (%) por el municipio.       
</t>
    </r>
    <r>
      <rPr>
        <b/>
        <sz val="10"/>
        <rFont val="Calibri"/>
        <family val="2"/>
        <scheme val="minor"/>
      </rPr>
      <t xml:space="preserve">Alcaldía Filandia: </t>
    </r>
    <r>
      <rPr>
        <sz val="10"/>
        <rFont val="Calibri"/>
        <family val="2"/>
        <scheme val="minor"/>
      </rPr>
      <t xml:space="preserve"> El municipio de Filandia no cuenta con homicidios desde hace mas de 5 años  
</t>
    </r>
    <r>
      <rPr>
        <b/>
        <sz val="10"/>
        <rFont val="Calibri"/>
        <family val="2"/>
        <scheme val="minor"/>
      </rPr>
      <t xml:space="preserve">Alcaldía de Pijao: </t>
    </r>
    <r>
      <rPr>
        <sz val="10"/>
        <rFont val="Calibri"/>
        <family val="2"/>
        <scheme val="minor"/>
      </rPr>
      <t xml:space="preserve">1 capacitación sobre prevención al suicidio y rutas de atención, en la Institución Educativa Santa Teresita.
</t>
    </r>
    <r>
      <rPr>
        <b/>
        <sz val="10"/>
        <rFont val="Calibri"/>
        <family val="2"/>
        <scheme val="minor"/>
      </rPr>
      <t xml:space="preserve">Alcaldía de Calarcá: </t>
    </r>
    <r>
      <rPr>
        <sz val="10"/>
        <rFont val="Calibri"/>
        <family val="2"/>
        <scheme val="minor"/>
      </rPr>
      <t xml:space="preserve">Se han realizado talleres de prevencion del suicidio, manejo de emociones y habilidades para la vida en diferentes instituciones del municipio de Calarcá 
</t>
    </r>
    <r>
      <rPr>
        <b/>
        <sz val="10"/>
        <rFont val="Calibri"/>
        <family val="2"/>
        <scheme val="minor"/>
      </rPr>
      <t>Secretaría del Interior</t>
    </r>
    <r>
      <rPr>
        <sz val="10"/>
        <rFont val="Calibri"/>
        <family val="2"/>
        <scheme val="minor"/>
      </rPr>
      <t xml:space="preserve">: La tasa actual es de  7.2 por cada 100.000 jóvenes según informe de página JUACO, 2021.
</t>
    </r>
  </si>
  <si>
    <r>
      <t xml:space="preserve">Se ejecutó el seguimiento a la ejecución de los planes de acción en un 100%.   </t>
    </r>
    <r>
      <rPr>
        <b/>
        <sz val="10"/>
        <rFont val="Calibri"/>
        <family val="2"/>
        <scheme val="minor"/>
      </rPr>
      <t xml:space="preserve">                                              
Secretaría del Interior: </t>
    </r>
    <r>
      <rPr>
        <sz val="10"/>
        <rFont val="Calibri"/>
        <family val="2"/>
        <scheme val="minor"/>
      </rPr>
      <t xml:space="preserve">Se realizó la actualización del plan integral departamental de derechos humanos donde se establece la ruta de protección y el plan de prevención de derechos humanos. Cada municipio tiene el plan integral de prevención de derechos humanos.    
</t>
    </r>
  </si>
  <si>
    <r>
      <rPr>
        <b/>
        <sz val="10"/>
        <rFont val="Calibri"/>
        <family val="2"/>
        <scheme val="minor"/>
      </rPr>
      <t xml:space="preserve">Observación: </t>
    </r>
    <r>
      <rPr>
        <sz val="10"/>
        <rFont val="Calibri"/>
        <family val="2"/>
        <scheme val="minor"/>
      </rPr>
      <t>No se encuentra definida la tasa nacional</t>
    </r>
    <r>
      <rPr>
        <b/>
        <sz val="10"/>
        <rFont val="Calibri"/>
        <family val="2"/>
        <scheme val="minor"/>
      </rPr>
      <t xml:space="preserve">
Secretaría del Interior:</t>
    </r>
    <r>
      <rPr>
        <sz val="10"/>
        <rFont val="Calibri"/>
        <family val="2"/>
        <scheme val="minor"/>
      </rPr>
      <t xml:space="preserve"> Se realizó en el primer trimestre, donde se actualizó el plan integral departamental de derechos humanos, estableciendo la ruta de protección y el plan de prevención de derechos humanos. Cada municipio cuenta con el plan integral. 
</t>
    </r>
    <r>
      <rPr>
        <b/>
        <sz val="10"/>
        <rFont val="Calibri"/>
        <family val="2"/>
        <scheme val="minor"/>
      </rPr>
      <t xml:space="preserve">Secretaría de Familia: </t>
    </r>
    <r>
      <rPr>
        <sz val="10"/>
        <rFont val="Calibri"/>
        <family val="2"/>
        <scheme val="minor"/>
      </rPr>
      <t xml:space="preserve">la tasa de violencia intrafamiliar x 100 mil jóvenes es del 12,27% según fuente de verificación, sin embargo la tasa nacional no fue encontrada en esta fuente.
</t>
    </r>
    <r>
      <rPr>
        <b/>
        <sz val="10"/>
        <rFont val="Calibri"/>
        <family val="2"/>
        <scheme val="minor"/>
      </rPr>
      <t xml:space="preserve">Secretaria de Salud: </t>
    </r>
    <r>
      <rPr>
        <sz val="10"/>
        <rFont val="Calibri"/>
        <family val="2"/>
        <scheme val="minor"/>
      </rPr>
      <t>Desde el Programa Convivencia Social y Salud Mental se realizaron asistencias técnicas en los temas de servicios amigables de salud para jóvenes y adolescentes en los municipios de Filandia, Circasia, Salento, Pijao, Génova, Córdoba, Buenavista, Calarcá, Quimbaya, La Tebaida y Montenegro como también se socializó con líderes COVECOM de los municipios de tebaida y Quimbaya. 
Se realizaron asistencias técnicas extraordinarias con los municipios de Circasia y La Tebaida para revisión del seguimiento a la activación de ruta en los casos de violencia de género e intrafamiliar.
Se realizó asistencia técnica sobre Rutas de atención en salud mental sobre intento de Suicidio y Violencias de Género, en  los once (11) municipios de competencia departamental. 2 presenciales en campo, el resto de municipios en una reunión que fueron invitados.
Se realiza intervención sobre la importancia del cuidado de la salud mental para prevenir el suicidio, con los grado 11 de algunos I. E de la Tebaida, y se hizo esta misma charla con todos los grados de secundaria de la I. E Antonio Nariño de Calarcá.</t>
    </r>
  </si>
  <si>
    <r>
      <t xml:space="preserve">Secretaría del Interior: </t>
    </r>
    <r>
      <rPr>
        <sz val="10"/>
        <rFont val="Calibri"/>
        <family val="2"/>
        <scheme val="minor"/>
      </rPr>
      <t xml:space="preserve">En fuentes oficiales no se tiene registro de información referente al reclutamiento de jóvenes víctimas del conflicto armado. Para la prevención se han realizado jornadas de sensibilización, prevención y socialización del reclutamiento y forzado y jornada de sensibilización sobre trata de personas.
</t>
    </r>
    <r>
      <rPr>
        <b/>
        <sz val="10"/>
        <rFont val="Calibri"/>
        <family val="2"/>
        <scheme val="minor"/>
      </rPr>
      <t>Policía Nacional:</t>
    </r>
    <r>
      <rPr>
        <sz val="10"/>
        <rFont val="Calibri"/>
        <family val="2"/>
        <scheme val="minor"/>
      </rPr>
      <t xml:space="preserve"> El Grupo de Protección a la Infancia y Adolescencia realizó durante el periodo comprendido de julio a septiembre realizó en los 12 municipios del departamento, mas de 32 acciones de prevención, actividades enmarcadas en el cumplimiento de la política de prevención del reclutamiento y utilización de niños, niñas, adolescentes por parte de los grupos armados organizados al margen de la ley y de los grupos delictivos organizados, logrando sensibilizar y beneficiar a más de 1.850 personas, en lo corrido de esta vigencia no se cuenta con denuncias antes este grupo por  reclutamiento de jovénes victimas en la región. </t>
    </r>
  </si>
  <si>
    <r>
      <t xml:space="preserve">
</t>
    </r>
    <r>
      <rPr>
        <b/>
        <sz val="10"/>
        <rFont val="Calibri"/>
        <family val="2"/>
        <scheme val="minor"/>
      </rPr>
      <t>Alcaldía Quimbaya:</t>
    </r>
    <r>
      <rPr>
        <sz val="10"/>
        <rFont val="Calibri"/>
        <family val="2"/>
        <scheme val="minor"/>
      </rPr>
      <t xml:space="preserve"> Actualmente las siete (7) instituciones educativas cuentan con las Zonas de Orientación Escolar, donde se trabaja el PESCC
</t>
    </r>
    <r>
      <rPr>
        <b/>
        <sz val="10"/>
        <rFont val="Calibri"/>
        <family val="2"/>
        <scheme val="minor"/>
      </rPr>
      <t>Alcaldía Salento:</t>
    </r>
    <r>
      <rPr>
        <sz val="10"/>
        <rFont val="Calibri"/>
        <family val="2"/>
        <scheme val="minor"/>
      </rPr>
      <t xml:space="preserve"> Sostenimiento de los programas de atención psicológica establecidos en el municipio.
</t>
    </r>
    <r>
      <rPr>
        <b/>
        <sz val="10"/>
        <rFont val="Calibri"/>
        <family val="2"/>
        <scheme val="minor"/>
      </rPr>
      <t>Alcaldía de Córdoba:</t>
    </r>
    <r>
      <rPr>
        <sz val="10"/>
        <rFont val="Calibri"/>
        <family val="2"/>
        <scheme val="minor"/>
      </rPr>
      <t xml:space="preserve"> para el primer trimestre no se han realizado acciones pare este indicador, pero se ha adelantado el proceso de convenio por medio del PIC con el ESE San Roque que se encarga de estos proyectos ya que cuenta con el personal idóneo en materia de educación sexual.
</t>
    </r>
    <r>
      <rPr>
        <b/>
        <sz val="10"/>
        <rFont val="Calibri"/>
        <family val="2"/>
        <scheme val="minor"/>
      </rPr>
      <t xml:space="preserve">Alcaldía de Montenegro: </t>
    </r>
    <r>
      <rPr>
        <sz val="10"/>
        <rFont val="Calibri"/>
        <family val="2"/>
        <scheme val="minor"/>
      </rPr>
      <t xml:space="preserve">se han realizado talleres enfocados en el autoestima al igual que talleres sobre la promoción del respeto y la garantía de los derechos sexuales y la igualdad entre hombres y mujeres.
</t>
    </r>
    <r>
      <rPr>
        <b/>
        <sz val="10"/>
        <rFont val="Calibri"/>
        <family val="2"/>
        <scheme val="minor"/>
      </rPr>
      <t xml:space="preserve">Alcaldía de Pijao: </t>
    </r>
    <r>
      <rPr>
        <sz val="10"/>
        <rFont val="Calibri"/>
        <family val="2"/>
        <scheme val="minor"/>
      </rPr>
      <t xml:space="preserve">Se llevó a cabo la proyección de la dimensión de salud sexual, derechos sexuales y reproductivos
</t>
    </r>
    <r>
      <rPr>
        <b/>
        <sz val="10"/>
        <rFont val="Calibri"/>
        <family val="2"/>
        <scheme val="minor"/>
      </rPr>
      <t xml:space="preserve">Alcaldía de Calarcá: </t>
    </r>
    <r>
      <rPr>
        <sz val="10"/>
        <rFont val="Calibri"/>
        <family val="2"/>
        <scheme val="minor"/>
      </rPr>
      <t xml:space="preserve">se realizaron 5 talleres a grupos focales de jóvenes de 14 a 28 años en riesgo en el marco de la implementacion de la política pública de juventud en 4 instituciones educativas del municipio de Calarcá. Por otra parte, se realizó un taller para socializar la ley estatutaria de juventudes con los líderes de consejos estudiantiles de las 14 instituciones del municipio.
</t>
    </r>
    <r>
      <rPr>
        <b/>
        <sz val="10"/>
        <rFont val="Calibri"/>
        <family val="2"/>
        <scheme val="minor"/>
      </rPr>
      <t>Alcaldía de Armenia:</t>
    </r>
    <r>
      <rPr>
        <sz val="10"/>
        <rFont val="Calibri"/>
        <family val="2"/>
        <scheme val="minor"/>
      </rPr>
      <t xml:space="preserve"> Personas sensibilizadas en el cuidado de la salud sexual y derechos sexuales y reproductivos (410 participantes).
A</t>
    </r>
    <r>
      <rPr>
        <b/>
        <sz val="10"/>
        <rFont val="Calibri"/>
        <family val="2"/>
        <scheme val="minor"/>
      </rPr>
      <t>lcaldia Buenavista: L</t>
    </r>
    <r>
      <rPr>
        <sz val="10"/>
        <rFont val="Calibri"/>
        <family val="2"/>
        <scheme val="minor"/>
      </rPr>
      <t xml:space="preserve">as instituciones educativas del municipio, tienen el Proyecto Educativo Institucional PEI, en el cual abordan estos temas por medio de campañas o talleres, también dede la comisaría de familia se realizan campañas a nivel municipal, que involucran a las instituciones educativas.
</t>
    </r>
    <r>
      <rPr>
        <b/>
        <sz val="10"/>
        <rFont val="Calibri"/>
        <family val="2"/>
        <scheme val="minor"/>
      </rPr>
      <t xml:space="preserve">Secretaría de Educación: </t>
    </r>
    <r>
      <rPr>
        <sz val="10"/>
        <rFont val="Calibri"/>
        <family val="2"/>
        <scheme val="minor"/>
      </rPr>
      <t xml:space="preserve">Acompañamiento a 48 instituciones educativas con proyectos de educación sexual y construcción de ciudadanía  </t>
    </r>
  </si>
  <si>
    <r>
      <rPr>
        <b/>
        <sz val="10"/>
        <rFont val="Calibri"/>
        <family val="2"/>
        <scheme val="minor"/>
      </rPr>
      <t xml:space="preserve">Observación: </t>
    </r>
    <r>
      <rPr>
        <sz val="10"/>
        <rFont val="Calibri"/>
        <family val="2"/>
        <scheme val="minor"/>
      </rPr>
      <t xml:space="preserve">Según el observatorio de Drogas los últimos datos corresponden al año 2013 y el Quindío se sitúa por encima de la media nacional.
</t>
    </r>
    <r>
      <rPr>
        <b/>
        <sz val="10"/>
        <rFont val="Calibri"/>
        <family val="2"/>
        <scheme val="minor"/>
      </rPr>
      <t>Secretaría de Salud:</t>
    </r>
    <r>
      <rPr>
        <sz val="10"/>
        <rFont val="Calibri"/>
        <family val="2"/>
        <scheme val="minor"/>
      </rPr>
      <t xml:space="preserve"> Actualmente el Quindío no cuenta con un Plan Departamental de Reducción del Consumo de Sustancias Psicoactivas dado que su vigencia fue hasta el 2019, sin embargo, se están realizando acciones en el marco de la Resolución 089 Por la cual se adopta la Política Integral para la Prevención y Atención del Consumo de Sustancias Psicoactivas, es de anotar que este trimestre se envió para revisión la propuesta de Decreto y se ajustó el Plan de Acción para la adopción de la Resolución 089.
</t>
    </r>
    <r>
      <rPr>
        <b/>
        <sz val="10"/>
        <rFont val="Calibri"/>
        <family val="2"/>
        <scheme val="minor"/>
      </rPr>
      <t>Secretaría del Interior</t>
    </r>
    <r>
      <rPr>
        <sz val="10"/>
        <rFont val="Calibri"/>
        <family val="2"/>
        <scheme val="minor"/>
      </rPr>
      <t xml:space="preserve">: Se impactó a  diez (10) jóvenes en la sede fundación familiar pro-rehabilitacion de farmacodependientes FARO modalidad internado sede San Carlos con Capacitación en el código nacional de seguridad y convivencia ciudadana de conformidad para promover la resolución pacífica de conflictos.  
</t>
    </r>
    <r>
      <rPr>
        <b/>
        <sz val="10"/>
        <rFont val="Calibri"/>
        <family val="2"/>
        <scheme val="minor"/>
      </rPr>
      <t>Secretaría de Familia</t>
    </r>
    <r>
      <rPr>
        <sz val="10"/>
        <rFont val="Calibri"/>
        <family val="2"/>
        <scheme val="minor"/>
      </rPr>
      <t xml:space="preserve">: La prevalencia de consumo de sustancias psicoactivas en escolares y último año en escolares es del  6,8% según fuente de verificación,  sin embargo la tasa nacional no fue encontrada en esta fuente.
</t>
    </r>
    <r>
      <rPr>
        <b/>
        <sz val="10"/>
        <rFont val="Calibri"/>
        <family val="2"/>
        <scheme val="minor"/>
      </rPr>
      <t>Secretaría de Educación</t>
    </r>
    <r>
      <rPr>
        <sz val="10"/>
        <rFont val="Calibri"/>
        <family val="2"/>
        <scheme val="minor"/>
      </rPr>
      <t xml:space="preserve">: La Secretaría de Educación Departamental no lleva dentro de sus datos estadísticos, el número o porcentaje de estudiantes con prevalencia de consumo de sustancias psicoactivas, No obstante. A través de la Dirección de Cobertura Educativa se formula e implenta un trabajo dirigido al sector educativo:"Entidades territoriales con estrategias para la prevención de riesgos sociales en los entornos escolares implementadas" .
</t>
    </r>
    <r>
      <rPr>
        <b/>
        <sz val="10"/>
        <rFont val="Calibri"/>
        <family val="2"/>
        <scheme val="minor"/>
      </rPr>
      <t>Secretaría del Interior:</t>
    </r>
    <r>
      <rPr>
        <sz val="10"/>
        <rFont val="Calibri"/>
        <family val="2"/>
        <scheme val="minor"/>
      </rPr>
      <t xml:space="preserve"> Se tienen 4 jóvenes dentro del programa de seguimiento judicial al tratamiento de drogas en el sistema penal para adolescentes que se encuentran privados de la libertad, para el estudio de sus casos
</t>
    </r>
    <r>
      <rPr>
        <b/>
        <sz val="10"/>
        <rFont val="Calibri"/>
        <family val="2"/>
        <scheme val="minor"/>
      </rPr>
      <t>Alcaldia Armenia:</t>
    </r>
    <r>
      <rPr>
        <sz val="10"/>
        <rFont val="Calibri"/>
        <family val="2"/>
        <scheme val="minor"/>
      </rPr>
      <t>Población cubierta con acciones educativas para el fortalecimiento de habilidades psicosociales, difusión de riesgos relacionados a la salud mental 4419 jóvenes beneficiados.
A</t>
    </r>
    <r>
      <rPr>
        <b/>
        <sz val="10"/>
        <rFont val="Calibri"/>
        <family val="2"/>
        <scheme val="minor"/>
      </rPr>
      <t>lcaldia Montenegro:</t>
    </r>
    <r>
      <rPr>
        <sz val="10"/>
        <rFont val="Calibri"/>
        <family val="2"/>
        <scheme val="minor"/>
      </rPr>
      <t xml:space="preserve"> se han realizado talleres en los colegios sobre prevención al consumo de spa y salud mental al igual que intervenciones para activación de rutas en salud mental
</t>
    </r>
    <r>
      <rPr>
        <b/>
        <sz val="10"/>
        <rFont val="Calibri"/>
        <family val="2"/>
        <scheme val="minor"/>
      </rPr>
      <t>Alcaldia Calarcá:</t>
    </r>
    <r>
      <rPr>
        <sz val="10"/>
        <rFont val="Calibri"/>
        <family val="2"/>
        <scheme val="minor"/>
      </rPr>
      <t xml:space="preserve"> se realizó una jornada ppedagogica en articulación con la subsecretaria de cultura en la fundacion familiar FARO, sede san gabriel del municipio de calarcá 
</t>
    </r>
    <r>
      <rPr>
        <b/>
        <sz val="10"/>
        <rFont val="Calibri"/>
        <family val="2"/>
        <scheme val="minor"/>
      </rPr>
      <t>Alcaldia Buenavista:</t>
    </r>
    <r>
      <rPr>
        <sz val="10"/>
        <rFont val="Calibri"/>
        <family val="2"/>
        <scheme val="minor"/>
      </rPr>
      <t xml:space="preserve"> Las instituciones educativas del municipio, tiene el Proyecto Educativo Institucional PEI, en el cual abordan estos temas por medio de campañas o talleres, tambien dede la comisaria de familia se realizan campañas a nivel municipal, que involucran a las instituciones educativas
</t>
    </r>
    <r>
      <rPr>
        <b/>
        <sz val="10"/>
        <rFont val="Calibri"/>
        <family val="2"/>
        <scheme val="minor"/>
      </rPr>
      <t xml:space="preserve">Alcaldía de Pijao: </t>
    </r>
    <r>
      <rPr>
        <sz val="10"/>
        <rFont val="Calibri"/>
        <family val="2"/>
        <scheme val="minor"/>
      </rPr>
      <t xml:space="preserve">Se llevó a cabo la proyección de la dimensión de salud mental y convivencia social.
</t>
    </r>
    <r>
      <rPr>
        <b/>
        <sz val="10"/>
        <rFont val="Calibri"/>
        <family val="2"/>
        <scheme val="minor"/>
      </rPr>
      <t>Alcaldia Quimbaya:</t>
    </r>
    <r>
      <rPr>
        <sz val="10"/>
        <rFont val="Calibri"/>
        <family val="2"/>
        <scheme val="minor"/>
      </rPr>
      <t xml:space="preserve"> Este indicador no es claro en su medición. El municipio realiza campañas en entornos escolares para prevenir el consumo de sustencias psicoactivas.
</t>
    </r>
  </si>
  <si>
    <r>
      <rPr>
        <b/>
        <sz val="10"/>
        <rFont val="Calibri"/>
        <family val="2"/>
        <scheme val="minor"/>
      </rPr>
      <t xml:space="preserve">Secretaría de Familia: </t>
    </r>
    <r>
      <rPr>
        <sz val="10"/>
        <rFont val="Calibri"/>
        <family val="2"/>
        <scheme val="minor"/>
      </rPr>
      <t xml:space="preserve">el número de embarazos en menores de 20 años es de 4358 según fuente de verificación. 
</t>
    </r>
    <r>
      <rPr>
        <b/>
        <sz val="10"/>
        <rFont val="Calibri"/>
        <family val="2"/>
        <scheme val="minor"/>
      </rPr>
      <t xml:space="preserve">Secretaría de Salud: </t>
    </r>
    <r>
      <rPr>
        <sz val="10"/>
        <rFont val="Calibri"/>
        <family val="2"/>
        <scheme val="minor"/>
      </rPr>
      <t xml:space="preserve">Se realizaron talleres pedagógicos con  289 padres de familia y 686 estudiantes para el tema salud sexual reproductiva en las que se trataron derechos sexuales y reproductivos, prevención del embarazo en adolescentes, prevención del embarazo subsiguiente, ruta y proceso de acercamiento a las IPS para adolescentes
</t>
    </r>
    <r>
      <rPr>
        <b/>
        <sz val="10"/>
        <rFont val="Calibri"/>
        <family val="2"/>
        <scheme val="minor"/>
      </rPr>
      <t>Alcaldía Buenavista:</t>
    </r>
    <r>
      <rPr>
        <sz val="10"/>
        <rFont val="Calibri"/>
        <family val="2"/>
        <scheme val="minor"/>
      </rPr>
      <t xml:space="preserve"> Las instituciones educativas del municipio, tiene el Proyecto Educativo Institucional PEI, en el cual abordan estos temas por medio de campañas o talleres, también debe la comisaria de familia se realizan campañas a nivel municipal, que involucran a las instituciones educativas.
</t>
    </r>
    <r>
      <rPr>
        <b/>
        <sz val="10"/>
        <rFont val="Calibri"/>
        <family val="2"/>
        <scheme val="minor"/>
      </rPr>
      <t xml:space="preserve">Alcaldía Armenia: </t>
    </r>
    <r>
      <rPr>
        <sz val="10"/>
        <rFont val="Calibri"/>
        <family val="2"/>
        <scheme val="minor"/>
      </rPr>
      <t xml:space="preserve">Adolescentes de las comunas más afectadas por embarazo no deseado cubiertos con estrategia del Servicio Amigable Itinerante, 2469 jóvenes impactados. 
</t>
    </r>
    <r>
      <rPr>
        <b/>
        <sz val="10"/>
        <rFont val="Calibri"/>
        <family val="2"/>
        <scheme val="minor"/>
      </rPr>
      <t xml:space="preserve">Alcaldía de Salento: </t>
    </r>
    <r>
      <rPr>
        <sz val="10"/>
        <rFont val="Calibri"/>
        <family val="2"/>
        <scheme val="minor"/>
      </rPr>
      <t xml:space="preserve">Sostenimiento de los programas de atención psicológica establecidos en el municipio.
</t>
    </r>
    <r>
      <rPr>
        <b/>
        <sz val="10"/>
        <rFont val="Calibri"/>
        <family val="2"/>
        <scheme val="minor"/>
      </rPr>
      <t>Alcaldía de Montenegro:</t>
    </r>
    <r>
      <rPr>
        <sz val="10"/>
        <rFont val="Calibri"/>
        <family val="2"/>
        <scheme val="minor"/>
      </rPr>
      <t xml:space="preserve"> al momento se registran 51 embarazos en adolescentes menores de 20 años
</t>
    </r>
    <r>
      <rPr>
        <b/>
        <sz val="10"/>
        <rFont val="Calibri"/>
        <family val="2"/>
        <scheme val="minor"/>
      </rPr>
      <t>Alcaldía de Calarcá</t>
    </r>
    <r>
      <rPr>
        <sz val="10"/>
        <rFont val="Calibri"/>
        <family val="2"/>
        <scheme val="minor"/>
      </rPr>
      <t xml:space="preserve">: Se realizaron dos jornadas de prevención del suicidio y de sexualidad responsable, en la Institución educativa San Rafael con los integrantes de a red comunitaria instalada allí, se beneficiaron 22 jóvenes, además se les socializó la línea de atención psicosocial del municipio.               
</t>
    </r>
    <r>
      <rPr>
        <b/>
        <sz val="10"/>
        <rFont val="Calibri"/>
        <family val="2"/>
        <scheme val="minor"/>
      </rPr>
      <t xml:space="preserve">ICBF: </t>
    </r>
    <r>
      <rPr>
        <sz val="10"/>
        <rFont val="Calibri"/>
        <family val="2"/>
        <scheme val="minor"/>
      </rPr>
      <t>Formación en Agentes en Derechos Sexuales y Reprouductivos 
Asistencia Téncia en temas de Prevención de Derechos Sexuales y Reproductivos 
Acompañamiento en los PESCC de las I.E del Departamento a demanda de las instotuiones 
*Para el presente trimestre se esta cumplimiento con 73 agentes para la meta total del cuatrenio
A</t>
    </r>
    <r>
      <rPr>
        <b/>
        <sz val="10"/>
        <rFont val="Calibri"/>
        <family val="2"/>
        <scheme val="minor"/>
      </rPr>
      <t xml:space="preserve">lcadia Buenavista:  </t>
    </r>
    <r>
      <rPr>
        <sz val="10"/>
        <rFont val="Calibri"/>
        <family val="2"/>
        <scheme val="minor"/>
      </rPr>
      <t xml:space="preserve">las instituciones educativas del municipio, tiene el Proyecto Educativo Institucional PEI, en el cual abordan estos temas por medio de campañas o talleres, tambien dede la comisaria de familia se realizan campañas a nivel municipal, que involucran a las instituciones educativas.
</t>
    </r>
    <r>
      <rPr>
        <b/>
        <sz val="10"/>
        <rFont val="Calibri"/>
        <family val="2"/>
        <scheme val="minor"/>
      </rPr>
      <t>Alcaldia Calarca:</t>
    </r>
    <r>
      <rPr>
        <sz val="10"/>
        <rFont val="Calibri"/>
        <family val="2"/>
        <scheme val="minor"/>
      </rPr>
      <t xml:space="preserve"> Seguimiento a casos de interés en salud pública, embarazos en adolescentes, celebración de la Semana Andina, conversatorio para la prevención del embarazo y salud sexual en adolescentes.
</t>
    </r>
    <r>
      <rPr>
        <b/>
        <sz val="10"/>
        <rFont val="Calibri"/>
        <family val="2"/>
        <scheme val="minor"/>
      </rPr>
      <t xml:space="preserve">Alcaldía de Pijao: </t>
    </r>
    <r>
      <rPr>
        <sz val="10"/>
        <rFont val="Calibri"/>
        <family val="2"/>
        <scheme val="minor"/>
      </rPr>
      <t xml:space="preserve">Se llevó a cabo la proyección de la dimensión de salud sexual, derechos sexuales y reproductivos.
</t>
    </r>
    <r>
      <rPr>
        <b/>
        <sz val="10"/>
        <rFont val="Calibri"/>
        <family val="2"/>
        <scheme val="minor"/>
      </rPr>
      <t xml:space="preserve">Alcaldía Córdoba: </t>
    </r>
    <r>
      <rPr>
        <sz val="10"/>
        <rFont val="Calibri"/>
        <family val="2"/>
        <scheme val="minor"/>
      </rPr>
      <t xml:space="preserve">en el municipio de Córdoba Quindío se encuentra un total de 5 jóvenes en embarazo mayores de 14 y menores de 20.
</t>
    </r>
  </si>
  <si>
    <r>
      <rPr>
        <b/>
        <sz val="10"/>
        <rFont val="Calibri"/>
        <family val="2"/>
        <scheme val="minor"/>
      </rPr>
      <t xml:space="preserve">Secretaria de Familia: </t>
    </r>
    <r>
      <rPr>
        <sz val="10"/>
        <rFont val="Calibri"/>
        <family val="2"/>
        <scheme val="minor"/>
      </rPr>
      <t xml:space="preserve"> Los datos corresponden a la suma de los tres trimestres 2023.</t>
    </r>
    <r>
      <rPr>
        <b/>
        <sz val="10"/>
        <rFont val="Calibri"/>
        <family val="2"/>
        <scheme val="minor"/>
      </rPr>
      <t xml:space="preserve">
Indeportes:</t>
    </r>
    <r>
      <rPr>
        <sz val="10"/>
        <rFont val="Calibri"/>
        <family val="2"/>
        <scheme val="minor"/>
      </rPr>
      <t xml:space="preserve">   1 deportista de la Liga de Atletismo del Quindío participó de Torneo en Sevilla-España. 3 deportistas de taekwondo que participaron en campeonato internacional. Deportista de Atletismo que participó en Juegos Centro Americanos y de Caribe 2023 obteniendo medalla de bronce. Deportista femenina de atletismo,  participó en Alemania en prueba de media maratón, Otra atleta femenina participó en el Campeonato Iberoamericano de Atletismo en la prueba de salto alto ocupando el cuarto lugar. Un deportista masculino de bowling participó en los juegos Centro americanos y del Caribe obteniendo medallas de oro, plata y bronce.</t>
    </r>
    <r>
      <rPr>
        <b/>
        <sz val="10"/>
        <rFont val="Calibri"/>
        <family val="2"/>
        <scheme val="minor"/>
      </rPr>
      <t xml:space="preserve">
Alcaldía de Filandia:</t>
    </r>
    <r>
      <rPr>
        <sz val="10"/>
        <rFont val="Calibri"/>
        <family val="2"/>
        <scheme val="minor"/>
      </rPr>
      <t xml:space="preserve"> 1 joven.
</t>
    </r>
    <r>
      <rPr>
        <b/>
        <sz val="10"/>
        <rFont val="Calibri"/>
        <family val="2"/>
        <scheme val="minor"/>
      </rPr>
      <t>Alcaldía la Tebaida:</t>
    </r>
    <r>
      <rPr>
        <sz val="10"/>
        <rFont val="Calibri"/>
        <family val="2"/>
        <scheme val="minor"/>
      </rPr>
      <t xml:space="preserve"> en el mes de julio se contó con 56 jóvenes para representar al Municipio en los juegos Intercolegiados del Departamento.
</t>
    </r>
    <r>
      <rPr>
        <b/>
        <sz val="10"/>
        <rFont val="Calibri"/>
        <family val="2"/>
        <scheme val="minor"/>
      </rPr>
      <t>Alcaldía Córdoba:</t>
    </r>
    <r>
      <rPr>
        <sz val="10"/>
        <rFont val="Calibri"/>
        <family val="2"/>
        <scheme val="minor"/>
      </rPr>
      <t xml:space="preserve"> El municipio cuanta con las escuelas de formación deportiva y el centro de alto rendimiento gimnasio, en donde los jóvenes realizan la actividad física. 
</t>
    </r>
    <r>
      <rPr>
        <b/>
        <sz val="10"/>
        <rFont val="Calibri"/>
        <family val="2"/>
        <scheme val="minor"/>
      </rPr>
      <t xml:space="preserve">Alcaldía Salento: </t>
    </r>
    <r>
      <rPr>
        <sz val="10"/>
        <rFont val="Calibri"/>
        <family val="2"/>
        <scheme val="minor"/>
      </rPr>
      <t xml:space="preserve">Sostenimiento de los programas de atención psicosocial establecidos en el municipio.
</t>
    </r>
    <r>
      <rPr>
        <b/>
        <sz val="10"/>
        <rFont val="Calibri"/>
        <family val="2"/>
        <scheme val="minor"/>
      </rPr>
      <t xml:space="preserve">Alcaldía de pijao: </t>
    </r>
    <r>
      <rPr>
        <sz val="10"/>
        <rFont val="Calibri"/>
        <family val="2"/>
        <scheme val="minor"/>
      </rPr>
      <t xml:space="preserve">DANIEL VACA atletismo, segundo en los juegos departamentales. Selección juvenil de fútbol, segundo a nivel departamental, selección de fútbol de salon segundos a nivel departamental; baloncesto juvenil tercera a nivel departamental, selección de baloncesto femenina segunda a nivel departamental.
</t>
    </r>
    <r>
      <rPr>
        <b/>
        <sz val="10"/>
        <rFont val="Calibri"/>
        <family val="2"/>
        <scheme val="minor"/>
      </rPr>
      <t>Alcaldia Armenia:</t>
    </r>
    <r>
      <rPr>
        <sz val="10"/>
        <rFont val="Calibri"/>
        <family val="2"/>
        <scheme val="minor"/>
      </rPr>
      <t xml:space="preserve"> apoyo  a deportistas, clubes deportivos, ligas deportivas y organizaciones afines al deporte. 23 escuelas  
</t>
    </r>
    <r>
      <rPr>
        <b/>
        <sz val="10"/>
        <rFont val="Calibri"/>
        <family val="2"/>
        <scheme val="minor"/>
      </rPr>
      <t>Alcaldia Montenegro:</t>
    </r>
    <r>
      <rPr>
        <sz val="10"/>
        <rFont val="Calibri"/>
        <family val="2"/>
        <scheme val="minor"/>
      </rPr>
      <t xml:space="preserve"> Se participó en campeonato internacional de hiphop españa</t>
    </r>
  </si>
  <si>
    <r>
      <rPr>
        <b/>
        <sz val="10"/>
        <rFont val="Calibri"/>
        <family val="2"/>
        <scheme val="minor"/>
      </rPr>
      <t xml:space="preserve">Indeportes: </t>
    </r>
    <r>
      <rPr>
        <sz val="10"/>
        <rFont val="Calibri"/>
        <family val="2"/>
        <scheme val="minor"/>
      </rPr>
      <t>115 deportistas jóvenes quindianos de alto rendimiento apoyados en la preparación para Juegos Nacionales y Paranacionales 2023.</t>
    </r>
  </si>
  <si>
    <r>
      <rPr>
        <b/>
        <sz val="10"/>
        <rFont val="Calibri"/>
        <family val="2"/>
        <scheme val="minor"/>
      </rPr>
      <t>Indeportes:</t>
    </r>
    <r>
      <rPr>
        <sz val="10"/>
        <rFont val="Calibri"/>
        <family val="2"/>
        <scheme val="minor"/>
      </rPr>
      <t xml:space="preserve"> 20 deportistas jóvenes de alto rendimiento apoyados económicamente de manera mensual</t>
    </r>
  </si>
  <si>
    <r>
      <rPr>
        <b/>
        <sz val="10"/>
        <rFont val="Calibri"/>
        <family val="2"/>
        <scheme val="minor"/>
      </rPr>
      <t>Se beneficiaron en total 7592 jóvenes</t>
    </r>
    <r>
      <rPr>
        <sz val="10"/>
        <rFont val="Calibri"/>
        <family val="2"/>
        <scheme val="minor"/>
      </rPr>
      <t xml:space="preserve">
</t>
    </r>
    <r>
      <rPr>
        <b/>
        <sz val="10"/>
        <rFont val="Calibri"/>
        <family val="2"/>
        <scheme val="minor"/>
      </rPr>
      <t>Alcaldía Salento:</t>
    </r>
    <r>
      <rPr>
        <sz val="10"/>
        <rFont val="Calibri"/>
        <family val="2"/>
        <scheme val="minor"/>
      </rPr>
      <t xml:space="preserve"> Fortalecimiento y apoyo a las Escuelas de Formación Deportiva, reactivación de torneos de fútbol, fútbol de salón.
</t>
    </r>
    <r>
      <rPr>
        <b/>
        <sz val="10"/>
        <rFont val="Calibri"/>
        <family val="2"/>
        <scheme val="minor"/>
      </rPr>
      <t xml:space="preserve">Alcaldía de Buenavista: </t>
    </r>
    <r>
      <rPr>
        <sz val="10"/>
        <rFont val="Calibri"/>
        <family val="2"/>
        <scheme val="minor"/>
      </rPr>
      <t xml:space="preserve"> el Municipio cuenta con grupo de 30 adultos que trabajan de manera semanal aeróbicos y otro grupo de adultos que trabajan de 20 adultos que trabajan actividad física moderada y se cuenta con dos grupos de 60 adultos mayores que trabajan actividad fisica moderada de manera mensual.
</t>
    </r>
    <r>
      <rPr>
        <b/>
        <sz val="10"/>
        <rFont val="Calibri"/>
        <family val="2"/>
        <scheme val="minor"/>
      </rPr>
      <t>Alcaldía Córdoba:</t>
    </r>
    <r>
      <rPr>
        <sz val="10"/>
        <rFont val="Calibri"/>
        <family val="2"/>
        <scheme val="minor"/>
      </rPr>
      <t xml:space="preserve"> Por medio de las escuelas de formacion deportiva participan en las actividades fisicas un total de 223.
</t>
    </r>
    <r>
      <rPr>
        <b/>
        <sz val="10"/>
        <rFont val="Calibri"/>
        <family val="2"/>
        <scheme val="minor"/>
      </rPr>
      <t>Alcaldia Calarca:</t>
    </r>
    <r>
      <rPr>
        <sz val="10"/>
        <rFont val="Calibri"/>
        <family val="2"/>
        <scheme val="minor"/>
      </rPr>
      <t xml:space="preserve"> Desde la Subsecretaría de educación, recreación y deporte se ofrecen los programas de atletismo, fútbol urbano, fútbol rural, patinaje, voleibol, baloncesto, fútbol de salón, fitnes kits.
</t>
    </r>
    <r>
      <rPr>
        <b/>
        <sz val="10"/>
        <rFont val="Calibri"/>
        <family val="2"/>
        <scheme val="minor"/>
      </rPr>
      <t>Alcaldía de la Tebaida:</t>
    </r>
    <r>
      <rPr>
        <sz val="10"/>
        <rFont val="Calibri"/>
        <family val="2"/>
        <scheme val="minor"/>
      </rPr>
      <t xml:space="preserve">  177 jóvenes reportados por las escuelas deportivas.
</t>
    </r>
    <r>
      <rPr>
        <b/>
        <sz val="10"/>
        <rFont val="Calibri"/>
        <family val="2"/>
        <scheme val="minor"/>
      </rPr>
      <t>Alcaldía Génova:</t>
    </r>
    <r>
      <rPr>
        <sz val="10"/>
        <rFont val="Calibri"/>
        <family val="2"/>
        <scheme val="minor"/>
      </rPr>
      <t xml:space="preserve"> Menores integrados a las actividades de los programas de actividad física y recreación
</t>
    </r>
    <r>
      <rPr>
        <b/>
        <sz val="10"/>
        <rFont val="Calibri"/>
        <family val="2"/>
        <scheme val="minor"/>
      </rPr>
      <t>Alcaldía Armenia:</t>
    </r>
    <r>
      <rPr>
        <sz val="10"/>
        <rFont val="Calibri"/>
        <family val="2"/>
        <scheme val="minor"/>
      </rPr>
      <t xml:space="preserve"> Promoción, apoyo logístico, ejecución y dotación  de programas de Hábitos y Estilos de Vida Saludable y Actividad Física 64 escuelas 
</t>
    </r>
    <r>
      <rPr>
        <b/>
        <sz val="10"/>
        <rFont val="Calibri"/>
        <family val="2"/>
        <scheme val="minor"/>
      </rPr>
      <t>Alcaldía de Montenegro:</t>
    </r>
    <r>
      <rPr>
        <sz val="10"/>
        <rFont val="Calibri"/>
        <family val="2"/>
        <scheme val="minor"/>
      </rPr>
      <t xml:space="preserve"> vías activas y saludables, festivales, clases monitoreadas, campeonatos de la categoría 10%
</t>
    </r>
    <r>
      <rPr>
        <b/>
        <sz val="10"/>
        <rFont val="Calibri"/>
        <family val="2"/>
        <scheme val="minor"/>
      </rPr>
      <t>Alcaldía Quimbaya:</t>
    </r>
    <r>
      <rPr>
        <sz val="10"/>
        <rFont val="Calibri"/>
        <family val="2"/>
        <scheme val="minor"/>
      </rPr>
      <t xml:space="preserve"> A la fecha de corte del presente trimestre no se aportó la información que de cuenta de este indicador. 
</t>
    </r>
    <r>
      <rPr>
        <b/>
        <sz val="10"/>
        <rFont val="Calibri"/>
        <family val="2"/>
        <scheme val="minor"/>
      </rPr>
      <t xml:space="preserve">Alcaldía de Filandia: </t>
    </r>
    <r>
      <rPr>
        <sz val="10"/>
        <rFont val="Calibri"/>
        <family val="2"/>
        <scheme val="minor"/>
      </rPr>
      <t xml:space="preserve">230 menores.
</t>
    </r>
    <r>
      <rPr>
        <b/>
        <sz val="10"/>
        <rFont val="Calibri"/>
        <family val="2"/>
        <scheme val="minor"/>
      </rPr>
      <t xml:space="preserve">Alcaldía de Pijao: </t>
    </r>
    <r>
      <rPr>
        <sz val="10"/>
        <rFont val="Calibri"/>
        <family val="2"/>
        <scheme val="minor"/>
      </rPr>
      <t xml:space="preserve"> entrenamiento diarios de escuelas deportivas a nivel urbano y rural.
</t>
    </r>
    <r>
      <rPr>
        <b/>
        <sz val="10"/>
        <rFont val="Calibri"/>
        <family val="2"/>
        <scheme val="minor"/>
      </rPr>
      <t>Indeportes:</t>
    </r>
    <r>
      <rPr>
        <sz val="10"/>
        <rFont val="Calibri"/>
        <family val="2"/>
        <scheme val="minor"/>
      </rPr>
      <t xml:space="preserve"> 51 deportistas jóvenes que invierten como mínimo 60 minutos diarios en actividad física con intensidad moderada a vigorosa.
</t>
    </r>
    <r>
      <rPr>
        <b/>
        <sz val="10"/>
        <rFont val="Calibri"/>
        <family val="2"/>
        <scheme val="minor"/>
      </rPr>
      <t>Universidad del Quindío:</t>
    </r>
    <r>
      <rPr>
        <sz val="10"/>
        <rFont val="Calibri"/>
        <family val="2"/>
        <scheme val="minor"/>
      </rPr>
      <t xml:space="preserve"> Se dictaron 20 cursos deportivos de los cuales hacen parte del área temática de actividad física, deportes y recreación de la Universidad del Quindío, los cursos son:
Ajedrez, Atletismo, Bádminton, Balón Mano, Baloncesto, Ultimate, Fútbol, Fútbol Femenino, Porrismo, Tenis De Campo, Tenis De Mesa, Voleibol, Squash, Judo, Karate Do, Tae Kwon Do, Fútbol tenis, Yoga, Pilates, Inclusión Deportiva.
Con un total de 16.475 estudiantes de los cuales el 3% hace parte de la práctica deportiva.
</t>
    </r>
    <r>
      <rPr>
        <b/>
        <sz val="10"/>
        <rFont val="Calibri"/>
        <family val="2"/>
        <scheme val="minor"/>
      </rPr>
      <t xml:space="preserve">Universidad San  Buenaventura: </t>
    </r>
    <r>
      <rPr>
        <sz val="10"/>
        <rFont val="Calibri"/>
        <family val="2"/>
        <scheme val="minor"/>
      </rPr>
      <t xml:space="preserve">En la universidad de San Buenaventura,103 de 122 estudiantes, entre las edades de 19 a 27 años, practican actividad física de 60 minutos 
</t>
    </r>
    <r>
      <rPr>
        <b/>
        <sz val="10"/>
        <rFont val="Calibri"/>
        <family val="2"/>
        <scheme val="minor"/>
      </rPr>
      <t xml:space="preserve">Universidad EAM: </t>
    </r>
    <r>
      <rPr>
        <sz val="10"/>
        <rFont val="Calibri"/>
        <family val="2"/>
        <scheme val="minor"/>
      </rPr>
      <t xml:space="preserve">48 estudiantes en cátedra de deporte formativo (programas de pregrado)
9 estudiantes en promedio por mes en actividad física en centro de acondicionamiento
</t>
    </r>
    <r>
      <rPr>
        <b/>
        <sz val="10"/>
        <rFont val="Calibri"/>
        <family val="2"/>
        <scheme val="minor"/>
      </rPr>
      <t>Universidad la Gran Colombia:</t>
    </r>
    <r>
      <rPr>
        <sz val="10"/>
        <rFont val="Calibri"/>
        <family val="2"/>
        <scheme val="minor"/>
      </rPr>
      <t xml:space="preserve"> La UGCA no realizó actividades de promoción de la actividad física con entornos comunitarios.
</t>
    </r>
    <r>
      <rPr>
        <b/>
        <sz val="10"/>
        <rFont val="Calibri"/>
        <family val="2"/>
        <scheme val="minor"/>
      </rPr>
      <t xml:space="preserve">Secretaría de Educación: </t>
    </r>
    <r>
      <rPr>
        <sz val="10"/>
        <rFont val="Calibri"/>
        <family val="2"/>
        <scheme val="minor"/>
      </rPr>
      <t xml:space="preserve">La Secretaría de Educación Departamental no lleva dentro de sus datos estadísticos, el número o porcentaje de estudiantes que invierten tiempo en actividad física, Sin embargo dentro de las asignaturas que se dictan en las 54 Instituciones Educativas Oficiales se tiene la Educación Física como área obligatoria.
</t>
    </r>
    <r>
      <rPr>
        <b/>
        <sz val="10"/>
        <rFont val="Calibri"/>
        <family val="2"/>
        <scheme val="minor"/>
      </rPr>
      <t xml:space="preserve">Indeportes: </t>
    </r>
    <r>
      <rPr>
        <sz val="10"/>
        <rFont val="Calibri"/>
        <family val="2"/>
        <scheme val="minor"/>
      </rPr>
      <t xml:space="preserve">115 menores de edad que invierten como mínimo 60 minutos diarios en actividad fisica con intensidad moderada a vigorosa.
</t>
    </r>
    <r>
      <rPr>
        <b/>
        <sz val="10"/>
        <rFont val="Calibri"/>
        <family val="2"/>
        <scheme val="minor"/>
      </rPr>
      <t xml:space="preserve">Universidad Von Humbolt: </t>
    </r>
    <r>
      <rPr>
        <sz val="10"/>
        <rFont val="Calibri"/>
        <family val="2"/>
        <scheme val="minor"/>
      </rPr>
      <t xml:space="preserve">Como Facultad no se desarrolla esta acción, pero a través de la Dirección de Proyección Social, todas las facultades a través de Brigadas en barrios y en veredas se desarrollan alguinas acciones.
</t>
    </r>
  </si>
  <si>
    <r>
      <rPr>
        <b/>
        <sz val="10"/>
        <rFont val="Calibri"/>
        <family val="2"/>
        <scheme val="minor"/>
      </rPr>
      <t xml:space="preserve">
Se beneficiaron: 11693 Personas 79% Por encima de la línea de base de 6500 beneficiados.   
Alcaldía de Circasia: </t>
    </r>
    <r>
      <rPr>
        <sz val="10"/>
        <rFont val="Calibri"/>
        <family val="2"/>
        <scheme val="minor"/>
      </rPr>
      <t xml:space="preserve">En la Secretaría de Gobierno y Desarrollo Social, con el coordinador de deportes se atendieron 900  jóvenes, durante estos dos últimos tres meses en los siguientes programas: Voleibol-futbol, torneo de voleibol, ciclismo y futbol de salón garantizando los espacios de recreación para la juventud, domingo activo.
</t>
    </r>
    <r>
      <rPr>
        <b/>
        <sz val="10"/>
        <rFont val="Calibri"/>
        <family val="2"/>
        <scheme val="minor"/>
      </rPr>
      <t>Alcaldía de la Tebaida:</t>
    </r>
    <r>
      <rPr>
        <sz val="10"/>
        <rFont val="Calibri"/>
        <family val="2"/>
        <scheme val="minor"/>
      </rPr>
      <t xml:space="preserve">  de acuerdo a lo reportado 8 adultos entre 18 a 28 años se benefician de actividad física
</t>
    </r>
    <r>
      <rPr>
        <b/>
        <sz val="10"/>
        <rFont val="Calibri"/>
        <family val="2"/>
        <scheme val="minor"/>
      </rPr>
      <t>Universidad del Quindío:</t>
    </r>
    <r>
      <rPr>
        <sz val="10"/>
        <rFont val="Calibri"/>
        <family val="2"/>
        <scheme val="minor"/>
      </rPr>
      <t xml:space="preserve"> Se dictaron 20 cursos deportivos de los cuales hacen parte del área temática de actividad física, deportes y recreación de la Universidad del Quindío, los cursos son:
Ajedrez, Atletismo, Bádminton, Balón Mano, Baloncesto, Ultimate, Fútbol, Fútbol Femenino, Porrismo, Tenis De Campo, Tenis De Mesa, Voleibol, Squash, Judo, Karate Do, Tae Kwon Do, Fútbol tenis, Yoga, Pilates, Inclusión Deportiva.
19 selecciones deportivas Representativas: Ajedrez, Atletismo, Bádminton, Balón Mano Ambas Ramas, Baloncesto Ambas Ramas, Disco Volador, Fútbol Ambas Ramas, Fútbol Sala Ambas Ramas, Levantamiento De Pesas, Natación, Porrismo, Tenis De Campo, Tenis De Mesa, Voleibol Ambas Ramas, Triatlón, Squash, Judo, Karate Do, Tae Kwon Do. Con un total 18.091 funcionarios y estudiantes mayores de edad, de los cuales el 3% hace parte de la práctica deportiva.</t>
    </r>
    <r>
      <rPr>
        <b/>
        <sz val="10"/>
        <rFont val="Calibri"/>
        <family val="2"/>
        <scheme val="minor"/>
      </rPr>
      <t xml:space="preserve">
Alcaldía de Salento: </t>
    </r>
    <r>
      <rPr>
        <sz val="10"/>
        <rFont val="Calibri"/>
        <family val="2"/>
        <scheme val="minor"/>
      </rPr>
      <t xml:space="preserve">Fortalecimiento y apoyo a las Escuelas de Formación Deportiva, reactivación de torneos de fútbol, fútbol de salón.
</t>
    </r>
    <r>
      <rPr>
        <b/>
        <sz val="10"/>
        <rFont val="Calibri"/>
        <family val="2"/>
        <scheme val="minor"/>
      </rPr>
      <t xml:space="preserve">Alcaldía de Calarcá: </t>
    </r>
    <r>
      <rPr>
        <sz val="10"/>
        <rFont val="Calibri"/>
        <family val="2"/>
        <scheme val="minor"/>
      </rPr>
      <t>Programa recreativo para adolescencia y juventud y programa recreativo y fitness.</t>
    </r>
    <r>
      <rPr>
        <b/>
        <sz val="10"/>
        <rFont val="Calibri"/>
        <family val="2"/>
        <scheme val="minor"/>
      </rPr>
      <t xml:space="preserve">
Alcaldia Montenegro: </t>
    </r>
    <r>
      <rPr>
        <sz val="10"/>
        <rFont val="Calibri"/>
        <family val="2"/>
        <scheme val="minor"/>
      </rPr>
      <t>Se realiza</t>
    </r>
    <r>
      <rPr>
        <b/>
        <sz val="10"/>
        <rFont val="Calibri"/>
        <family val="2"/>
        <scheme val="minor"/>
      </rPr>
      <t xml:space="preserve"> </t>
    </r>
    <r>
      <rPr>
        <sz val="10"/>
        <rFont val="Calibri"/>
        <family val="2"/>
        <scheme val="minor"/>
      </rPr>
      <t>actividad fisica adulto mayor ,torneos y campeonatos de futlbol para un total de 650 deportistas participando.</t>
    </r>
    <r>
      <rPr>
        <b/>
        <sz val="10"/>
        <rFont val="Calibri"/>
        <family val="2"/>
        <scheme val="minor"/>
      </rPr>
      <t xml:space="preserve">
Alcaldía Filandia: </t>
    </r>
    <r>
      <rPr>
        <sz val="10"/>
        <rFont val="Calibri"/>
        <family val="2"/>
        <scheme val="minor"/>
      </rPr>
      <t xml:space="preserve">270 adultos
</t>
    </r>
    <r>
      <rPr>
        <b/>
        <sz val="10"/>
        <rFont val="Calibri"/>
        <family val="2"/>
        <scheme val="minor"/>
      </rPr>
      <t xml:space="preserve">Alcaldia de pijao:  </t>
    </r>
    <r>
      <rPr>
        <sz val="10"/>
        <rFont val="Calibri"/>
        <family val="2"/>
        <scheme val="minor"/>
      </rPr>
      <t>120 adultos en los diferentes equipos participantes</t>
    </r>
    <r>
      <rPr>
        <b/>
        <sz val="10"/>
        <rFont val="Calibri"/>
        <family val="2"/>
        <scheme val="minor"/>
      </rPr>
      <t xml:space="preserve">
Alcaldía de Buenavista: </t>
    </r>
    <r>
      <rPr>
        <sz val="10"/>
        <rFont val="Calibri"/>
        <family val="2"/>
        <scheme val="minor"/>
      </rPr>
      <t xml:space="preserve"> El municIpio cuenta con un grupo de 30 adultos que trabajan de manera semanal aeróbicos y otro grupo de 20 adultos que trabajan actividad física moderada y también se cuenta con dos grupos de 60 adultos mayores que trabajan actividad fisica moderada de manera mensual.</t>
    </r>
    <r>
      <rPr>
        <b/>
        <sz val="10"/>
        <rFont val="Calibri"/>
        <family val="2"/>
        <scheme val="minor"/>
      </rPr>
      <t xml:space="preserve">
Alcaldía Córdoba: </t>
    </r>
    <r>
      <rPr>
        <sz val="10"/>
        <rFont val="Calibri"/>
        <family val="2"/>
        <scheme val="minor"/>
      </rPr>
      <t xml:space="preserve">Por parte de la Administración Municipal se realizan actividades recreativas, rumba terapias y actividad física con los adultos internos y externos pertenecientes al CBA Hogar Adulto Mayor Humberto López Vázquez, también con los dos grupos de adulto mayor del municipio Amor y vida y Vida Activa. 
La información no puede ser socializada en porcentaje (%) por el municipio. 
</t>
    </r>
    <r>
      <rPr>
        <b/>
        <sz val="10"/>
        <rFont val="Calibri"/>
        <family val="2"/>
        <scheme val="minor"/>
      </rPr>
      <t>Alcaldía de Armenia:</t>
    </r>
    <r>
      <rPr>
        <sz val="10"/>
        <rFont val="Calibri"/>
        <family val="2"/>
        <scheme val="minor"/>
      </rPr>
      <t xml:space="preserve"> Implementar, ejecutar y dotar programas de Hábitos y Estilos de Vida Saludable y Actividad Física
</t>
    </r>
    <r>
      <rPr>
        <b/>
        <sz val="10"/>
        <rFont val="Calibri"/>
        <family val="2"/>
        <scheme val="minor"/>
      </rPr>
      <t>Universidad EAM:</t>
    </r>
    <r>
      <rPr>
        <sz val="10"/>
        <rFont val="Calibri"/>
        <family val="2"/>
        <scheme val="minor"/>
      </rPr>
      <t xml:space="preserve"> 174 estudiantes en promedio por mes en actividad física en el centro de acondicionamiento físico
2 estudiantes en cátedra de deporte formativo (educación continuada)
</t>
    </r>
    <r>
      <rPr>
        <b/>
        <sz val="10"/>
        <rFont val="Calibri"/>
        <family val="2"/>
        <scheme val="minor"/>
      </rPr>
      <t>Universidad la Gran Colombia:</t>
    </r>
    <r>
      <rPr>
        <sz val="10"/>
        <rFont val="Calibri"/>
        <family val="2"/>
        <scheme val="minor"/>
      </rPr>
      <t xml:space="preserve"> La UGCA no realizó actividades de promoción de la actividad física con entornos comunitarios.
</t>
    </r>
    <r>
      <rPr>
        <b/>
        <sz val="10"/>
        <rFont val="Calibri"/>
        <family val="2"/>
        <scheme val="minor"/>
      </rPr>
      <t xml:space="preserve">Universidad San Buenaventura: </t>
    </r>
    <r>
      <rPr>
        <sz val="10"/>
        <rFont val="Calibri"/>
        <family val="2"/>
        <scheme val="minor"/>
      </rPr>
      <t xml:space="preserve">En la Universidad De San Buenaventura, 19 de 122 estudiantes, entre de las edades de 28 a 46 años,  practican entre 150 y 75 minutos de actividad física
</t>
    </r>
    <r>
      <rPr>
        <b/>
        <sz val="10"/>
        <rFont val="Calibri"/>
        <family val="2"/>
        <scheme val="minor"/>
      </rPr>
      <t>Universidad Von Humbolt:</t>
    </r>
    <r>
      <rPr>
        <sz val="10"/>
        <rFont val="Calibri"/>
        <family val="2"/>
        <scheme val="minor"/>
      </rPr>
      <t xml:space="preserve"> La Facultad no desarrolla este tipo de actividades. Apoya si las actividades de Bienestar Universitario para nuestra comunidad académica.
</t>
    </r>
    <r>
      <rPr>
        <b/>
        <sz val="10"/>
        <rFont val="Calibri"/>
        <family val="2"/>
        <scheme val="minor"/>
      </rPr>
      <t>Indeportes:</t>
    </r>
    <r>
      <rPr>
        <sz val="10"/>
        <rFont val="Calibri"/>
        <family val="2"/>
        <scheme val="minor"/>
      </rPr>
      <t xml:space="preserve"> 2.310 adultos que  dedican como mínimo 150 minutos semanales a la práctica de actividad física aeróbica, de intensidad moderada, o bien 75 minutos de actividad física aeróbica vigorosa cada semana, o bien una combinación equivalente de actividades moderadas y vigorosas.
</t>
    </r>
  </si>
  <si>
    <r>
      <t xml:space="preserve">Indeportes: </t>
    </r>
    <r>
      <rPr>
        <sz val="10"/>
        <rFont val="Calibri"/>
        <family val="2"/>
        <scheme val="minor"/>
      </rPr>
      <t>11 modalidades de deporte no convencional apoyadas, en el primer , segundo y tercer trimestre 2023 con apoyo técnico y metodológico, y 1 con apoyo para realización de exámenes médicos especializados. (paranatación, paraatletismo, judo visual, boccias, voleibol sentado, tenis en silla de ruedas, fútbol sonoro</t>
    </r>
    <r>
      <rPr>
        <b/>
        <sz val="10"/>
        <rFont val="Calibri"/>
        <family val="2"/>
        <scheme val="minor"/>
      </rPr>
      <t xml:space="preserve">
Alcaldía de La Tebaida: </t>
    </r>
    <r>
      <rPr>
        <sz val="10"/>
        <rFont val="Calibri"/>
        <family val="2"/>
        <scheme val="minor"/>
      </rPr>
      <t>Microfútbol (grupo 01) 21 jóvenes;  Natación 13 jóvenes;  Fútbol 15 jóvenes;  Microfútbol (grupo 02) 24 jóvenes;  Baloncesto 24 jóvenes; Fútbol de mujer 8 jóvenes; Fútbol 12 jóvenes; jóvenes; Nueva modalidad ajedrez 9 jóvenes; Nueva modalidad patinaje 14 jóvenes; Nueva modalidad levantamiento de pesas 07 jóvenes.</t>
    </r>
    <r>
      <rPr>
        <b/>
        <sz val="10"/>
        <rFont val="Calibri"/>
        <family val="2"/>
        <scheme val="minor"/>
      </rPr>
      <t xml:space="preserve">
Alcaldía Buenavista: E</t>
    </r>
    <r>
      <rPr>
        <sz val="10"/>
        <rFont val="Calibri"/>
        <family val="2"/>
        <scheme val="minor"/>
      </rPr>
      <t>l municipio cuenta con un grupo de 10 jóvenes que asisten a campamentos juveniles, el cual es liderado por un contratista de la Gobernación del Quindío.</t>
    </r>
    <r>
      <rPr>
        <b/>
        <sz val="10"/>
        <rFont val="Calibri"/>
        <family val="2"/>
        <scheme val="minor"/>
      </rPr>
      <t xml:space="preserve">
Alcaldía Quimbaya: </t>
    </r>
    <r>
      <rPr>
        <sz val="10"/>
        <rFont val="Calibri"/>
        <family val="2"/>
        <scheme val="minor"/>
      </rPr>
      <t xml:space="preserve">Actualmente se cuenta con escuela formativa de boxeo, tejo y BMX. 
</t>
    </r>
    <r>
      <rPr>
        <b/>
        <sz val="10"/>
        <rFont val="Calibri"/>
        <family val="2"/>
        <scheme val="minor"/>
      </rPr>
      <t xml:space="preserve">Alcaldía Montenegro: </t>
    </r>
    <r>
      <rPr>
        <sz val="10"/>
        <rFont val="Calibri"/>
        <family val="2"/>
        <scheme val="minor"/>
      </rPr>
      <t>4: skatepark, porrismo, gimnasia y hapkido</t>
    </r>
    <r>
      <rPr>
        <b/>
        <sz val="10"/>
        <rFont val="Calibri"/>
        <family val="2"/>
        <scheme val="minor"/>
      </rPr>
      <t xml:space="preserve">
Alcaldia de pijao: </t>
    </r>
    <r>
      <rPr>
        <sz val="10"/>
        <rFont val="Calibri"/>
        <family val="2"/>
        <scheme val="minor"/>
      </rPr>
      <t xml:space="preserve">natacion y patinaje.
</t>
    </r>
    <r>
      <rPr>
        <b/>
        <sz val="10"/>
        <rFont val="Calibri"/>
        <family val="2"/>
        <scheme val="minor"/>
      </rPr>
      <t>Alcaldía de Córdoba:</t>
    </r>
    <r>
      <rPr>
        <sz val="10"/>
        <rFont val="Calibri"/>
        <family val="2"/>
        <scheme val="minor"/>
      </rPr>
      <t xml:space="preserve"> en el municipio de Córdoba Quindío se garantiza el funcionamiento de 6 escuelas de formación como : futbol, fútbol de salón ,ciclismo,  natación, basquetbol y patinaje 
</t>
    </r>
    <r>
      <rPr>
        <b/>
        <sz val="10"/>
        <rFont val="Calibri"/>
        <family val="2"/>
        <scheme val="minor"/>
      </rPr>
      <t>Alcaldía Armenia:</t>
    </r>
    <r>
      <rPr>
        <sz val="10"/>
        <rFont val="Calibri"/>
        <family val="2"/>
        <scheme val="minor"/>
      </rPr>
      <t xml:space="preserve"> Implementos deportivos recreativos y de actividad física para las actividades de deporte social comunitario, actividades recreativas y de actividad física</t>
    </r>
  </si>
  <si>
    <r>
      <t>Secretaria de Turismo, Industria y Comercio:</t>
    </r>
    <r>
      <rPr>
        <sz val="10"/>
        <rFont val="Calibri"/>
        <family val="2"/>
        <scheme val="minor"/>
      </rPr>
      <t xml:space="preserve">Se llevo acabo un diagnostico y levantamiento de información acerca de las empresas turisticas de naturaleza y de aventura para su identificación y establecer posibles alianzas, de esta manera se visitaron los siguientes parques:
*Parque acuatico y de aventura extrema las bailarinas, cuentan con 40 empleados de las cuales hay 15 jovenes.
*Canopy los caracolies, cuentan con 3 empleados jovenes.
*Granja extrema La tebaida, cuenta con 10 empleados jovenes. 
*Balsaje la tebaida, cuenta con 4 empleados jovenes.
</t>
    </r>
    <r>
      <rPr>
        <b/>
        <sz val="10"/>
        <rFont val="Calibri"/>
        <family val="2"/>
        <scheme val="minor"/>
      </rPr>
      <t xml:space="preserve">Secretaría de Familia: </t>
    </r>
    <r>
      <rPr>
        <sz val="10"/>
        <rFont val="Calibri"/>
        <family val="2"/>
        <scheme val="minor"/>
      </rPr>
      <t xml:space="preserve">Informa la promoción del turismo de naturaleza de aventura a través de la participación de la feria ANATO.
</t>
    </r>
    <r>
      <rPr>
        <b/>
        <sz val="10"/>
        <rFont val="Calibri"/>
        <family val="2"/>
        <scheme val="minor"/>
      </rPr>
      <t>Alcaldía Salento:</t>
    </r>
    <r>
      <rPr>
        <sz val="10"/>
        <rFont val="Calibri"/>
        <family val="2"/>
        <scheme val="minor"/>
      </rPr>
      <t xml:space="preserve"> Actividades desarrolladas por parte del programa Cátedra de la Salentinidad hacia las instituciones educativas y población joven del municipio (Capacitación docentes y dotación material pedagógico).
</t>
    </r>
    <r>
      <rPr>
        <b/>
        <sz val="10"/>
        <rFont val="Calibri"/>
        <family val="2"/>
        <scheme val="minor"/>
      </rPr>
      <t>Alcaldía de Córdoba:</t>
    </r>
    <r>
      <rPr>
        <sz val="10"/>
        <rFont val="Calibri"/>
        <family val="2"/>
        <scheme val="minor"/>
      </rPr>
      <t xml:space="preserve">  a la fecha no existen alianzas para la promoción de turismo establecida para jóvenes, sin embargo empresas privadas como Soñarte y Café restaurante 1920, Los cainos, Cáfe mujer  ubicadas en el municipio, fomentan  la promoción de turismo en jóvenes, buscando emplearlos en las diferentes áreas de dichas empresas. 
</t>
    </r>
    <r>
      <rPr>
        <b/>
        <sz val="10"/>
        <rFont val="Calibri"/>
        <family val="2"/>
        <scheme val="minor"/>
      </rPr>
      <t>Alcaldía de Calarcá:</t>
    </r>
    <r>
      <rPr>
        <sz val="10"/>
        <rFont val="Calibri"/>
        <family val="2"/>
        <scheme val="minor"/>
      </rPr>
      <t xml:space="preserve"> Desde la Secretaría de Desarrollo Económico, Ambiental y Comunitario se realizó con la IE Segundo Henao, jornada de socialización sobre el sector turístico del municipio en la Hacienda la Pradera. 
</t>
    </r>
    <r>
      <rPr>
        <b/>
        <sz val="10"/>
        <rFont val="Calibri"/>
        <family val="2"/>
        <scheme val="minor"/>
      </rPr>
      <t>Alcaldía Buenavista:</t>
    </r>
    <r>
      <rPr>
        <sz val="10"/>
        <rFont val="Calibri"/>
        <family val="2"/>
        <scheme val="minor"/>
      </rPr>
      <t xml:space="preserve"> no tiene reportes a la fecha.
</t>
    </r>
    <r>
      <rPr>
        <b/>
        <sz val="10"/>
        <rFont val="Calibri"/>
        <family val="2"/>
        <scheme val="minor"/>
      </rPr>
      <t>Alcaldía Quimbaya:</t>
    </r>
    <r>
      <rPr>
        <sz val="10"/>
        <rFont val="Calibri"/>
        <family val="2"/>
        <scheme val="minor"/>
      </rPr>
      <t xml:space="preserve"> Esta meta no se encuentra programada para ser ejecutada durante el presente trimestre
</t>
    </r>
    <r>
      <rPr>
        <b/>
        <sz val="10"/>
        <rFont val="Calibri"/>
        <family val="2"/>
        <scheme val="minor"/>
      </rPr>
      <t xml:space="preserve">Alcaldia Armenia: </t>
    </r>
    <r>
      <rPr>
        <sz val="10"/>
        <rFont val="Calibri"/>
        <family val="2"/>
        <scheme val="minor"/>
      </rPr>
      <t xml:space="preserve">DESARROLLO ECONOMICO NO REPORTA INFORMACION.
</t>
    </r>
    <r>
      <rPr>
        <b/>
        <sz val="10"/>
        <rFont val="Calibri"/>
        <family val="2"/>
        <scheme val="minor"/>
      </rPr>
      <t xml:space="preserve">Alcaldia Montengro: </t>
    </r>
    <r>
      <rPr>
        <sz val="10"/>
        <rFont val="Calibri"/>
        <family val="2"/>
        <scheme val="minor"/>
      </rPr>
      <t xml:space="preserve">alianza con el instituto - apoyo sobre informacion tutistica.
</t>
    </r>
    <r>
      <rPr>
        <b/>
        <sz val="10"/>
        <rFont val="Calibri"/>
        <family val="2"/>
        <scheme val="minor"/>
      </rPr>
      <t xml:space="preserve">Secretaria de Cultura: </t>
    </r>
    <r>
      <rPr>
        <sz val="10"/>
        <rFont val="Calibri"/>
        <family val="2"/>
        <scheme val="minor"/>
      </rPr>
      <t xml:space="preserve">Se realizaron un taller orientado a recoger y evaluar las actividades  de lectura crítica y cultural (histórico) con los estudiantes que pertenecen l proyecto del paisaje cultural cafetero de la institución educativa Rafael Uribe Uribe del municipio de Calarcá.
Se realizaron charlas en la semana ambiental titulada amenezas sobre la diversidad acuícola local en la institución educativa mercadotecnia del municipio de Quimbaya,  se abordaron temas como conservación e impactos ambientales.
</t>
    </r>
    <r>
      <rPr>
        <b/>
        <sz val="10"/>
        <rFont val="Calibri"/>
        <family val="2"/>
        <scheme val="minor"/>
      </rPr>
      <t>Alcaldía de Cordob</t>
    </r>
    <r>
      <rPr>
        <sz val="10"/>
        <rFont val="Calibri"/>
        <family val="2"/>
        <scheme val="minor"/>
      </rPr>
      <t xml:space="preserve">a: en el municipio de Cordoba quindio se realizo proyecto llamado encuentro de portadores y sabores donde se embolucro a los jovenes para hablar con ellos sobre el tema, donde fue realizada en la ciudadela educativa.. Como tambien se realizo una feria gastronomica para la semana de amor y amistada todo esto con el apoyo de la contratista de enlace a turismo </t>
    </r>
    <r>
      <rPr>
        <b/>
        <sz val="10"/>
        <rFont val="Calibri"/>
        <family val="2"/>
        <scheme val="minor"/>
      </rPr>
      <t xml:space="preserve">
</t>
    </r>
  </si>
  <si>
    <r>
      <rPr>
        <b/>
        <sz val="10"/>
        <rFont val="Calibri"/>
        <family val="2"/>
        <scheme val="minor"/>
      </rPr>
      <t>Secretaría de Familia</t>
    </r>
    <r>
      <rPr>
        <sz val="10"/>
        <rFont val="Calibri"/>
        <family val="2"/>
        <scheme val="minor"/>
      </rPr>
      <t xml:space="preserve">: Se actualizó un micro sitio en la página web de la Gobernación orientado a difundir y socializar las actividades realizadas en el marco de la implementación de la Política Pública de Juventud.
</t>
    </r>
  </si>
  <si>
    <r>
      <rPr>
        <b/>
        <sz val="10"/>
        <rFont val="Calibri"/>
        <family val="2"/>
        <scheme val="minor"/>
      </rPr>
      <t>Secretaría de Educación:</t>
    </r>
    <r>
      <rPr>
        <sz val="10"/>
        <rFont val="Calibri"/>
        <family val="2"/>
        <scheme val="minor"/>
      </rPr>
      <t xml:space="preserve"> A la fecha no se han ejecutado actividades para estos indicadores
</t>
    </r>
    <r>
      <rPr>
        <b/>
        <sz val="10"/>
        <rFont val="Calibri"/>
        <family val="2"/>
        <scheme val="minor"/>
      </rPr>
      <t>Universidad del Quindío:</t>
    </r>
    <r>
      <rPr>
        <sz val="10"/>
        <rFont val="Calibri"/>
        <family val="2"/>
        <scheme val="minor"/>
      </rPr>
      <t xml:space="preserve"> Durante el trimestre referenciado, estuvieron en ejecución los siguientes proyectos de investigación, relacionados con dinámicas juveniles: 
Desarrollo, enfoques y retos entre el uso y la apropiación de la interacción tecnología - comunicación - educación en el aula virtual para el aprehender mediático en los programas de CSP de Uniquindío y CSOD de Uniminuto. Análisis del rendimiento académico de los estudiantes de la Universidad del Quindío aplicando técnicas de minería de datos.  Incidencia del camino lector infantil en la formación del adulto - mediador de lectura: un estudio de caso desarrollado con estudiantes de la Licenciatura en Literatura y Lengua Castellana de la Universidad del Quindío Ocio y tiempo libre en la comunidad educativa UNIQUINDIANA.
</t>
    </r>
    <r>
      <rPr>
        <b/>
        <sz val="10"/>
        <rFont val="Calibri"/>
        <family val="2"/>
        <scheme val="minor"/>
      </rPr>
      <t>Secretaría de Familia:</t>
    </r>
    <r>
      <rPr>
        <sz val="10"/>
        <rFont val="Calibri"/>
        <family val="2"/>
        <scheme val="minor"/>
      </rPr>
      <t xml:space="preserve">  Desde la jefatura de juventud no se realizan investigaciones sobre dinámicas juveniles. 
</t>
    </r>
    <r>
      <rPr>
        <b/>
        <sz val="10"/>
        <rFont val="Calibri"/>
        <family val="2"/>
        <scheme val="minor"/>
      </rPr>
      <t>Universidad la Gran Colombia:</t>
    </r>
    <r>
      <rPr>
        <sz val="10"/>
        <rFont val="Calibri"/>
        <family val="2"/>
        <scheme val="minor"/>
      </rPr>
      <t xml:space="preserve"> Durante lo corrido de la actual vigencia, el centro de pensamiento “La Esperanza” Don Pedro Lain Entralgo de la Universidad la Gran Colombia, mediante el semillero de investigación de Ciudadanías juveniles, viene ejecutando acciones en función de convertirse en un observatorio de Juventudes; en el marco de lo anterior, actualmente se encuentra en curso 4 investigaciones sobre juventudes desarrollando temas como: 1. La cultura juvenil, 2. seguimiento a la política pública de juventudes del municipio de Armenia,  3. Emprendimiento juveniles en el municipio de Calarcá, 4.Suicidio en la juventud del municipio de Armenia.
</t>
    </r>
    <r>
      <rPr>
        <b/>
        <sz val="10"/>
        <rFont val="Calibri"/>
        <family val="2"/>
        <scheme val="minor"/>
      </rPr>
      <t xml:space="preserve">Universidad San Buenaventura: </t>
    </r>
    <r>
      <rPr>
        <sz val="10"/>
        <rFont val="Calibri"/>
        <family val="2"/>
        <scheme val="minor"/>
      </rPr>
      <t xml:space="preserve">La Universidad De San Buenaventura tiene un proyecto que relaciona las tres facultades y su nombre es: Convivir, Incluir y Cohabitar: imaginarios sobre diversidad en las prácticas cotidianas de dos comunidades de educación superior en Armenia (Q.)
</t>
    </r>
    <r>
      <rPr>
        <b/>
        <sz val="10"/>
        <rFont val="Calibri"/>
        <family val="2"/>
        <scheme val="minor"/>
      </rPr>
      <t>Universidad Vom Humbolt:</t>
    </r>
    <r>
      <rPr>
        <sz val="10"/>
        <rFont val="Calibri"/>
        <family val="2"/>
        <scheme val="minor"/>
      </rPr>
      <t xml:space="preserve"> La Facultad de Ciencias Administrativas en este momento no cuenta con investigaciones relacionadas con dinámicas juveniles.
</t>
    </r>
  </si>
  <si>
    <r>
      <rPr>
        <b/>
        <sz val="10"/>
        <rFont val="Calibri"/>
        <family val="2"/>
        <scheme val="minor"/>
      </rPr>
      <t>Universidad San  Buenaventura</t>
    </r>
    <r>
      <rPr>
        <sz val="10"/>
        <rFont val="Calibri"/>
        <family val="2"/>
        <scheme val="minor"/>
      </rPr>
      <t xml:space="preserve">: La Univerisdad De San Buenaventura tiene las facultades de psicologia, arquitectura y licenciatura en eduacación infantil estan el proceso de desarollo en cursos, seminarios y diplomados para ofertar en el Departamento del Quindio 
</t>
    </r>
    <r>
      <rPr>
        <b/>
        <sz val="10"/>
        <rFont val="Calibri"/>
        <family val="2"/>
        <scheme val="minor"/>
      </rPr>
      <t>Universidad EAM:</t>
    </r>
    <r>
      <rPr>
        <sz val="10"/>
        <rFont val="Calibri"/>
        <family val="2"/>
        <scheme val="minor"/>
      </rPr>
      <t xml:space="preserve">Cuatro (4) cursos de cátedra de emprendimiento con la participación de 93 estudiantes con una intensidad de 64 horas.
</t>
    </r>
    <r>
      <rPr>
        <b/>
        <sz val="10"/>
        <rFont val="Calibri"/>
        <family val="2"/>
        <scheme val="minor"/>
      </rPr>
      <t>Secretaría de Familia:</t>
    </r>
    <r>
      <rPr>
        <sz val="10"/>
        <rFont val="Calibri"/>
        <family val="2"/>
        <scheme val="minor"/>
      </rPr>
      <t xml:space="preserve"> se realizó el curso de "Tú emprendimiento a otro nivel" y una alianza con la Universidad de Manizales para capacitar a los jóvenes en temas orientados a proyecto de vida. Además se encuentra en etapa de convocatoria  para el desarrollo de un diplomado de emprendimiento. 
</t>
    </r>
    <r>
      <rPr>
        <b/>
        <sz val="10"/>
        <rFont val="Calibri"/>
        <family val="2"/>
        <scheme val="minor"/>
      </rPr>
      <t>Universidad Vom Humbolt:</t>
    </r>
    <r>
      <rPr>
        <sz val="10"/>
        <rFont val="Calibri"/>
        <family val="2"/>
        <scheme val="minor"/>
      </rPr>
      <t xml:space="preserve"> 441 personas impactadas en 5 programas en educación continua.
</t>
    </r>
    <r>
      <rPr>
        <b/>
        <sz val="10"/>
        <rFont val="Calibri"/>
        <family val="2"/>
        <scheme val="minor"/>
      </rPr>
      <t>Universidad la Gran Colombia:</t>
    </r>
    <r>
      <rPr>
        <sz val="10"/>
        <rFont val="Calibri"/>
        <family val="2"/>
        <scheme val="minor"/>
      </rPr>
      <t xml:space="preserve"> 1. Diplomado en Planificación Participativa y Estratégica, el cual ha contado con la participación de 6 jóvenes - Consejeros Territoriales de Planeación.
</t>
    </r>
    <r>
      <rPr>
        <b/>
        <sz val="10"/>
        <rFont val="Calibri"/>
        <family val="2"/>
        <scheme val="minor"/>
      </rPr>
      <t xml:space="preserve"> Secretaría de Educación: </t>
    </r>
    <r>
      <rPr>
        <sz val="10"/>
        <rFont val="Calibri"/>
        <family val="2"/>
        <scheme val="minor"/>
      </rPr>
      <t xml:space="preserve">A la fecha no se han ejecutado actividades para estos indicadores
</t>
    </r>
  </si>
  <si>
    <r>
      <t xml:space="preserve">
</t>
    </r>
    <r>
      <rPr>
        <b/>
        <sz val="10"/>
        <rFont val="Calibri"/>
        <family val="2"/>
        <scheme val="minor"/>
      </rPr>
      <t>Secretaría de Familia:</t>
    </r>
    <r>
      <rPr>
        <sz val="10"/>
        <rFont val="Calibri"/>
        <family val="2"/>
        <scheme val="minor"/>
      </rPr>
      <t xml:space="preserve"> La Secretaría de Familia reporta la existencia de 11 espacios de participación los cuales tienen dentro de sus funciones hacer control social a lo público.
</t>
    </r>
  </si>
  <si>
    <r>
      <rPr>
        <b/>
        <sz val="10"/>
        <rFont val="Calibri"/>
        <family val="2"/>
        <scheme val="minor"/>
      </rPr>
      <t>Secretaría Familia:</t>
    </r>
    <r>
      <rPr>
        <sz val="10"/>
        <rFont val="Calibri"/>
        <family val="2"/>
        <scheme val="minor"/>
      </rPr>
      <t xml:space="preserve"> Reporta que las acciones y actividades derivadas de la implementación de la Política Pública de Juventud, son publicadas a través de redes sociales y páginas institucionales de la Gobernación. Ademas de esto. Los documentos y seguimientos trimestrales realizados a la misma también son publicados para conocimiento de la comunidad en general. 
</t>
    </r>
    <r>
      <rPr>
        <b/>
        <sz val="10"/>
        <rFont val="Calibri"/>
        <family val="2"/>
        <scheme val="minor"/>
      </rPr>
      <t>Secretaría de Planeación:</t>
    </r>
    <r>
      <rPr>
        <sz val="10"/>
        <rFont val="Calibri"/>
        <family val="2"/>
        <scheme val="minor"/>
      </rPr>
      <t xml:space="preserve"> La meta no es competencia de la secretaria de Planeación Departamental, como se determina claramente en el Plan de Acción de la política pública, la responsabilidad es de la secretaria de Familia y los Entes Territoriales Municipales. La competencia de la secretaria de Planeación Departamental, de conformidad a lo establecido en el Manual de Funciones, es el brindar procesos de asistencia técnica en los procesos de formulación, seguimiento y evaluación a demanda de los Entes Territoriales.
</t>
    </r>
  </si>
  <si>
    <r>
      <t>Secretaría de Planeación</t>
    </r>
    <r>
      <rPr>
        <sz val="10"/>
        <rFont val="Calibri"/>
        <family val="2"/>
        <scheme val="minor"/>
      </rPr>
      <t>: La Secretaria de Planeación coordinó  durante el primer y segundo trimestre  acciones a través de Comité de Aprestamiento, la Rendición Pública de Cuentas de la Administración Departamental vigencia 2022, que se llevó a cabo el día 21 de junio de 2023  ,   en cumplimiento de las  metas del  Plan de Desarrollo 2020-2023 , por medio de las diferentes líneas estratégicas ( Inclusión Social y Equidad, Productividad y Competitividad, Territorio, Ambiente y Desarrollo Sostenible y Liderazgo Gobernabilidad y Transparencia) , en la cual se encuentran descritos logros de la política Pública  de juventud.
Además, se ha dado continuación a la recolección de información para el proceso de Rendición Publica de Cuenta vigencia 2023 de conformidad con la Ordenanza Nro. 010 del 24 de julio de 2019, "Por medio de la cual se subroga la Ordenanza 044 de 2009 “Por medio de la cual establece el procedimiento para la R</t>
    </r>
  </si>
  <si>
    <r>
      <rPr>
        <b/>
        <sz val="10"/>
        <rFont val="Calibri"/>
        <family val="2"/>
        <scheme val="minor"/>
      </rPr>
      <t>Secretaría de Familia:</t>
    </r>
    <r>
      <rPr>
        <sz val="10"/>
        <rFont val="Calibri"/>
        <family val="2"/>
        <scheme val="minor"/>
      </rPr>
      <t xml:space="preserve"> Reporta que en los municipios de Buenavista, Génova, Quimbaya, Circasia, Montenegro, Filandia y Córdoba no ceuntan con Casa de la Juventud.</t>
    </r>
    <r>
      <rPr>
        <b/>
        <sz val="10"/>
        <rFont val="Calibri"/>
        <family val="2"/>
        <scheme val="minor"/>
      </rPr>
      <t xml:space="preserve">
Alcaldía de Salento</t>
    </r>
    <r>
      <rPr>
        <sz val="10"/>
        <rFont val="Calibri"/>
        <family val="2"/>
        <scheme val="minor"/>
      </rPr>
      <t xml:space="preserve">: Casa de la Juventud en funcionamiento, activa la oficina para el CMJ y Plataforma
</t>
    </r>
    <r>
      <rPr>
        <b/>
        <sz val="10"/>
        <rFont val="Calibri"/>
        <family val="2"/>
        <scheme val="minor"/>
      </rPr>
      <t>Alcaldía de Buenavista: S</t>
    </r>
    <r>
      <rPr>
        <sz val="10"/>
        <rFont val="Calibri"/>
        <family val="2"/>
        <scheme val="minor"/>
      </rPr>
      <t xml:space="preserve">e cuenta con una casa de juventud pero no esta funcionando.
</t>
    </r>
    <r>
      <rPr>
        <b/>
        <sz val="10"/>
        <rFont val="Calibri"/>
        <family val="2"/>
        <scheme val="minor"/>
      </rPr>
      <t xml:space="preserve">Alcaldía de Génova: </t>
    </r>
    <r>
      <rPr>
        <sz val="10"/>
        <rFont val="Calibri"/>
        <family val="2"/>
        <scheme val="minor"/>
      </rPr>
      <t xml:space="preserve">No se cuenta con casa de la juventud en el municipio.
</t>
    </r>
    <r>
      <rPr>
        <b/>
        <sz val="10"/>
        <rFont val="Calibri"/>
        <family val="2"/>
        <scheme val="minor"/>
      </rPr>
      <t>Alcaldía Quimbaya:</t>
    </r>
    <r>
      <rPr>
        <sz val="10"/>
        <rFont val="Calibri"/>
        <family val="2"/>
        <scheme val="minor"/>
      </rPr>
      <t xml:space="preserve"> En el municipio de Quimbaya no existe casa de la juventud.
</t>
    </r>
    <r>
      <rPr>
        <b/>
        <sz val="10"/>
        <rFont val="Calibri"/>
        <family val="2"/>
        <scheme val="minor"/>
      </rPr>
      <t xml:space="preserve">Alcaldía de Tebaida: </t>
    </r>
    <r>
      <rPr>
        <sz val="10"/>
        <rFont val="Calibri"/>
        <family val="2"/>
        <scheme val="minor"/>
      </rPr>
      <t xml:space="preserve">Cuenta con una casa de la juventud la cual se encuentra en funcionamiento.
</t>
    </r>
    <r>
      <rPr>
        <b/>
        <sz val="10"/>
        <rFont val="Calibri"/>
        <family val="2"/>
        <scheme val="minor"/>
      </rPr>
      <t>Alcaldía Circasia:</t>
    </r>
    <r>
      <rPr>
        <sz val="10"/>
        <rFont val="Calibri"/>
        <family val="2"/>
        <scheme val="minor"/>
      </rPr>
      <t xml:space="preserve"> No cuenta con casa de la juventud.
</t>
    </r>
    <r>
      <rPr>
        <b/>
        <sz val="10"/>
        <rFont val="Calibri"/>
        <family val="2"/>
        <scheme val="minor"/>
      </rPr>
      <t>Alcaldía de Armenia</t>
    </r>
    <r>
      <rPr>
        <sz val="10"/>
        <rFont val="Calibri"/>
        <family val="2"/>
        <scheme val="minor"/>
      </rPr>
      <t xml:space="preserve">: 1 casa de la juventud funcionando en el barrio 7 de agosto con la estrategia "parche pa todos" 
</t>
    </r>
    <r>
      <rPr>
        <b/>
        <sz val="10"/>
        <rFont val="Calibri"/>
        <family val="2"/>
        <scheme val="minor"/>
      </rPr>
      <t xml:space="preserve">Alcaldía Montenegro: </t>
    </r>
    <r>
      <rPr>
        <sz val="10"/>
        <rFont val="Calibri"/>
        <family val="2"/>
        <scheme val="minor"/>
      </rPr>
      <t xml:space="preserve">al momento contamos con un espacio físico, sin embargo no está dotado de elementos tecnológicos ni logísticos para su operatividad.
</t>
    </r>
    <r>
      <rPr>
        <b/>
        <sz val="10"/>
        <rFont val="Calibri"/>
        <family val="2"/>
        <scheme val="minor"/>
      </rPr>
      <t>Alcaldía de Filandia:</t>
    </r>
    <r>
      <rPr>
        <sz val="10"/>
        <rFont val="Calibri"/>
        <family val="2"/>
        <scheme val="minor"/>
      </rPr>
      <t xml:space="preserve"> El municipio de Filandia cuenta con la casa de la cultura, la cual maneja diversos grupos infantiles y juveniles. </t>
    </r>
    <r>
      <rPr>
        <b/>
        <sz val="10"/>
        <rFont val="Calibri"/>
        <family val="2"/>
        <scheme val="minor"/>
      </rPr>
      <t xml:space="preserve">
Alcaldía Pijao:</t>
    </r>
    <r>
      <rPr>
        <sz val="10"/>
        <rFont val="Calibri"/>
        <family val="2"/>
        <scheme val="minor"/>
      </rPr>
      <t xml:space="preserve"> 1 casa de la juventud funcionando.
 </t>
    </r>
    <r>
      <rPr>
        <b/>
        <sz val="10"/>
        <rFont val="Calibri"/>
        <family val="2"/>
        <scheme val="minor"/>
      </rPr>
      <t xml:space="preserve">Alcaldía de Córdoba: </t>
    </r>
    <r>
      <rPr>
        <sz val="10"/>
        <rFont val="Calibri"/>
        <family val="2"/>
        <scheme val="minor"/>
      </rPr>
      <t xml:space="preserve"> no se cuenta con casa de la Juventud municipal, sin embargo se habilitaron las instalaciones de la casa de la cultura y el Honorable Concejo Municipal para la realización de las reuniones juveniles y siempre que se ha solicitado un espacio para sus actividades se busca el mas idóneo  para el desarrollo de las mismas. 
</t>
    </r>
  </si>
  <si>
    <r>
      <rPr>
        <b/>
        <sz val="10"/>
        <rFont val="Calibri"/>
        <family val="2"/>
        <scheme val="minor"/>
      </rPr>
      <t>Secretaría de Familia:</t>
    </r>
    <r>
      <rPr>
        <sz val="10"/>
        <rFont val="Calibri"/>
        <family val="2"/>
        <scheme val="minor"/>
      </rPr>
      <t xml:space="preserve">  Reporta que los doce municipios del Departamento del Quindío tienen Consejo Municipal de Juventud posesionado, instalado y funcionando. Adicionalmente, mediante el Decreto 00095 de 2022, se instaló y posesionó el Consejo Departamental de Juventud,  el día 11 de febrero de 2022, al cual se le ha brindado asistencia técnica y acompañamiento en sesiones descentralizadas.
</t>
    </r>
    <r>
      <rPr>
        <b/>
        <sz val="10"/>
        <rFont val="Calibri"/>
        <family val="2"/>
        <scheme val="minor"/>
      </rPr>
      <t>Alcaldia Calarca:</t>
    </r>
    <r>
      <rPr>
        <sz val="10"/>
        <rFont val="Calibri"/>
        <family val="2"/>
        <scheme val="minor"/>
      </rPr>
      <t xml:space="preserve"> el consejo  municipal de juventudes actualmente se encuentra funcionando con 6 consejeros activos los cuales sesionan cada 1 vez al mes.
</t>
    </r>
    <r>
      <rPr>
        <b/>
        <sz val="10"/>
        <rFont val="Calibri"/>
        <family val="2"/>
        <scheme val="minor"/>
      </rPr>
      <t>Alcaldía Tebaida:</t>
    </r>
    <r>
      <rPr>
        <sz val="10"/>
        <rFont val="Calibri"/>
        <family val="2"/>
        <scheme val="minor"/>
      </rPr>
      <t xml:space="preserve"> Consejo de Juventud en funcionamiento,1. El 17 de mayo se realizó entrega de implementación de papelería al consejo de juventud en virtud de que puedan desarrollar sus actividades. 2. El día 06 de junio se llevó a cabo mesa de trabajo con el consejo de juventud y el delegado regional para el eje cafetero. Se discutieron temas de las sesiones del consejo, el reglamento interno y las vacantes del consejo. </t>
    </r>
    <r>
      <rPr>
        <b/>
        <sz val="10"/>
        <rFont val="Calibri"/>
        <family val="2"/>
        <scheme val="minor"/>
      </rPr>
      <t xml:space="preserve">
Alcaldía Buenavista: </t>
    </r>
    <r>
      <rPr>
        <sz val="10"/>
        <rFont val="Calibri"/>
        <family val="2"/>
        <scheme val="minor"/>
      </rPr>
      <t>Se cuenta con un consejo de juventud funcionando y se posesionó por medio del decreto 007 del 11 enero del 2022.</t>
    </r>
    <r>
      <rPr>
        <b/>
        <sz val="10"/>
        <rFont val="Calibri"/>
        <family val="2"/>
        <scheme val="minor"/>
      </rPr>
      <t xml:space="preserve"> 
Alcaldía Córdoba. </t>
    </r>
    <r>
      <rPr>
        <sz val="10"/>
        <rFont val="Calibri"/>
        <family val="2"/>
        <scheme val="minor"/>
      </rPr>
      <t xml:space="preserve">En el Municipio de Córdoba Quindío contamos con el apoyo de Valeria Zuluaga Gómez quien es el apoyo a consejo juvenil de Córdoba Quindío 
</t>
    </r>
    <r>
      <rPr>
        <b/>
        <sz val="10"/>
        <rFont val="Calibri"/>
        <family val="2"/>
        <scheme val="minor"/>
      </rPr>
      <t>Alcaldía Montenegro: E</t>
    </r>
    <r>
      <rPr>
        <sz val="10"/>
        <rFont val="Calibri"/>
        <family val="2"/>
        <scheme val="minor"/>
      </rPr>
      <t xml:space="preserve">n el momento tenemos un consejo de juventud, con 04 consejeros en donde al momento no se encuentran operando de una manera activa
</t>
    </r>
    <r>
      <rPr>
        <b/>
        <sz val="10"/>
        <rFont val="Calibri"/>
        <family val="2"/>
        <scheme val="minor"/>
      </rPr>
      <t>Alcaldía Quimbaya:</t>
    </r>
    <r>
      <rPr>
        <sz val="10"/>
        <rFont val="Calibri"/>
        <family val="2"/>
        <scheme val="minor"/>
      </rPr>
      <t xml:space="preserve"> El CMJ se encuentra operando de manera autónoma.
</t>
    </r>
    <r>
      <rPr>
        <b/>
        <sz val="10"/>
        <rFont val="Calibri"/>
        <family val="2"/>
        <scheme val="minor"/>
      </rPr>
      <t>Alcaldía de Pijao:</t>
    </r>
    <r>
      <rPr>
        <sz val="10"/>
        <rFont val="Calibri"/>
        <family val="2"/>
        <scheme val="minor"/>
      </rPr>
      <t xml:space="preserve"> 1 Consejo de Juvetud funcionando. 
</t>
    </r>
    <r>
      <rPr>
        <b/>
        <sz val="10"/>
        <rFont val="Calibri"/>
        <family val="2"/>
        <scheme val="minor"/>
      </rPr>
      <t xml:space="preserve">Alcaldia Armenia: </t>
    </r>
    <r>
      <rPr>
        <sz val="10"/>
        <rFont val="Calibri"/>
        <family val="2"/>
        <scheme val="minor"/>
      </rPr>
      <t xml:space="preserve">1 Consejo Municipal de Juventud el cual se posesionó el día 17 de enero de 2022 resolución 11 de posesión de 2022 19 consejeros.
</t>
    </r>
    <r>
      <rPr>
        <b/>
        <sz val="10"/>
        <rFont val="Calibri"/>
        <family val="2"/>
        <scheme val="minor"/>
      </rPr>
      <t>Alcaldía de Filandia:</t>
    </r>
    <r>
      <rPr>
        <sz val="10"/>
        <rFont val="Calibri"/>
        <family val="2"/>
        <scheme val="minor"/>
      </rPr>
      <t xml:space="preserve"> 1 Consejo de Juventud vigente.</t>
    </r>
  </si>
  <si>
    <r>
      <rPr>
        <b/>
        <sz val="10"/>
        <rFont val="Calibri"/>
        <family val="2"/>
        <scheme val="minor"/>
      </rPr>
      <t xml:space="preserve">
Secretaría de Familia: </t>
    </r>
    <r>
      <rPr>
        <sz val="10"/>
        <rFont val="Calibri"/>
        <family val="2"/>
        <scheme val="minor"/>
      </rPr>
      <t>Reporta que los doce municipios del departamento del Quindío,  tienen Plataforma de Juventud registradas ante personería municipal y funcionando. Además de esto, también se cuenta con Plataforma Departamental de Juventud, la cual está en proceso de actualización.</t>
    </r>
    <r>
      <rPr>
        <b/>
        <sz val="10"/>
        <rFont val="Calibri"/>
        <family val="2"/>
        <scheme val="minor"/>
      </rPr>
      <t xml:space="preserve">
Alcaldía Córdoba: </t>
    </r>
    <r>
      <rPr>
        <sz val="10"/>
        <rFont val="Calibri"/>
        <family val="2"/>
        <scheme val="minor"/>
      </rPr>
      <t xml:space="preserve">En el Municipio de Córdoba se cuenta con la plataforma municipal de juventud mediante acta de la personería municipal, realizó sesión extraordinaria para la implementación de la ruta de estímulos y reformas al estatuto de ciudadanía juvenil, con el fin de crear la propuesta de la lista de estímulos y reforma al estatuto de ciudadanía juvenil según los lineamientos del orden nacional en la guía en la Ruta de Estímulos y Reforma al Estatuto de Ciudadanía juvenil.
</t>
    </r>
    <r>
      <rPr>
        <b/>
        <sz val="10"/>
        <rFont val="Calibri"/>
        <family val="2"/>
        <scheme val="minor"/>
      </rPr>
      <t>Alcaldía Filandia:</t>
    </r>
    <r>
      <rPr>
        <sz val="10"/>
        <rFont val="Calibri"/>
        <family val="2"/>
        <scheme val="minor"/>
      </rPr>
      <t xml:space="preserve"> 1 en actualización de la línea base.
</t>
    </r>
    <r>
      <rPr>
        <b/>
        <sz val="10"/>
        <rFont val="Calibri"/>
        <family val="2"/>
        <scheme val="minor"/>
      </rPr>
      <t>Alcaldía Buenavista:</t>
    </r>
    <r>
      <rPr>
        <sz val="10"/>
        <rFont val="Calibri"/>
        <family val="2"/>
        <scheme val="minor"/>
      </rPr>
      <t xml:space="preserve"> Se realizó la actualización de la plataforma de juventud en el mes de Abril.
</t>
    </r>
    <r>
      <rPr>
        <b/>
        <sz val="10"/>
        <rFont val="Calibri"/>
        <family val="2"/>
        <scheme val="minor"/>
      </rPr>
      <t xml:space="preserve">Alcaldía Quimbaya: </t>
    </r>
    <r>
      <rPr>
        <sz val="10"/>
        <rFont val="Calibri"/>
        <family val="2"/>
        <scheme val="minor"/>
      </rPr>
      <t xml:space="preserve">La Plataforma Municipal se encuentra funcionando normalmente. 
</t>
    </r>
    <r>
      <rPr>
        <b/>
        <sz val="10"/>
        <rFont val="Calibri"/>
        <family val="2"/>
        <scheme val="minor"/>
      </rPr>
      <t>Alcaldía Montenegro:</t>
    </r>
    <r>
      <rPr>
        <sz val="10"/>
        <rFont val="Calibri"/>
        <family val="2"/>
        <scheme val="minor"/>
      </rPr>
      <t xml:space="preserve"> En el momento contamos con una plataforma activa y funcionando de una manera precisa.</t>
    </r>
    <r>
      <rPr>
        <b/>
        <sz val="10"/>
        <rFont val="Calibri"/>
        <family val="2"/>
        <scheme val="minor"/>
      </rPr>
      <t xml:space="preserve">
Alcaldía La Tebaida:</t>
    </r>
    <r>
      <rPr>
        <sz val="10"/>
        <rFont val="Calibri"/>
        <family val="2"/>
        <scheme val="minor"/>
      </rPr>
      <t xml:space="preserve"> Plataforma de Juventud en funcionamiento,  01. El 17 de mayo se les prestó el espacio del Teatro municipal a miembros de la Plataforma de juventud para realizar un video con el fin de participar en un concurso de arte frente al ministerio de cultura. 
02. El día 23 de mayo se acompañó a los delegados de la Plataforma Municipal a la Plataforma Departamental en donde sesionaron por primera vez y eligieron a los miembros de la comisión de concertación y a los representantes nacionales. 
03. El 17 de junio la Plataforma Municipal  desarrolló en la casa de la cultura un encuentro juvenil de break dance en el cual se tuvo la asistencia de 120 personas. 
</t>
    </r>
    <r>
      <rPr>
        <b/>
        <sz val="10"/>
        <rFont val="Calibri"/>
        <family val="2"/>
        <scheme val="minor"/>
      </rPr>
      <t>Alcaldía de Pijao</t>
    </r>
    <r>
      <rPr>
        <sz val="10"/>
        <rFont val="Calibri"/>
        <family val="2"/>
        <scheme val="minor"/>
      </rPr>
      <t xml:space="preserve">: 1 Consejo de Juventud funcionando.
</t>
    </r>
    <r>
      <rPr>
        <b/>
        <sz val="10"/>
        <rFont val="Calibri"/>
        <family val="2"/>
        <scheme val="minor"/>
      </rPr>
      <t>Alcaldia Armenia:</t>
    </r>
    <r>
      <rPr>
        <sz val="10"/>
        <rFont val="Calibri"/>
        <family val="2"/>
        <scheme val="minor"/>
      </rPr>
      <t xml:space="preserve"> 1 plataforma confrormada bajo resolución expedida por la personería municipal, integrada por 12 organizaciones juveniles. 
</t>
    </r>
  </si>
  <si>
    <r>
      <t xml:space="preserve">Secretaría de Familia: </t>
    </r>
    <r>
      <rPr>
        <sz val="10"/>
        <rFont val="Calibri"/>
        <family val="2"/>
        <scheme val="minor"/>
      </rPr>
      <t xml:space="preserve">Reporta que los doce municipios del Quindío, han realizado las asambleas juveniles, conforme al estatuto de ciudadanía juvenil. Además se realizó la asamblea de juventud  departamental de juventud en el recinto de la asamblea departamental en el mes de marzo de 2023.
</t>
    </r>
    <r>
      <rPr>
        <b/>
        <sz val="10"/>
        <rFont val="Calibri"/>
        <family val="2"/>
        <scheme val="minor"/>
      </rPr>
      <t>Alcaldía Tebaida:</t>
    </r>
    <r>
      <rPr>
        <sz val="10"/>
        <rFont val="Calibri"/>
        <family val="2"/>
        <scheme val="minor"/>
      </rPr>
      <t xml:space="preserve"> en este trimestre no se llevó a cabo asamblea de juventud.</t>
    </r>
    <r>
      <rPr>
        <b/>
        <sz val="10"/>
        <rFont val="Calibri"/>
        <family val="2"/>
        <scheme val="minor"/>
      </rPr>
      <t xml:space="preserve">
Alcaldía de Buenavista: </t>
    </r>
    <r>
      <rPr>
        <sz val="10"/>
        <rFont val="Calibri"/>
        <family val="2"/>
        <scheme val="minor"/>
      </rPr>
      <t>Se realizó asamblea de juventud en el mes de junio.</t>
    </r>
    <r>
      <rPr>
        <b/>
        <sz val="10"/>
        <rFont val="Calibri"/>
        <family val="2"/>
        <scheme val="minor"/>
      </rPr>
      <t xml:space="preserve">
Alcaldía de Salento: </t>
    </r>
    <r>
      <rPr>
        <sz val="10"/>
        <rFont val="Calibri"/>
        <family val="2"/>
        <scheme val="minor"/>
      </rPr>
      <t xml:space="preserve">Hasta la fecha se ha realizado una Asamblea Municipal de Juventud, el día 8 de Febrero.
</t>
    </r>
    <r>
      <rPr>
        <b/>
        <sz val="10"/>
        <rFont val="Calibri"/>
        <family val="2"/>
        <scheme val="minor"/>
      </rPr>
      <t>Alcaldia Calarca:</t>
    </r>
    <r>
      <rPr>
        <sz val="10"/>
        <rFont val="Calibri"/>
        <family val="2"/>
        <scheme val="minor"/>
      </rPr>
      <t xml:space="preserve"> se realizó 1 Asamblea de juventudes el 8 de junio del año 2023</t>
    </r>
    <r>
      <rPr>
        <b/>
        <sz val="10"/>
        <rFont val="Calibri"/>
        <family val="2"/>
        <scheme val="minor"/>
      </rPr>
      <t xml:space="preserve">
Alcaldía Quimbaya: </t>
    </r>
    <r>
      <rPr>
        <sz val="10"/>
        <rFont val="Calibri"/>
        <family val="2"/>
        <scheme val="minor"/>
      </rPr>
      <t xml:space="preserve">Se realizó la asamblea municipal de juventud con participación de diferentes sectores juveniles.  </t>
    </r>
    <r>
      <rPr>
        <b/>
        <sz val="10"/>
        <rFont val="Calibri"/>
        <family val="2"/>
        <scheme val="minor"/>
      </rPr>
      <t xml:space="preserve">
Alcaldía Montenegro: </t>
    </r>
    <r>
      <rPr>
        <sz val="10"/>
        <rFont val="Calibri"/>
        <family val="2"/>
        <scheme val="minor"/>
      </rPr>
      <t>Se ha realizado una asamblea de juventud con el fin de socializar el seguimiento a la política pública y las actividades de la semana de la juventud.</t>
    </r>
    <r>
      <rPr>
        <b/>
        <sz val="10"/>
        <rFont val="Calibri"/>
        <family val="2"/>
        <scheme val="minor"/>
      </rPr>
      <t xml:space="preserve">
Alcaldía de Pijao: </t>
    </r>
    <r>
      <rPr>
        <sz val="10"/>
        <rFont val="Calibri"/>
        <family val="2"/>
        <scheme val="minor"/>
      </rPr>
      <t xml:space="preserve">No se han realizado Asambleas de Juventud en este periodo.
</t>
    </r>
    <r>
      <rPr>
        <b/>
        <sz val="10"/>
        <rFont val="Calibri"/>
        <family val="2"/>
        <scheme val="minor"/>
      </rPr>
      <t xml:space="preserve">Alcaldia Armenia: </t>
    </r>
    <r>
      <rPr>
        <sz val="10"/>
        <rFont val="Calibri"/>
        <family val="2"/>
        <scheme val="minor"/>
      </rPr>
      <t xml:space="preserve">1 asamblea juvenil realizada el 18 de febrero de 2023. </t>
    </r>
  </si>
  <si>
    <r>
      <rPr>
        <b/>
        <sz val="10"/>
        <rFont val="Calibri"/>
        <family val="2"/>
        <scheme val="minor"/>
      </rPr>
      <t xml:space="preserve">Secretaría de familia: </t>
    </r>
    <r>
      <rPr>
        <sz val="10"/>
        <rFont val="Calibri"/>
        <family val="2"/>
        <scheme val="minor"/>
      </rPr>
      <t xml:space="preserve">La tasa de cobertura básica secundaria reportadda por el ministerio de educación corresponde al 63,34 % segun el ultimo reporte publicado 
</t>
    </r>
    <r>
      <rPr>
        <b/>
        <sz val="10"/>
        <rFont val="Calibri"/>
        <family val="2"/>
        <scheme val="minor"/>
      </rPr>
      <t>Alcaldía de Calarcá:</t>
    </r>
    <r>
      <rPr>
        <sz val="10"/>
        <rFont val="Calibri"/>
        <family val="2"/>
        <scheme val="minor"/>
      </rPr>
      <t xml:space="preserve"> Realizamos el pago a las 14 instituciones educativas urbanas y rurales (30 sedes) con servicios públicos como energía, alcantarillado, acueducto y aseo con 30 sedes, urbanas y rurales. Se beneficiaron 3.174 jóvenes.
</t>
    </r>
    <r>
      <rPr>
        <b/>
        <sz val="10"/>
        <rFont val="Calibri"/>
        <family val="2"/>
        <scheme val="minor"/>
      </rPr>
      <t>Secretaría de Educación:</t>
    </r>
    <r>
      <rPr>
        <sz val="10"/>
        <rFont val="Calibri"/>
        <family val="2"/>
        <scheme val="minor"/>
      </rPr>
      <t xml:space="preserve"> Desde las I.E se realiza la oferta a los 11 municipios no certificados y es aprobada por la Secretaria Departamental  y el MEN 
</t>
    </r>
    <r>
      <rPr>
        <b/>
        <sz val="10"/>
        <rFont val="Calibri"/>
        <family val="2"/>
        <scheme val="minor"/>
      </rPr>
      <t>Alcaldía Córdoba:</t>
    </r>
    <r>
      <rPr>
        <sz val="10"/>
        <rFont val="Calibri"/>
        <family val="2"/>
        <scheme val="minor"/>
      </rPr>
      <t xml:space="preserve"> El municipio de Cordoba garantiza la atencion con estrategias de permanencia ( PAE - Programa de Alimentacion Escolar y ransorte escolar) a los estudiantes que cumplen los criterios de focalizacion.  Igualmente el pago de seguro estudiantil.
</t>
    </r>
    <r>
      <rPr>
        <b/>
        <sz val="10"/>
        <rFont val="Calibri"/>
        <family val="2"/>
        <scheme val="minor"/>
      </rPr>
      <t>Alcaldia Armenia:</t>
    </r>
    <r>
      <rPr>
        <sz val="10"/>
        <rFont val="Calibri"/>
        <family val="2"/>
        <scheme val="minor"/>
      </rPr>
      <t xml:space="preserve"> instituciones educativas en jornada única (Número de instituciones)14904 niños, niñas, jóvenes y adultos.
</t>
    </r>
    <r>
      <rPr>
        <b/>
        <sz val="10"/>
        <rFont val="Calibri"/>
        <family val="2"/>
        <scheme val="minor"/>
      </rPr>
      <t xml:space="preserve">Alcaldía Filandia: </t>
    </r>
    <r>
      <rPr>
        <sz val="10"/>
        <rFont val="Calibri"/>
        <family val="2"/>
        <scheme val="minor"/>
      </rPr>
      <t>90%, se cubren todos los grados de la básica secundaria en el municipio. En el sistema educativo municipal se matricularon 637 alumnos en básica secundaria en 2022, de los cuales han desertado 15 al mes de agosto. Las proyecciones apuntan a que deberían haber al menos 710 estudiantes en básica secundaria en las diferentes IE del municipio</t>
    </r>
  </si>
  <si>
    <r>
      <rPr>
        <b/>
        <sz val="10"/>
        <rFont val="Calibri"/>
        <family val="2"/>
        <scheme val="minor"/>
      </rPr>
      <t xml:space="preserve">Secretaría de familia: </t>
    </r>
    <r>
      <rPr>
        <sz val="10"/>
        <rFont val="Calibri"/>
        <family val="2"/>
        <scheme val="minor"/>
      </rPr>
      <t>La tasa de cobertura neta media vocacional reportada por el ministerio de educación corresponde al 37 %</t>
    </r>
    <r>
      <rPr>
        <b/>
        <sz val="10"/>
        <rFont val="Calibri"/>
        <family val="2"/>
        <scheme val="minor"/>
      </rPr>
      <t xml:space="preserve">
Alcaldía de Buenavista</t>
    </r>
    <r>
      <rPr>
        <sz val="10"/>
        <rFont val="Calibri"/>
        <family val="2"/>
        <scheme val="minor"/>
      </rPr>
      <t xml:space="preserve">: Cuenta con la cobertura integral en básica secundaria, no tenemos reportes de jóvenes que esten desescolarizados.
</t>
    </r>
    <r>
      <rPr>
        <b/>
        <sz val="10"/>
        <rFont val="Calibri"/>
        <family val="2"/>
        <scheme val="minor"/>
      </rPr>
      <t xml:space="preserve">Secretaría de Educación: </t>
    </r>
    <r>
      <rPr>
        <sz val="10"/>
        <rFont val="Calibri"/>
        <family val="2"/>
        <scheme val="minor"/>
      </rPr>
      <t xml:space="preserve">Durante este trimeste la profesional de área continua  realizando actividades relacionadas con Oferta de Grados para media  a través de la plataforma Simat.        
</t>
    </r>
    <r>
      <rPr>
        <b/>
        <sz val="10"/>
        <rFont val="Calibri"/>
        <family val="2"/>
        <scheme val="minor"/>
      </rPr>
      <t>Alcaldía Armenia:</t>
    </r>
    <r>
      <rPr>
        <sz val="10"/>
        <rFont val="Calibri"/>
        <family val="2"/>
        <scheme val="minor"/>
      </rPr>
      <t xml:space="preserve"> 23 Instituciones Educativas y 1200 Jóvenes de media de las Instituciones Educativas.
</t>
    </r>
    <r>
      <rPr>
        <b/>
        <sz val="10"/>
        <rFont val="Calibri"/>
        <family val="2"/>
        <scheme val="minor"/>
      </rPr>
      <t xml:space="preserve">Alcaldía Génova: </t>
    </r>
    <r>
      <rPr>
        <sz val="10"/>
        <rFont val="Calibri"/>
        <family val="2"/>
        <scheme val="minor"/>
      </rPr>
      <t xml:space="preserve">Docentes mejor capacitados, que podrán brindar mas conocimientos a sus estudiantes. Se Garantiza el acceso a una educación de calidad  de todos los niños niñas y adolescentes del municipio de Génova Quindío, se garantiza el acceso a una educación de calidad  de todos los niños niñas y adolescentes que se encuentran estudiando en las sedes urbanas y rurales del municipio de Génova Quindío, se garantiza el acceso a una educación de calidad  de todos los niños niñas y adolescentes del municipio de Génova Quindío, que se encuentran cursando básica secundaria y media en  la institución educativa san Vicente de Paul y la institución educativa instituto Génova, proteger  todos los niños niñas y adolescentes en caso de accidentes  que  se encuentra estudiando  en las instituciones educativas tanto en el área urbana y rural del municipio.
</t>
    </r>
    <r>
      <rPr>
        <b/>
        <sz val="10"/>
        <rFont val="Calibri"/>
        <family val="2"/>
        <scheme val="minor"/>
      </rPr>
      <t>Alcaldía Salento:</t>
    </r>
    <r>
      <rPr>
        <sz val="10"/>
        <rFont val="Calibri"/>
        <family val="2"/>
        <scheme val="minor"/>
      </rPr>
      <t xml:space="preserve"> Procesos a cargo de las Instituciones Educativas del Municipio.
</t>
    </r>
    <r>
      <rPr>
        <b/>
        <sz val="10"/>
        <rFont val="Calibri"/>
        <family val="2"/>
        <scheme val="minor"/>
      </rPr>
      <t>Alcaldía de Córdoba</t>
    </r>
    <r>
      <rPr>
        <sz val="10"/>
        <rFont val="Calibri"/>
        <family val="2"/>
        <scheme val="minor"/>
      </rPr>
      <t xml:space="preserve">:  garantizó la atención con estrategias de permanencia ( PAE - Programa de Alimentacion Escolar y transorte escolar) a los estudiantes que cumplen los criterios de focalización, igualmente se llevó a cabo la articulación con el SENA  para ofrecer dos modalidades técnicas (Técnico en Agroindustria alimentaria  y Técnico en Sistemas Agropecuarios Ecológicos).
</t>
    </r>
    <r>
      <rPr>
        <b/>
        <sz val="10"/>
        <rFont val="Calibri"/>
        <family val="2"/>
        <scheme val="minor"/>
      </rPr>
      <t xml:space="preserve">Alcaldía de Armenia: </t>
    </r>
    <r>
      <rPr>
        <sz val="10"/>
        <rFont val="Calibri"/>
        <family val="2"/>
        <scheme val="minor"/>
      </rPr>
      <t xml:space="preserve">INúmero de Instituciones educativas vinculadas al proyecto de TECNOACADEMIA 12 I.E  36500 niños, niñas, jóvenes y adultos.
</t>
    </r>
    <r>
      <rPr>
        <b/>
        <sz val="10"/>
        <rFont val="Calibri"/>
        <family val="2"/>
        <scheme val="minor"/>
      </rPr>
      <t>Alcaldía Filandia:</t>
    </r>
    <r>
      <rPr>
        <sz val="10"/>
        <rFont val="Calibri"/>
        <family val="2"/>
        <scheme val="minor"/>
      </rPr>
      <t xml:space="preserve"> 85%, cubriendo todos los grados de la media académica. Se matricularon para el 2022 un total de 275 estudiantes, de los cuales han desertado 8 hasta agosto de 2022. La proyección apunta a 324 estudiantes en la media académica
</t>
    </r>
    <r>
      <rPr>
        <b/>
        <sz val="10"/>
        <rFont val="Calibri"/>
        <family val="2"/>
        <scheme val="minor"/>
      </rPr>
      <t>Alcaldía de Calarcá:</t>
    </r>
    <r>
      <rPr>
        <sz val="10"/>
        <rFont val="Calibri"/>
        <family val="2"/>
        <scheme val="minor"/>
      </rPr>
      <t xml:space="preserve"> Se brinda apoyo a las instituciones educativas con el pago de los servicios públicos, para el beneficio de los estudiantes de basica secundaria y media vocacional en el municipio de calarcá´.
</t>
    </r>
  </si>
  <si>
    <r>
      <rPr>
        <b/>
        <sz val="10"/>
        <rFont val="Calibri"/>
        <family val="2"/>
        <scheme val="minor"/>
      </rPr>
      <t xml:space="preserve">
Secretaría de Familia:</t>
    </r>
    <r>
      <rPr>
        <sz val="10"/>
        <rFont val="Calibri"/>
        <family val="2"/>
        <scheme val="minor"/>
      </rPr>
      <t xml:space="preserve">  La tasa de absorcion de bachilleres es del 47,3% según el ultimo  reporte del Ministerio de Educación y   La Tasa de deserción a largo plazo (semestre 10) es del 54,3%
</t>
    </r>
    <r>
      <rPr>
        <b/>
        <sz val="10"/>
        <rFont val="Calibri"/>
        <family val="2"/>
        <scheme val="minor"/>
      </rPr>
      <t xml:space="preserve">Alcaldía de Buenavista: </t>
    </r>
    <r>
      <rPr>
        <sz val="10"/>
        <rFont val="Calibri"/>
        <family val="2"/>
        <scheme val="minor"/>
      </rPr>
      <t xml:space="preserve">desde la Institución Educativa se cuenta con un programa de estudio los días sábados que permite a los jóvenes con extra edad, terminar su bachillerato.
</t>
    </r>
    <r>
      <rPr>
        <b/>
        <sz val="10"/>
        <rFont val="Calibri"/>
        <family val="2"/>
        <scheme val="minor"/>
      </rPr>
      <t>Alcaldía de Filandia:</t>
    </r>
    <r>
      <rPr>
        <sz val="10"/>
        <rFont val="Calibri"/>
        <family val="2"/>
        <scheme val="minor"/>
      </rPr>
      <t xml:space="preserve"> 35%  de 140 recién graduados en el municipio de Filandia, ingresan al menos 25 a la Universidad en el siguiente año.
</t>
    </r>
    <r>
      <rPr>
        <b/>
        <sz val="10"/>
        <rFont val="Calibri"/>
        <family val="2"/>
        <scheme val="minor"/>
      </rPr>
      <t>Alcaldía Génova:</t>
    </r>
    <r>
      <rPr>
        <sz val="10"/>
        <rFont val="Calibri"/>
        <family val="2"/>
        <scheme val="minor"/>
      </rPr>
      <t xml:space="preserve"> 6 formaciones complementarias, tales como: empaques, muñequería navideña, comportamiento emprendedor, productos cosméticos y de aseo, manipulación de alimentos, panadería. Con el SENA Técnico en contabilización operarias comerciales y financieras con el SENA, cuarto semestre del segunda cohorte en administración pública con la esap y la respetiva preinscripción e inscripción del primer semestre del tercera cohorte en administración publica con la ESAP.
</t>
    </r>
    <r>
      <rPr>
        <b/>
        <sz val="10"/>
        <rFont val="Calibri"/>
        <family val="2"/>
        <scheme val="minor"/>
      </rPr>
      <t>Alcaldía Salento:</t>
    </r>
    <r>
      <rPr>
        <sz val="10"/>
        <rFont val="Calibri"/>
        <family val="2"/>
        <scheme val="minor"/>
      </rPr>
      <t xml:space="preserve"> Procesos a cargo de las Instituciones Educativas del Municipio.
</t>
    </r>
    <r>
      <rPr>
        <b/>
        <sz val="10"/>
        <rFont val="Calibri"/>
        <family val="2"/>
        <scheme val="minor"/>
      </rPr>
      <t>Alcaldía de Córdoba:</t>
    </r>
    <r>
      <rPr>
        <sz val="10"/>
        <rFont val="Calibri"/>
        <family val="2"/>
        <scheme val="minor"/>
      </rPr>
      <t xml:space="preserve"> En el municipio se encuentra conformado el comité municipal de becas universitarias para la educación superior pública, para quienes cumplan con los requisitos y envíen la solicitud. Actualmente no se encuentran beneficiarios ya que está en vigencia la política nacional de Matricula cero y los jóvenes del municipio que estudian en el universidad pública accedieron a esta.  la información no puede ser socializada en porcentaje (%) por el municipio. Igualmente realizó convenio interadministrativo con la ESAP, con el fin de que la población del municipio realizará una carrera universitaria de Administración Publica Territoria.       
</t>
    </r>
    <r>
      <rPr>
        <b/>
        <sz val="10"/>
        <rFont val="Calibri"/>
        <family val="2"/>
        <scheme val="minor"/>
      </rPr>
      <t>Alcaldía de Montenegro:</t>
    </r>
    <r>
      <rPr>
        <sz val="10"/>
        <rFont val="Calibri"/>
        <family val="2"/>
        <scheme val="minor"/>
      </rPr>
      <t xml:space="preserve"> al momento desde la subsecretaria de desarrollo social y ecucativo no se cuenta con esos datos para el primer trimestre del año.
</t>
    </r>
    <r>
      <rPr>
        <b/>
        <sz val="10"/>
        <rFont val="Calibri"/>
        <family val="2"/>
        <scheme val="minor"/>
      </rPr>
      <t>Alcaldía de Calarcá: S</t>
    </r>
    <r>
      <rPr>
        <sz val="10"/>
        <rFont val="Calibri"/>
        <family val="2"/>
        <scheme val="minor"/>
      </rPr>
      <t xml:space="preserve">e garantiza la alimentación escolar en las 14 instituciones educativas del Municipio. Además se cuenta con gratuidad de matrícula y cobertura del seguro escolar. 
</t>
    </r>
    <r>
      <rPr>
        <b/>
        <sz val="10"/>
        <rFont val="Calibri"/>
        <family val="2"/>
        <scheme val="minor"/>
      </rPr>
      <t xml:space="preserve">Secretaría de educación: </t>
    </r>
    <r>
      <rPr>
        <sz val="10"/>
        <rFont val="Calibri"/>
        <family val="2"/>
        <scheme val="minor"/>
      </rPr>
      <t xml:space="preserve">1. Qluster Didáctico Empresarial
2. Proyectos pedagógicos productivos.
3. Articulación con la Educación Superior.
4. Articulación con la Media Técnica.
5. Escuela Lider - Emprende Lider.
6. Territorio Stem + Qreativos.
7. Bilinguismo - Nativos
8. Plan de Oralidad. 
9. Laboratorios Pedagógicos Creativos.
</t>
    </r>
    <r>
      <rPr>
        <b/>
        <sz val="10"/>
        <rFont val="Calibri"/>
        <family val="2"/>
        <scheme val="minor"/>
      </rPr>
      <t xml:space="preserve">Alcaldia Armenia: </t>
    </r>
    <r>
      <rPr>
        <sz val="10"/>
        <rFont val="Calibri"/>
        <family val="2"/>
        <scheme val="minor"/>
      </rPr>
      <t xml:space="preserve">Tasa bruta de cobertura bruta en preescolar, básica primaria, secundaria y media es de 107,28%
</t>
    </r>
  </si>
  <si>
    <r>
      <t xml:space="preserve">
</t>
    </r>
    <r>
      <rPr>
        <b/>
        <sz val="10"/>
        <rFont val="Calibri"/>
        <family val="2"/>
        <scheme val="minor"/>
      </rPr>
      <t>Secretaría de Familia:</t>
    </r>
    <r>
      <rPr>
        <sz val="10"/>
        <rFont val="Calibri"/>
        <family val="2"/>
        <scheme val="minor"/>
      </rPr>
      <t xml:space="preserve"> La tasa de deserción universitaria es del 8,79%  según el ultimo reporte del Ministerio de Educación.
</t>
    </r>
    <r>
      <rPr>
        <b/>
        <sz val="10"/>
        <rFont val="Calibri"/>
        <family val="2"/>
        <scheme val="minor"/>
      </rPr>
      <t>Alcaldía de Buenavista</t>
    </r>
    <r>
      <rPr>
        <sz val="10"/>
        <rFont val="Calibri"/>
        <family val="2"/>
        <scheme val="minor"/>
      </rPr>
      <t xml:space="preserve">: Fomenta la educación superior y por ello tiene realizado un convenio con el instituto técnico INTEP de Roldanillo Valle, el cual ha puesto su sede en el municipio, para que los jóvenes estudien una carrera universitaria; también entrega tiquetes estudiantiles para que los jóvenes que estudian en la ciudad de Armenia, con estos incentivos fomentamos la educación superior y procuramos que los jóvenes no deserten de sus carreras profesionales.
</t>
    </r>
    <r>
      <rPr>
        <b/>
        <sz val="10"/>
        <rFont val="Calibri"/>
        <family val="2"/>
        <scheme val="minor"/>
      </rPr>
      <t>Alcaldía de Filandia:</t>
    </r>
    <r>
      <rPr>
        <sz val="10"/>
        <rFont val="Calibri"/>
        <family val="2"/>
        <scheme val="minor"/>
      </rPr>
      <t xml:space="preserve"> 40% de los estudiantes desertan de la Universidad a lo largo de su carrera, ya sea para cambiar de carrera o abandonar el sistema Universitario (15% a largo plazo).
</t>
    </r>
    <r>
      <rPr>
        <b/>
        <sz val="10"/>
        <rFont val="Calibri"/>
        <family val="2"/>
        <scheme val="minor"/>
      </rPr>
      <t>Alcaldía de Pijao:</t>
    </r>
    <r>
      <rPr>
        <sz val="10"/>
        <rFont val="Calibri"/>
        <family val="2"/>
        <scheme val="minor"/>
      </rPr>
      <t xml:space="preserve"> Se cuenta con la posada estudiantil en Armenia.
</t>
    </r>
    <r>
      <rPr>
        <b/>
        <sz val="10"/>
        <rFont val="Calibri"/>
        <family val="2"/>
        <scheme val="minor"/>
      </rPr>
      <t>Alcaldía Armenia</t>
    </r>
    <r>
      <rPr>
        <sz val="10"/>
        <rFont val="Calibri"/>
        <family val="2"/>
        <scheme val="minor"/>
      </rPr>
      <t xml:space="preserve">: Población víctimas del conflicto, vulnerables, jóvenes y adultos con estrategias de apoyo educativo  y seguimiento al ausentismo escolar.
</t>
    </r>
    <r>
      <rPr>
        <b/>
        <sz val="10"/>
        <rFont val="Calibri"/>
        <family val="2"/>
        <scheme val="minor"/>
      </rPr>
      <t>Alcaldía Génova:</t>
    </r>
    <r>
      <rPr>
        <sz val="10"/>
        <rFont val="Calibri"/>
        <family val="2"/>
        <scheme val="minor"/>
      </rPr>
      <t xml:space="preserve">  Docentes mejor capacitados, que podrán brindar mas conocimientos a sus estudiantes. Se Garantiza el acceso a una educación de calidad  de todos los niños niñas y adolescentes del municipio de Génova Quindío, se garantiza el acceso a una educación de calidad  de todos los niños niñas y adolescentes que se encuentran estudiando en las sedes urbanas y rurales del municipio de Génova Quindío, se garantiza el acceso a una educación de calidad  de todos los niños niñas y adolescentes del municipio de Génova Quindío, que se encuentran cursando básica secundaria y media en  la institución educativa san Vicente de Paul y la institución educativa instituto Génova, proteger  todos los niños niñas y adolescentes en caso de accidentes  que  se encuentra estudiando  en las instituciones educativas tanto en el área urbana y rural del municipio.
</t>
    </r>
    <r>
      <rPr>
        <b/>
        <sz val="10"/>
        <rFont val="Calibri"/>
        <family val="2"/>
        <scheme val="minor"/>
      </rPr>
      <t xml:space="preserve">Alcaldía Salento: </t>
    </r>
    <r>
      <rPr>
        <sz val="10"/>
        <rFont val="Calibri"/>
        <family val="2"/>
        <scheme val="minor"/>
      </rPr>
      <t xml:space="preserve">Avance en la propuesta de reestablecimiento de los subsidios de transporte para estudiantes universitarios residentes en el municipio.
</t>
    </r>
    <r>
      <rPr>
        <b/>
        <sz val="10"/>
        <rFont val="Calibri"/>
        <family val="2"/>
        <scheme val="minor"/>
      </rPr>
      <t>Alcaldía de Córdoba:</t>
    </r>
    <r>
      <rPr>
        <sz val="10"/>
        <rFont val="Calibri"/>
        <family val="2"/>
        <scheme val="minor"/>
      </rPr>
      <t xml:space="preserve"> La Institución Educativa ofrece en todo el ciclo básico lo que contribuye a asegurar la continuidad y el flujo de los estudiantes a través de los niveles de  básica, secundaria y media. Además, se ofrece dos modalidades en convenio SENA: Sistemas agropecuarios ecológicos y agroindustria alimentaria                                                                                                                              Implementación de jornada única con énfasis en artística: música- teatro en básica primaria.Se diseña de los Planes de Mejoramiento y al fortalecimiento de la institución educativa lo que permite definir nuevas metas, corregir deficiencias, reforzar fortalezas, mejorar estrategias pedagógicas y aumentar las tasas de promoción con buenos niveles de calidad.                                                                
 -Motivación a los niños para el acceso al conocimiento, se incentiva el desarrollo artístico    - Hay flexibilidad de los modelos educativos que se implementan, que son capaces de adaptarse a las necesidades de los niños y jóvenes.                                                       
-Seguimiento a través de comité de ausentismo.              
</t>
    </r>
    <r>
      <rPr>
        <b/>
        <sz val="10"/>
        <rFont val="Calibri"/>
        <family val="2"/>
        <scheme val="minor"/>
      </rPr>
      <t xml:space="preserve">Alcaldía de Calarcá: </t>
    </r>
    <r>
      <rPr>
        <sz val="10"/>
        <rFont val="Calibri"/>
        <family val="2"/>
        <scheme val="minor"/>
      </rPr>
      <t>Se realizan</t>
    </r>
    <r>
      <rPr>
        <b/>
        <sz val="10"/>
        <rFont val="Calibri"/>
        <family val="2"/>
        <scheme val="minor"/>
      </rPr>
      <t xml:space="preserve"> </t>
    </r>
    <r>
      <rPr>
        <sz val="10"/>
        <rFont val="Calibri"/>
        <family val="2"/>
        <scheme val="minor"/>
      </rPr>
      <t xml:space="preserve">sensibilizaciones de fortalecimiento familiar, con el fin de que los padres acompañen adecuadamente a sus hijos en el proceso educativo.
</t>
    </r>
  </si>
  <si>
    <r>
      <t xml:space="preserve">
</t>
    </r>
    <r>
      <rPr>
        <b/>
        <sz val="10"/>
        <rFont val="Calibri"/>
        <family val="2"/>
        <scheme val="minor"/>
      </rPr>
      <t>Secretaría de Familia:</t>
    </r>
    <r>
      <rPr>
        <sz val="10"/>
        <rFont val="Calibri"/>
        <family val="2"/>
        <scheme val="minor"/>
      </rPr>
      <t xml:space="preserve"> La tasa de cobertura de educación superior es del 62,3% según el ultimo reporte del Ministerio de Educación.
</t>
    </r>
  </si>
  <si>
    <r>
      <rPr>
        <b/>
        <sz val="10"/>
        <rFont val="Calibri"/>
        <family val="2"/>
        <scheme val="minor"/>
      </rPr>
      <t xml:space="preserve">Observación: </t>
    </r>
    <r>
      <rPr>
        <sz val="10"/>
        <rFont val="Calibri"/>
        <family val="2"/>
        <scheme val="minor"/>
      </rPr>
      <t>No se encuentra definida la tasa nacional</t>
    </r>
    <r>
      <rPr>
        <b/>
        <sz val="10"/>
        <rFont val="Calibri"/>
        <family val="2"/>
        <scheme val="minor"/>
      </rPr>
      <t xml:space="preserve">
Secretaría del Interior: </t>
    </r>
    <r>
      <rPr>
        <sz val="10"/>
        <rFont val="Calibri"/>
        <family val="2"/>
        <scheme val="minor"/>
      </rPr>
      <t xml:space="preserve">La tasa departamental actual es de  682 por cada 100 mil  jovenes según informe de página JUACO, 2019
</t>
    </r>
    <r>
      <rPr>
        <b/>
        <sz val="10"/>
        <rFont val="Calibri"/>
        <family val="2"/>
        <scheme val="minor"/>
      </rPr>
      <t xml:space="preserve">Comisaria de Familia Buenavista: </t>
    </r>
    <r>
      <rPr>
        <sz val="10"/>
        <rFont val="Calibri"/>
        <family val="2"/>
        <scheme val="minor"/>
      </rPr>
      <t>Se garantizó la operatividad de la mesa de participación de NNA en el municipio de Buenavista Q.        Desde la comisaria de familia se realizan acciones de promoción y prevención por medio de talleres en las instituciones educativas incluidas las sedes rurales, donde se benefician Niños, Niñas Adolescentes y Jóvenes.  en el mes de abril, mayo y junio se realizaron talleres en la institución educativa Rio verde bajo, en la sede los sauces, Sardineros, Paraguay y placer, en  Prevención de violencia en el entorno escolar  e Inteligencia emocional, hábitos y estilos de vida saludables  se realizaron  4 campañas:  "vacúnate contra la violencia " ,   se realizó campaña en articulación con secretaria del interior, ICBF, defensoría del pueblo, donde se socializaron las  funciones de la comisaria de comisaria de familia, derechos y deberes en la institución educativa instituto Buenavista ,  prevención de consumo de  SPA en articulación con la policía nacional,  prevención  para la erradicación del  trabajo infantil  se realizaron  talleres en comunidad indígena de la vereda los sauces  sobre  importancia de la familia en la garantía de derechos y sexualidad.  se realizaron escuelas de familia con el fin de fortalecer las habilidades, salud mental, conocimiento en derechos y deberes de las familias buenavisteñas.</t>
    </r>
    <r>
      <rPr>
        <b/>
        <sz val="10"/>
        <rFont val="Calibri"/>
        <family val="2"/>
        <scheme val="minor"/>
      </rPr>
      <t xml:space="preserve">
Comisaría de Familia La Tebaida: </t>
    </r>
    <r>
      <rPr>
        <sz val="10"/>
        <rFont val="Calibri"/>
        <family val="2"/>
        <scheme val="minor"/>
      </rPr>
      <t xml:space="preserve">16 AGOSTO DEL 2023 Se presenta campaña de prevención del Bullying TE RETO A DECIR NO, mediante video interactivo previendo estrategias para la resolución de conflictos y prevención de la salud mental, dicha campaña es presentada a estudiantes de diferentes grados de la Institución Educativa Gabriela Mistral.               17 AGOSTO DEL 2023 Se realiza acompañamiento en hogar infantil FUDESOPAC a padres de familia sobre fortalecimiento en pautas de crianza, manejo de la comunicación y prevención de la violencia en el contexto familiar.        11 SEPTIEMBRE DEL 2023 Capacitación a beneficiarios de Familias en Acción y Renta ciudadana sobre resolución de conflictos, ruta de atención en casos de violencia y presentación de oferta institucional.                                     15 SEPTIEMBRE 2023 Se realizo jornada Institucional mediante oferta de servicios en la Institución Educativa la Popa, se contó con el acompañamiento de Policía de Infancia y Adolescencia, enlace de salud mental, enlace de Infancia y Adolescencia y Secretaria de Educación de la Gobernación del Quindío. Por parte del equipo psicosocial se presentaron diferentes campañas de prevención en temas de consumo de SPA, violencia, Bullying y salud mental; dirigidas a estudiantes y docentes.                                         20 DE SEPTIEMBRE DEL 2023 Se presenta campaña de prevención de embarazo a temprana edad y derechos sexuales y reproductivos dirigida a estudiantes de la Institución Educativa Instituto Tebaida, así mismo se presenta oferta de servicios a los Niños, Niñas y Adolescentes de la Institución.
Comisaría de Familia Córdoba: Desde la Administración Municipal, se cuenta un comité de Convivencia Escolar el cual tiene un plan de acción encaminado en acciones en pro de la convivencia escolar, donde se realiza seguimiento trimestral, sin embargo, cabe precisar que no se cuenta con una asignación de un recurso especifico; frente al fortalecimiento del programa de Convivencia Ciudadana se cuenta con un plan de seguridad y convivencia en fase de implementación y seguimiento del mismo modo no se encuentra asignación del recurso especifico teniendo en cuenta que el recurso destinado hace parte de cada una de las metas del plan de desarrollo armonizadas para la ejecución de este, así como en la asignación contractual del líder del proceso.  
</t>
    </r>
    <r>
      <rPr>
        <b/>
        <sz val="10"/>
        <rFont val="Calibri"/>
        <family val="2"/>
        <scheme val="minor"/>
      </rPr>
      <t>Comisaría de Familia Córdoba:</t>
    </r>
    <r>
      <rPr>
        <sz val="10"/>
        <rFont val="Calibri"/>
        <family val="2"/>
        <scheme val="minor"/>
      </rPr>
      <t xml:space="preserve"> Desde la Administración Municipal, se cuenta un comité de Convivencia Escolar el cual tiene un plan de acción encaminado en acciones en pro de la convivencia escolar, donde se realiza seguimiento trimestral, sin embargo, cabe precisar que no se cuenta con una asignación de un recurso especifico; frente al fortalecimiento del programa de Convivencia Ciudadana se cuenta con un plan de seguridad y convivencia en fase de implementación y seguimiento del mismo modo no se encuentra asignación del recurso especifico teniendo en cuenta que el recurso destinado hace parte de cada una de las metas del plan de desarrollo armonizadas para la ejecución de este, así como en la asignación contractual del líder del proceso.  
</t>
    </r>
    <r>
      <rPr>
        <b/>
        <sz val="10"/>
        <rFont val="Calibri"/>
        <family val="2"/>
        <scheme val="minor"/>
      </rPr>
      <t>Comisaria de Familia Génova:</t>
    </r>
    <r>
      <rPr>
        <sz val="10"/>
        <rFont val="Calibri"/>
        <family val="2"/>
        <scheme val="minor"/>
      </rPr>
      <t xml:space="preserve"> Las proyectadas de acuerdo a las actividades de los contratos (Contratista adscrita a la Inspección de Policia Municipal).
</t>
    </r>
    <r>
      <rPr>
        <b/>
        <sz val="10"/>
        <rFont val="Calibri"/>
        <family val="2"/>
        <scheme val="minor"/>
      </rPr>
      <t xml:space="preserve">ICBF: </t>
    </r>
    <r>
      <rPr>
        <sz val="10"/>
        <rFont val="Calibri"/>
        <family val="2"/>
        <scheme val="minor"/>
      </rPr>
      <t xml:space="preserve">Asitencias técnicas, acompañamiento en los comités municipales, divulgación ruta de convivencia escolar.
</t>
    </r>
    <r>
      <rPr>
        <b/>
        <sz val="10"/>
        <rFont val="Calibri"/>
        <family val="2"/>
        <scheme val="minor"/>
      </rPr>
      <t>Alcaldía Montenegro:</t>
    </r>
    <r>
      <rPr>
        <sz val="10"/>
        <rFont val="Calibri"/>
        <family val="2"/>
        <scheme val="minor"/>
      </rPr>
      <t xml:space="preserve"> se realizó junto con jóvenes del barrismo social una actividad en el cae la primavera frente a la violencia por motivos de los colores de los equipos de futbol., actividad en la cual se busca generar conciencia frente a la importancia de la no violencia con otras personas
</t>
    </r>
    <r>
      <rPr>
        <b/>
        <sz val="10"/>
        <rFont val="Calibri"/>
        <family val="2"/>
        <scheme val="minor"/>
      </rPr>
      <t>Alcaldía Buenavista:</t>
    </r>
    <r>
      <rPr>
        <sz val="10"/>
        <rFont val="Calibri"/>
        <family val="2"/>
        <scheme val="minor"/>
      </rPr>
      <t xml:space="preserve"> interpersonal se realizan campañas lideradas por comisaria de familia y se apoyan de manera interinstitucional.
</t>
    </r>
    <r>
      <rPr>
        <b/>
        <sz val="10"/>
        <rFont val="Calibri"/>
        <family val="2"/>
        <scheme val="minor"/>
      </rPr>
      <t>Alcaldía Calarcá:</t>
    </r>
    <r>
      <rPr>
        <sz val="10"/>
        <rFont val="Calibri"/>
        <family val="2"/>
        <scheme val="minor"/>
      </rPr>
      <t xml:space="preserve"> desde los programas de salud mental, discapacidad y juventudes se realizan talleres en instituciones educativas con el fin  de fortalecer la convivencia escolar en estas
</t>
    </r>
    <r>
      <rPr>
        <b/>
        <sz val="10"/>
        <rFont val="Calibri"/>
        <family val="2"/>
        <scheme val="minor"/>
      </rPr>
      <t xml:space="preserve">Alcaldía de Pijao: </t>
    </r>
    <r>
      <rPr>
        <sz val="10"/>
        <rFont val="Calibri"/>
        <family val="2"/>
        <scheme val="minor"/>
      </rPr>
      <t xml:space="preserve">No cuenta con casos, no se 
adelanta ninguna acción.
</t>
    </r>
    <r>
      <rPr>
        <b/>
        <sz val="10"/>
        <rFont val="Calibri"/>
        <family val="2"/>
        <scheme val="minor"/>
      </rPr>
      <t>Alcaldía de Cordoba:</t>
    </r>
    <r>
      <rPr>
        <sz val="10"/>
        <rFont val="Calibri"/>
        <family val="2"/>
        <scheme val="minor"/>
      </rPr>
      <t xml:space="preserve"> La Administración municipal cuenta con el Comité Convivencia Escolar, en donde se desarrollaron las dos (02) sesiones, realizando informe de al cumplimiento de las acciones del Plan de Accion.  
La información no puede ser socializada en porcentaje (%) por el municipio. 
</t>
    </r>
  </si>
  <si>
    <r>
      <rPr>
        <b/>
        <sz val="10"/>
        <rFont val="Calibri"/>
        <family val="2"/>
        <scheme val="minor"/>
      </rPr>
      <t>Observación:</t>
    </r>
    <r>
      <rPr>
        <sz val="10"/>
        <rFont val="Calibri"/>
        <family val="2"/>
        <scheme val="minor"/>
      </rPr>
      <t xml:space="preserve"> Lo que reporta la Secretaría  de Cultura no es insumo para reportar avance del indicador planteado,  sin embargo se adelantan acciones que soporta la meta financiera reportada</t>
    </r>
    <r>
      <rPr>
        <b/>
        <sz val="10"/>
        <rFont val="Calibri"/>
        <family val="2"/>
        <scheme val="minor"/>
      </rPr>
      <t xml:space="preserve">
Secretaría de Cultura:</t>
    </r>
    <r>
      <rPr>
        <sz val="10"/>
        <rFont val="Calibri"/>
        <family val="2"/>
        <scheme val="minor"/>
      </rPr>
      <t xml:space="preserve"> Se siguen realizando los  talleres de tejidos en macramé, trapillo, acabado de manillas con jóvenes  del Amparo de niños Juan XXXIII, con asistencia de 29   jóvenes.</t>
    </r>
  </si>
  <si>
    <r>
      <rPr>
        <b/>
        <sz val="10"/>
        <rFont val="Calibri"/>
        <family val="2"/>
        <scheme val="minor"/>
      </rPr>
      <t>Observacion</t>
    </r>
    <r>
      <rPr>
        <sz val="10"/>
        <rFont val="Calibri"/>
        <family val="2"/>
        <scheme val="minor"/>
      </rPr>
      <t xml:space="preserve">: Lo que reporta la Secretaría  de Cultura no es insumo para reportar avance del indicador planteado,   sin embargo se adelantan acciones que soporta la meta financiera reportada
</t>
    </r>
    <r>
      <rPr>
        <b/>
        <sz val="10"/>
        <rFont val="Calibri"/>
        <family val="2"/>
        <scheme val="minor"/>
      </rPr>
      <t xml:space="preserve">Secretaría de Cultura: </t>
    </r>
    <r>
      <rPr>
        <sz val="10"/>
        <rFont val="Calibri"/>
        <family val="2"/>
        <scheme val="minor"/>
      </rPr>
      <t xml:space="preserve"> En el marco  del programa de estímulos beca de creación  fueron elegidos 7 jóvenes  ganadores del programa y que han venido desarrollando sus proyectos y se han benefciado en el desarrollo de estos 274 jóvenes.</t>
    </r>
  </si>
  <si>
    <r>
      <rPr>
        <b/>
        <sz val="10"/>
        <rFont val="Calibri"/>
        <family val="2"/>
        <scheme val="minor"/>
      </rPr>
      <t xml:space="preserve"> Observacion:</t>
    </r>
    <r>
      <rPr>
        <sz val="10"/>
        <rFont val="Calibri"/>
        <family val="2"/>
        <scheme val="minor"/>
      </rPr>
      <t xml:space="preserve"> Lo que reporta la Secretaría  de Cultura no es insumo para reportar avance del indicador planteado,   sin embargo se adelantan acciones que soporta la meta financiera reportada
</t>
    </r>
    <r>
      <rPr>
        <b/>
        <sz val="10"/>
        <rFont val="Calibri"/>
        <family val="2"/>
        <scheme val="minor"/>
      </rPr>
      <t>Secretaría de Cultura</t>
    </r>
    <r>
      <rPr>
        <sz val="10"/>
        <rFont val="Calibri"/>
        <family val="2"/>
        <scheme val="minor"/>
      </rPr>
      <t xml:space="preserve">: Se vienen ejecutando los proyectos de concertación en donde resultaron ganadores 40 fundaciones y asociaciones, en donde se han benefiaciado de agosto a septiembtre, 636 de esta población en talleres de danza, música, artes visuales y patrimonio. </t>
    </r>
  </si>
  <si>
    <r>
      <rPr>
        <b/>
        <sz val="10"/>
        <rFont val="Calibri"/>
        <family val="2"/>
        <scheme val="minor"/>
      </rPr>
      <t xml:space="preserve">  Observacion:</t>
    </r>
    <r>
      <rPr>
        <sz val="10"/>
        <rFont val="Calibri"/>
        <family val="2"/>
        <scheme val="minor"/>
      </rPr>
      <t xml:space="preserve"> lo que reporta la secretaria de Cultura no es insumo para reportar avance del indicador planteado,   sin embargo se adelantan acciones que soporta la meta financiera reportada</t>
    </r>
    <r>
      <rPr>
        <b/>
        <sz val="10"/>
        <rFont val="Calibri"/>
        <family val="2"/>
        <scheme val="minor"/>
      </rPr>
      <t xml:space="preserve">
Secretaría de Cultura:</t>
    </r>
    <r>
      <rPr>
        <sz val="10"/>
        <rFont val="Calibri"/>
        <family val="2"/>
        <scheme val="minor"/>
      </rPr>
      <t xml:space="preserve"> Formación en las diferentes areas como música , teatro, danza,  artes plasticas en los diferentes municipios de Quimbaya, Circasia, Armenia , Salento, Barcelona, contando con la participacion de 161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</si>
</sst>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 #,##0;[Red]\-&quot;$&quot;\ #,##0"/>
    <numFmt numFmtId="42" formatCode="_-&quot;$&quot;\ * #,##0_-;\-&quot;$&quot;\ * #,##0_-;_-&quot;$&quot;\ * &quot;-&quot;_-;_-@_-"/>
    <numFmt numFmtId="44" formatCode="_-&quot;$&quot;\ * #,##0.00_-;\-&quot;$&quot;\ * #,##0.00_-;_-&quot;$&quot;\ * &quot;-&quot;??_-;_-@_-"/>
    <numFmt numFmtId="164" formatCode="_(* #,##0.00_);_(* \(#,##0.00\);_(* &quot;-&quot;??_);_(@_)"/>
    <numFmt numFmtId="165" formatCode="&quot;$&quot;#,##0"/>
    <numFmt numFmtId="166" formatCode="0.0%"/>
    <numFmt numFmtId="167" formatCode="0.000%"/>
    <numFmt numFmtId="168" formatCode="&quot;$&quot;#,##0.000"/>
    <numFmt numFmtId="169" formatCode="&quot;$&quot;\ #,##0"/>
    <numFmt numFmtId="170" formatCode="&quot;$&quot;\ #,##0.00"/>
    <numFmt numFmtId="171" formatCode="_(* #,##0_);_(* \(#,##0\);_(* &quot;-&quot;??_);_(@_)"/>
    <numFmt numFmtId="172" formatCode="_(* #.##0.00_);_(* \(#.##0.00\);_(* &quot;-&quot;??_);_(@_)"/>
    <numFmt numFmtId="173" formatCode="_-&quot;$&quot;* #,##0_-;\-&quot;$&quot;* #,##0_-;_-&quot;$&quot;* &quot;-&quot;_-;_-@_-"/>
    <numFmt numFmtId="174" formatCode="_ [$€-2]\ * #,##0.00_ ;_ [$€-2]\ * \-#,##0.00_ ;_ [$€-2]\ * &quot;-&quot;??_ "/>
    <numFmt numFmtId="175" formatCode="_(&quot;$&quot;\ * #,##0_);_(&quot;$&quot;\ * \(#,##0\);_(&quot;$&quot;\ * &quot;-&quot;??_);_(@_)"/>
    <numFmt numFmtId="176" formatCode="0.0"/>
    <numFmt numFmtId="177" formatCode="_-[$$-240A]\ * #,##0.00_-;\-[$$-240A]\ * #,##0.00_-;_-[$$-240A]\ * &quot;-&quot;??_-;_-@_-"/>
  </numFmts>
  <fonts count="31" x14ac:knownFonts="1">
    <font>
      <sz val="11"/>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sz val="10"/>
      <name val="Calibri"/>
      <family val="2"/>
      <scheme val="minor"/>
    </font>
    <font>
      <sz val="10"/>
      <name val="Arial"/>
      <family val="2"/>
    </font>
    <font>
      <b/>
      <sz val="11"/>
      <color rgb="FF000000"/>
      <name val="Calibri"/>
      <family val="2"/>
      <scheme val="minor"/>
    </font>
    <font>
      <sz val="11"/>
      <color rgb="FF000000"/>
      <name val="Calibri"/>
      <family val="2"/>
      <scheme val="minor"/>
    </font>
    <font>
      <b/>
      <sz val="10"/>
      <color rgb="FF000000"/>
      <name val="Arial Narrow"/>
      <family val="2"/>
    </font>
    <font>
      <sz val="10"/>
      <color rgb="FF000000"/>
      <name val="Arial Narrow"/>
      <family val="2"/>
    </font>
    <font>
      <b/>
      <sz val="10"/>
      <color rgb="FFFFFF00"/>
      <name val="Arial Narrow"/>
      <family val="2"/>
    </font>
    <font>
      <b/>
      <sz val="10"/>
      <name val="Calibri"/>
      <family val="2"/>
      <scheme val="minor"/>
    </font>
    <font>
      <sz val="11"/>
      <name val="Calibri"/>
      <family val="2"/>
      <scheme val="minor"/>
    </font>
    <font>
      <sz val="10"/>
      <color rgb="FFFF0000"/>
      <name val="Calibri"/>
      <family val="2"/>
      <scheme val="minor"/>
    </font>
    <font>
      <b/>
      <sz val="10"/>
      <color rgb="FFFF0000"/>
      <name val="Calibri"/>
      <family val="2"/>
      <scheme val="minor"/>
    </font>
    <font>
      <sz val="10"/>
      <color rgb="FFFFFF00"/>
      <name val="Calibri"/>
      <family val="2"/>
      <scheme val="minor"/>
    </font>
    <font>
      <b/>
      <sz val="11"/>
      <color theme="1"/>
      <name val="Calibri"/>
      <family val="2"/>
      <scheme val="minor"/>
    </font>
    <font>
      <sz val="11"/>
      <color theme="1"/>
      <name val="Arial Narrow"/>
      <family val="2"/>
    </font>
    <font>
      <sz val="10"/>
      <color indexed="8"/>
      <name val="Calibri"/>
      <family val="2"/>
      <scheme val="minor"/>
    </font>
    <font>
      <b/>
      <sz val="9"/>
      <color rgb="FF000000"/>
      <name val="Tahoma"/>
      <family val="2"/>
    </font>
    <font>
      <sz val="9"/>
      <color rgb="FF000000"/>
      <name val="Tahoma"/>
      <family val="2"/>
    </font>
    <font>
      <sz val="10"/>
      <color indexed="8"/>
      <name val="Arial"/>
      <family val="2"/>
    </font>
    <font>
      <sz val="10"/>
      <color theme="1"/>
      <name val="Arial"/>
      <family val="2"/>
    </font>
    <font>
      <sz val="11"/>
      <color theme="1"/>
      <name val="Arial"/>
      <family val="2"/>
    </font>
    <font>
      <sz val="11"/>
      <name val="Arial"/>
      <family val="2"/>
    </font>
    <font>
      <sz val="12"/>
      <name val="Arial"/>
      <family val="2"/>
    </font>
    <font>
      <sz val="14"/>
      <color theme="1"/>
      <name val="Arial"/>
      <family val="2"/>
    </font>
    <font>
      <b/>
      <sz val="9"/>
      <color indexed="81"/>
      <name val="Tahoma"/>
      <family val="2"/>
    </font>
    <font>
      <sz val="9"/>
      <color indexed="81"/>
      <name val="Tahoma"/>
      <family val="2"/>
    </font>
    <font>
      <sz val="12"/>
      <color theme="1"/>
      <name val="Arial"/>
      <family val="2"/>
    </font>
    <font>
      <b/>
      <sz val="14"/>
      <color theme="1"/>
      <name val="Calibri"/>
      <family val="2"/>
      <scheme val="minor"/>
    </font>
  </fonts>
  <fills count="22">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rgb="FF00800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92D050"/>
        <bgColor indexed="64"/>
      </patternFill>
    </fill>
    <fill>
      <patternFill patternType="solid">
        <fgColor rgb="FFED7D31"/>
        <bgColor indexed="64"/>
      </patternFill>
    </fill>
    <fill>
      <patternFill patternType="solid">
        <fgColor rgb="FFA9D08E"/>
        <bgColor indexed="64"/>
      </patternFill>
    </fill>
    <fill>
      <patternFill patternType="solid">
        <fgColor rgb="FF00B050"/>
        <bgColor indexed="64"/>
      </patternFill>
    </fill>
    <fill>
      <patternFill patternType="solid">
        <fgColor rgb="FFA6A6A6"/>
        <bgColor indexed="64"/>
      </patternFill>
    </fill>
    <fill>
      <patternFill patternType="solid">
        <fgColor rgb="FFF8CBAD"/>
        <bgColor indexed="64"/>
      </patternFill>
    </fill>
    <fill>
      <patternFill patternType="solid">
        <fgColor rgb="FFD9D9D9"/>
        <bgColor indexed="64"/>
      </patternFill>
    </fill>
    <fill>
      <patternFill patternType="solid">
        <fgColor rgb="FFFFFFFF"/>
        <bgColor indexed="64"/>
      </patternFill>
    </fill>
    <fill>
      <patternFill patternType="solid">
        <fgColor theme="5" tint="0.59996337778862885"/>
        <bgColor indexed="64"/>
      </patternFill>
    </fill>
    <fill>
      <patternFill patternType="solid">
        <fgColor rgb="FFF98607"/>
        <bgColor indexed="64"/>
      </patternFill>
    </fill>
    <fill>
      <patternFill patternType="solid">
        <fgColor theme="5" tint="-0.249977111117893"/>
        <bgColor indexed="64"/>
      </patternFill>
    </fill>
    <fill>
      <patternFill patternType="solid">
        <fgColor rgb="FF7030A0"/>
        <bgColor indexed="64"/>
      </patternFill>
    </fill>
    <fill>
      <patternFill patternType="solid">
        <fgColor theme="4" tint="0.59999389629810485"/>
        <bgColor indexed="64"/>
      </patternFill>
    </fill>
    <fill>
      <patternFill patternType="solid">
        <fgColor theme="9" tint="0.59999389629810485"/>
        <bgColor indexed="64"/>
      </patternFill>
    </fill>
  </fills>
  <borders count="33">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thin">
        <color auto="1"/>
      </left>
      <right/>
      <top/>
      <bottom/>
      <diagonal/>
    </border>
    <border>
      <left/>
      <right style="medium">
        <color auto="1"/>
      </right>
      <top style="medium">
        <color auto="1"/>
      </top>
      <bottom style="medium">
        <color auto="1"/>
      </bottom>
      <diagonal/>
    </border>
    <border>
      <left/>
      <right style="medium">
        <color auto="1"/>
      </right>
      <top/>
      <bottom style="medium">
        <color auto="1"/>
      </bottom>
      <diagonal/>
    </border>
    <border>
      <left style="medium">
        <color auto="1"/>
      </left>
      <right style="medium">
        <color auto="1"/>
      </right>
      <top/>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medium">
        <color indexed="64"/>
      </top>
      <bottom style="medium">
        <color indexed="64"/>
      </bottom>
      <diagonal/>
    </border>
    <border>
      <left/>
      <right style="medium">
        <color rgb="FF000000"/>
      </right>
      <top/>
      <bottom style="medium">
        <color indexed="64"/>
      </bottom>
      <diagonal/>
    </border>
    <border>
      <left style="medium">
        <color auto="1"/>
      </left>
      <right/>
      <top style="medium">
        <color indexed="64"/>
      </top>
      <bottom style="medium">
        <color auto="1"/>
      </bottom>
      <diagonal/>
    </border>
    <border>
      <left style="medium">
        <color indexed="64"/>
      </left>
      <right style="thin">
        <color auto="1"/>
      </right>
      <top style="thin">
        <color auto="1"/>
      </top>
      <bottom style="medium">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thin">
        <color auto="1"/>
      </left>
      <right/>
      <top style="medium">
        <color auto="1"/>
      </top>
      <bottom/>
      <diagonal/>
    </border>
    <border>
      <left style="thin">
        <color auto="1"/>
      </left>
      <right/>
      <top/>
      <bottom style="medium">
        <color auto="1"/>
      </bottom>
      <diagonal/>
    </border>
    <border>
      <left style="medium">
        <color indexed="64"/>
      </left>
      <right style="thin">
        <color auto="1"/>
      </right>
      <top style="thin">
        <color auto="1"/>
      </top>
      <bottom/>
      <diagonal/>
    </border>
    <border>
      <left style="medium">
        <color indexed="64"/>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style="medium">
        <color auto="1"/>
      </right>
      <top/>
      <bottom style="thin">
        <color auto="1"/>
      </bottom>
      <diagonal/>
    </border>
    <border>
      <left style="medium">
        <color auto="1"/>
      </left>
      <right/>
      <top style="medium">
        <color auto="1"/>
      </top>
      <bottom/>
      <diagonal/>
    </border>
    <border>
      <left style="medium">
        <color auto="1"/>
      </left>
      <right/>
      <top/>
      <bottom/>
      <diagonal/>
    </border>
  </borders>
  <cellStyleXfs count="11">
    <xf numFmtId="0" fontId="0" fillId="0" borderId="0"/>
    <xf numFmtId="9" fontId="1" fillId="0" borderId="0" applyFont="0" applyFill="0" applyBorder="0" applyAlignment="0" applyProtection="0"/>
    <xf numFmtId="0" fontId="5" fillId="0" borderId="0"/>
    <xf numFmtId="164"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172" fontId="1" fillId="0" borderId="0" applyFont="0" applyFill="0" applyBorder="0" applyAlignment="0" applyProtection="0"/>
    <xf numFmtId="173" fontId="5" fillId="0" borderId="0" applyFont="0" applyFill="0" applyBorder="0" applyAlignment="0" applyProtection="0"/>
    <xf numFmtId="164" fontId="5" fillId="0" borderId="0" applyFont="0" applyFill="0" applyBorder="0" applyAlignment="0" applyProtection="0"/>
    <xf numFmtId="174" fontId="1" fillId="0" borderId="0"/>
    <xf numFmtId="164" fontId="5" fillId="0" borderId="0" applyFont="0" applyFill="0" applyBorder="0" applyAlignment="0" applyProtection="0"/>
  </cellStyleXfs>
  <cellXfs count="747">
    <xf numFmtId="0" fontId="0" fillId="0" borderId="0" xfId="0"/>
    <xf numFmtId="10" fontId="3" fillId="0" borderId="5" xfId="0" applyNumberFormat="1" applyFont="1" applyBorder="1" applyAlignment="1">
      <alignment horizontal="center" vertical="center" wrapText="1"/>
    </xf>
    <xf numFmtId="0" fontId="0" fillId="3" borderId="0" xfId="0" applyFill="1"/>
    <xf numFmtId="0" fontId="3" fillId="3" borderId="0" xfId="0" applyFont="1" applyFill="1"/>
    <xf numFmtId="0" fontId="0" fillId="0" borderId="0" xfId="0" applyAlignment="1">
      <alignment horizontal="center"/>
    </xf>
    <xf numFmtId="0" fontId="6" fillId="0" borderId="1" xfId="0" applyFont="1" applyBorder="1" applyAlignment="1">
      <alignment horizontal="center" vertical="center"/>
    </xf>
    <xf numFmtId="0" fontId="6" fillId="0" borderId="11" xfId="0" applyFont="1" applyBorder="1" applyAlignment="1">
      <alignment horizontal="center" vertical="center"/>
    </xf>
    <xf numFmtId="0" fontId="7" fillId="7" borderId="9" xfId="0" applyFont="1" applyFill="1" applyBorder="1" applyAlignment="1">
      <alignment horizontal="center" vertical="center"/>
    </xf>
    <xf numFmtId="0" fontId="7" fillId="0" borderId="12" xfId="0" applyFont="1" applyBorder="1" applyAlignment="1">
      <alignment horizontal="center" vertical="center"/>
    </xf>
    <xf numFmtId="0" fontId="7" fillId="9" borderId="9" xfId="0" applyFont="1" applyFill="1" applyBorder="1" applyAlignment="1">
      <alignment horizontal="center" vertical="center"/>
    </xf>
    <xf numFmtId="0" fontId="7" fillId="5" borderId="9" xfId="0" applyFont="1" applyFill="1" applyBorder="1" applyAlignment="1">
      <alignment horizontal="center" vertical="center"/>
    </xf>
    <xf numFmtId="0" fontId="7" fillId="10" borderId="9" xfId="0" applyFont="1" applyFill="1" applyBorder="1" applyAlignment="1">
      <alignment horizontal="center" vertical="center"/>
    </xf>
    <xf numFmtId="0" fontId="7" fillId="11" borderId="9" xfId="0" applyFont="1" applyFill="1" applyBorder="1" applyAlignment="1">
      <alignment horizontal="center" vertical="center"/>
    </xf>
    <xf numFmtId="0" fontId="3" fillId="5" borderId="12" xfId="0" applyFont="1" applyFill="1" applyBorder="1" applyAlignment="1">
      <alignment vertical="center"/>
    </xf>
    <xf numFmtId="9" fontId="3" fillId="0" borderId="5" xfId="1" applyFont="1" applyFill="1" applyBorder="1" applyAlignment="1">
      <alignment horizontal="center" vertical="center" wrapText="1"/>
    </xf>
    <xf numFmtId="9" fontId="0" fillId="3" borderId="0" xfId="1" applyFont="1" applyFill="1" applyAlignment="1">
      <alignment horizontal="center"/>
    </xf>
    <xf numFmtId="9" fontId="0" fillId="0" borderId="0" xfId="1" applyFont="1" applyAlignment="1">
      <alignment horizontal="center"/>
    </xf>
    <xf numFmtId="0" fontId="9" fillId="13" borderId="12" xfId="0" applyFont="1" applyFill="1" applyBorder="1" applyAlignment="1">
      <alignment horizontal="center" vertical="center" wrapText="1"/>
    </xf>
    <xf numFmtId="0" fontId="8" fillId="13" borderId="12" xfId="0" applyFont="1" applyFill="1" applyBorder="1" applyAlignment="1">
      <alignment horizontal="center" vertical="center" wrapText="1"/>
    </xf>
    <xf numFmtId="0" fontId="9" fillId="0" borderId="9" xfId="0" applyFont="1" applyBorder="1" applyAlignment="1">
      <alignment horizontal="center" vertical="center"/>
    </xf>
    <xf numFmtId="0" fontId="8" fillId="0" borderId="18" xfId="0" applyFont="1" applyBorder="1" applyAlignment="1">
      <alignment horizontal="center" vertical="center" wrapText="1"/>
    </xf>
    <xf numFmtId="0" fontId="8" fillId="0" borderId="12" xfId="0" applyFont="1" applyBorder="1" applyAlignment="1">
      <alignment horizontal="center" vertical="center"/>
    </xf>
    <xf numFmtId="0" fontId="10" fillId="7" borderId="12" xfId="0" applyFont="1" applyFill="1" applyBorder="1" applyAlignment="1">
      <alignment horizontal="center" vertical="center"/>
    </xf>
    <xf numFmtId="0" fontId="8" fillId="9" borderId="12" xfId="0" applyFont="1" applyFill="1" applyBorder="1" applyAlignment="1">
      <alignment horizontal="center" vertical="center"/>
    </xf>
    <xf numFmtId="0" fontId="8" fillId="8" borderId="12" xfId="0" applyFont="1" applyFill="1" applyBorder="1" applyAlignment="1">
      <alignment horizontal="center" vertical="center"/>
    </xf>
    <xf numFmtId="0" fontId="8" fillId="11" borderId="12" xfId="0" applyFont="1" applyFill="1" applyBorder="1" applyAlignment="1">
      <alignment horizontal="center" vertical="center"/>
    </xf>
    <xf numFmtId="0" fontId="8" fillId="14" borderId="12" xfId="0" applyFont="1" applyFill="1" applyBorder="1" applyAlignment="1">
      <alignment horizontal="center" vertical="center"/>
    </xf>
    <xf numFmtId="0" fontId="8" fillId="5" borderId="12" xfId="0" applyFont="1" applyFill="1" applyBorder="1" applyAlignment="1">
      <alignment horizontal="center" vertical="center"/>
    </xf>
    <xf numFmtId="0" fontId="10" fillId="7" borderId="9" xfId="0" applyFont="1" applyFill="1" applyBorder="1" applyAlignment="1">
      <alignment horizontal="center" vertical="center"/>
    </xf>
    <xf numFmtId="0" fontId="0" fillId="3" borderId="0" xfId="0" applyFill="1" applyAlignment="1">
      <alignment horizontal="center"/>
    </xf>
    <xf numFmtId="0" fontId="3" fillId="0" borderId="0" xfId="0" applyFont="1"/>
    <xf numFmtId="9" fontId="4" fillId="5" borderId="5" xfId="1" applyFont="1" applyFill="1" applyBorder="1" applyAlignment="1">
      <alignment horizontal="center" vertical="center"/>
    </xf>
    <xf numFmtId="0" fontId="4" fillId="0" borderId="5" xfId="0" applyFont="1" applyBorder="1" applyAlignment="1">
      <alignment horizontal="center" vertical="center"/>
    </xf>
    <xf numFmtId="9" fontId="4" fillId="0" borderId="5" xfId="1" applyFont="1" applyFill="1" applyBorder="1" applyAlignment="1">
      <alignment horizontal="center" vertical="center"/>
    </xf>
    <xf numFmtId="9" fontId="4" fillId="4" borderId="5" xfId="1" applyFont="1" applyFill="1" applyBorder="1" applyAlignment="1">
      <alignment horizontal="center" vertical="center"/>
    </xf>
    <xf numFmtId="1" fontId="4" fillId="0" borderId="5" xfId="1" applyNumberFormat="1" applyFont="1" applyFill="1" applyBorder="1" applyAlignment="1">
      <alignment horizontal="center" vertical="center"/>
    </xf>
    <xf numFmtId="10" fontId="4" fillId="0" borderId="5" xfId="0" applyNumberFormat="1" applyFont="1" applyBorder="1" applyAlignment="1">
      <alignment horizontal="center" vertical="center" wrapText="1"/>
    </xf>
    <xf numFmtId="10" fontId="4" fillId="3" borderId="5" xfId="0" applyNumberFormat="1" applyFont="1" applyFill="1" applyBorder="1" applyAlignment="1">
      <alignment horizontal="center" vertical="center" wrapText="1"/>
    </xf>
    <xf numFmtId="166" fontId="4" fillId="3" borderId="5" xfId="1" applyNumberFormat="1" applyFont="1" applyFill="1" applyBorder="1" applyAlignment="1">
      <alignment horizontal="center" vertical="center" wrapText="1"/>
    </xf>
    <xf numFmtId="166" fontId="4" fillId="3" borderId="5" xfId="0" applyNumberFormat="1" applyFont="1" applyFill="1" applyBorder="1" applyAlignment="1">
      <alignment horizontal="center" vertical="center" wrapText="1"/>
    </xf>
    <xf numFmtId="9" fontId="4" fillId="5" borderId="5" xfId="1" applyFont="1" applyFill="1" applyBorder="1" applyAlignment="1">
      <alignment horizontal="center" vertical="center" wrapText="1"/>
    </xf>
    <xf numFmtId="164" fontId="4" fillId="3" borderId="5" xfId="3" applyFont="1" applyFill="1" applyBorder="1" applyAlignment="1">
      <alignment horizontal="center" vertical="center" wrapText="1"/>
    </xf>
    <xf numFmtId="9" fontId="4" fillId="6" borderId="5" xfId="1" applyFont="1" applyFill="1" applyBorder="1" applyAlignment="1">
      <alignment horizontal="center" vertical="center" wrapText="1"/>
    </xf>
    <xf numFmtId="44" fontId="4" fillId="3" borderId="5" xfId="4" applyFont="1" applyFill="1" applyBorder="1" applyAlignment="1">
      <alignment horizontal="center" vertical="center" wrapText="1"/>
    </xf>
    <xf numFmtId="49" fontId="4" fillId="0" borderId="5" xfId="0" applyNumberFormat="1" applyFont="1" applyBorder="1" applyAlignment="1">
      <alignment horizontal="center" vertical="center" wrapText="1"/>
    </xf>
    <xf numFmtId="9" fontId="4" fillId="0" borderId="5" xfId="0" applyNumberFormat="1" applyFont="1" applyBorder="1" applyAlignment="1">
      <alignment horizontal="center" vertical="center"/>
    </xf>
    <xf numFmtId="9" fontId="4" fillId="7" borderId="5" xfId="1" applyFont="1" applyFill="1" applyBorder="1" applyAlignment="1">
      <alignment horizontal="center" vertical="center"/>
    </xf>
    <xf numFmtId="0" fontId="4" fillId="0" borderId="5" xfId="0" applyFont="1" applyBorder="1" applyAlignment="1">
      <alignment horizontal="center" vertical="center" wrapText="1"/>
    </xf>
    <xf numFmtId="0" fontId="0" fillId="0" borderId="0" xfId="0" applyProtection="1">
      <protection locked="0"/>
    </xf>
    <xf numFmtId="0" fontId="15" fillId="7" borderId="12" xfId="0" applyFont="1" applyFill="1" applyBorder="1" applyAlignment="1">
      <alignment horizontal="center" vertical="center"/>
    </xf>
    <xf numFmtId="3" fontId="4" fillId="3" borderId="5" xfId="0" applyNumberFormat="1" applyFont="1" applyFill="1" applyBorder="1" applyAlignment="1">
      <alignment horizontal="center" vertical="center" wrapText="1"/>
    </xf>
    <xf numFmtId="0" fontId="4" fillId="3" borderId="0" xfId="0" applyFont="1" applyFill="1"/>
    <xf numFmtId="165" fontId="4" fillId="3" borderId="5" xfId="0" applyNumberFormat="1" applyFont="1" applyFill="1" applyBorder="1" applyAlignment="1">
      <alignment vertical="center" wrapText="1"/>
    </xf>
    <xf numFmtId="1" fontId="4" fillId="0" borderId="5" xfId="0" applyNumberFormat="1" applyFont="1" applyBorder="1" applyAlignment="1">
      <alignment horizontal="center" vertical="center" wrapText="1"/>
    </xf>
    <xf numFmtId="9" fontId="4" fillId="4" borderId="5" xfId="1" applyFont="1" applyFill="1" applyBorder="1" applyAlignment="1">
      <alignment horizontal="center" vertical="center" wrapText="1"/>
    </xf>
    <xf numFmtId="165" fontId="4" fillId="3" borderId="5" xfId="0" applyNumberFormat="1" applyFont="1" applyFill="1" applyBorder="1" applyAlignment="1">
      <alignment horizontal="center" vertical="center" wrapText="1"/>
    </xf>
    <xf numFmtId="9" fontId="4" fillId="3" borderId="5" xfId="1" applyFont="1" applyFill="1" applyBorder="1" applyAlignment="1">
      <alignment horizontal="center" vertical="center" wrapText="1"/>
    </xf>
    <xf numFmtId="0" fontId="4" fillId="3" borderId="5" xfId="0" applyFont="1" applyFill="1" applyBorder="1" applyAlignment="1">
      <alignment horizontal="center" vertical="center" wrapText="1"/>
    </xf>
    <xf numFmtId="10" fontId="4" fillId="3" borderId="5" xfId="1" applyNumberFormat="1" applyFont="1" applyFill="1" applyBorder="1" applyAlignment="1">
      <alignment horizontal="center" vertical="center" wrapText="1"/>
    </xf>
    <xf numFmtId="9" fontId="4" fillId="3" borderId="5" xfId="0" applyNumberFormat="1" applyFont="1" applyFill="1" applyBorder="1" applyAlignment="1">
      <alignment horizontal="center" vertical="center" wrapText="1"/>
    </xf>
    <xf numFmtId="9" fontId="4" fillId="7" borderId="5" xfId="1" applyFont="1" applyFill="1" applyBorder="1" applyAlignment="1">
      <alignment horizontal="center" vertical="center" wrapText="1"/>
    </xf>
    <xf numFmtId="9" fontId="4" fillId="0" borderId="5" xfId="0" applyNumberFormat="1" applyFont="1" applyBorder="1" applyAlignment="1">
      <alignment horizontal="center" vertical="center" wrapText="1"/>
    </xf>
    <xf numFmtId="0" fontId="11" fillId="2" borderId="8" xfId="0" applyFont="1" applyFill="1" applyBorder="1" applyAlignment="1">
      <alignment horizontal="center" vertical="center" wrapText="1"/>
    </xf>
    <xf numFmtId="0" fontId="4" fillId="3" borderId="5" xfId="0" applyFont="1" applyFill="1" applyBorder="1" applyAlignment="1">
      <alignment horizontal="center" vertical="center"/>
    </xf>
    <xf numFmtId="0" fontId="4" fillId="0" borderId="7" xfId="0" applyFont="1" applyBorder="1" applyAlignment="1">
      <alignment horizontal="center" vertical="center" wrapText="1"/>
    </xf>
    <xf numFmtId="6" fontId="4" fillId="3" borderId="5" xfId="4" applyNumberFormat="1" applyFont="1" applyFill="1" applyBorder="1" applyAlignment="1">
      <alignment horizontal="center" vertical="center" wrapText="1"/>
    </xf>
    <xf numFmtId="0" fontId="0" fillId="0" borderId="0" xfId="0" applyAlignment="1">
      <alignment horizontal="center" vertical="center"/>
    </xf>
    <xf numFmtId="0" fontId="0" fillId="3" borderId="0" xfId="0" applyFill="1" applyAlignment="1">
      <alignment horizontal="center" vertical="center"/>
    </xf>
    <xf numFmtId="0" fontId="3" fillId="0" borderId="5" xfId="0" applyFont="1" applyBorder="1" applyAlignment="1">
      <alignment horizontal="center" vertical="center"/>
    </xf>
    <xf numFmtId="165" fontId="3" fillId="0" borderId="5" xfId="0" applyNumberFormat="1" applyFont="1" applyBorder="1" applyAlignment="1">
      <alignment horizontal="center" vertical="center" wrapText="1"/>
    </xf>
    <xf numFmtId="9" fontId="3" fillId="4" borderId="5" xfId="1" applyFont="1" applyFill="1" applyBorder="1" applyAlignment="1">
      <alignment horizontal="center" vertical="center"/>
    </xf>
    <xf numFmtId="9" fontId="3" fillId="0" borderId="5" xfId="1" applyFont="1" applyFill="1" applyBorder="1" applyAlignment="1">
      <alignment horizontal="center" vertical="center"/>
    </xf>
    <xf numFmtId="1" fontId="3" fillId="0" borderId="5" xfId="1" applyNumberFormat="1" applyFont="1" applyFill="1" applyBorder="1" applyAlignment="1">
      <alignment horizontal="center" vertical="center"/>
    </xf>
    <xf numFmtId="165" fontId="3" fillId="3" borderId="5" xfId="0" applyNumberFormat="1" applyFont="1" applyFill="1" applyBorder="1" applyAlignment="1">
      <alignment horizontal="center" vertical="center" wrapText="1"/>
    </xf>
    <xf numFmtId="0" fontId="3" fillId="3" borderId="5" xfId="0" applyFont="1" applyFill="1" applyBorder="1" applyAlignment="1">
      <alignment horizontal="center" vertical="center" wrapText="1"/>
    </xf>
    <xf numFmtId="9" fontId="3" fillId="4" borderId="5" xfId="1" applyFont="1" applyFill="1" applyBorder="1" applyAlignment="1">
      <alignment horizontal="center" vertical="center" wrapText="1"/>
    </xf>
    <xf numFmtId="0" fontId="3" fillId="3" borderId="5" xfId="0" applyFont="1" applyFill="1" applyBorder="1" applyAlignment="1">
      <alignment vertical="center" wrapText="1"/>
    </xf>
    <xf numFmtId="9" fontId="3" fillId="7" borderId="5" xfId="1" applyFont="1" applyFill="1" applyBorder="1" applyAlignment="1">
      <alignment horizontal="center" vertical="center" wrapText="1"/>
    </xf>
    <xf numFmtId="9" fontId="3" fillId="3" borderId="5" xfId="0" applyNumberFormat="1" applyFont="1" applyFill="1" applyBorder="1" applyAlignment="1">
      <alignment horizontal="center" vertical="center" wrapText="1"/>
    </xf>
    <xf numFmtId="1" fontId="3" fillId="3" borderId="5" xfId="0" applyNumberFormat="1" applyFont="1" applyFill="1" applyBorder="1" applyAlignment="1">
      <alignment horizontal="center" vertical="center" wrapText="1"/>
    </xf>
    <xf numFmtId="9" fontId="3" fillId="3" borderId="5" xfId="1" applyFont="1" applyFill="1" applyBorder="1" applyAlignment="1">
      <alignment horizontal="center" vertical="center" wrapText="1"/>
    </xf>
    <xf numFmtId="9" fontId="3" fillId="6" borderId="5" xfId="1" applyFont="1" applyFill="1" applyBorder="1" applyAlignment="1">
      <alignment horizontal="center" vertical="center" wrapText="1"/>
    </xf>
    <xf numFmtId="165" fontId="3" fillId="3" borderId="5" xfId="0" applyNumberFormat="1" applyFont="1" applyFill="1" applyBorder="1" applyAlignment="1">
      <alignment vertical="center" wrapText="1"/>
    </xf>
    <xf numFmtId="3" fontId="3" fillId="0" borderId="5" xfId="0" applyNumberFormat="1" applyFont="1" applyBorder="1" applyAlignment="1">
      <alignment horizontal="center" vertical="center" wrapText="1"/>
    </xf>
    <xf numFmtId="9" fontId="18" fillId="4" borderId="5" xfId="1" applyFont="1" applyFill="1" applyBorder="1" applyAlignment="1">
      <alignment horizontal="center" vertical="center" wrapText="1"/>
    </xf>
    <xf numFmtId="0" fontId="3" fillId="0" borderId="5" xfId="0" applyFont="1" applyBorder="1" applyAlignment="1">
      <alignment horizontal="center" vertical="center" wrapText="1"/>
    </xf>
    <xf numFmtId="49" fontId="3" fillId="3" borderId="5" xfId="0" applyNumberFormat="1" applyFont="1" applyFill="1" applyBorder="1" applyAlignment="1">
      <alignment horizontal="center" vertical="center" wrapText="1"/>
    </xf>
    <xf numFmtId="9" fontId="3" fillId="3" borderId="5" xfId="0" applyNumberFormat="1" applyFont="1" applyFill="1" applyBorder="1" applyAlignment="1">
      <alignment horizontal="center" vertical="center"/>
    </xf>
    <xf numFmtId="0" fontId="3" fillId="3" borderId="5" xfId="0" applyFont="1" applyFill="1" applyBorder="1" applyAlignment="1">
      <alignment horizontal="center" vertical="center"/>
    </xf>
    <xf numFmtId="9" fontId="3" fillId="7" borderId="5" xfId="1" applyFont="1" applyFill="1" applyBorder="1" applyAlignment="1">
      <alignment horizontal="center" vertical="center"/>
    </xf>
    <xf numFmtId="0" fontId="17" fillId="0" borderId="5" xfId="0" applyFont="1" applyBorder="1" applyAlignment="1">
      <alignment horizontal="center" vertical="center" wrapText="1"/>
    </xf>
    <xf numFmtId="9" fontId="17" fillId="0" borderId="5" xfId="0" applyNumberFormat="1" applyFont="1" applyBorder="1" applyAlignment="1">
      <alignment horizontal="center" vertical="center" wrapText="1"/>
    </xf>
    <xf numFmtId="0" fontId="17" fillId="0" borderId="21" xfId="0" applyFont="1" applyBorder="1" applyAlignment="1">
      <alignment horizontal="center" vertical="center" wrapText="1"/>
    </xf>
    <xf numFmtId="1" fontId="4" fillId="3" borderId="21" xfId="3" applyNumberFormat="1" applyFont="1" applyFill="1" applyBorder="1" applyAlignment="1">
      <alignment horizontal="center" vertical="center" wrapText="1"/>
    </xf>
    <xf numFmtId="164" fontId="4" fillId="3" borderId="21" xfId="3" applyFont="1" applyFill="1" applyBorder="1" applyAlignment="1">
      <alignment horizontal="center" vertical="center" wrapText="1"/>
    </xf>
    <xf numFmtId="1" fontId="4" fillId="0" borderId="21" xfId="0" applyNumberFormat="1" applyFont="1" applyBorder="1" applyAlignment="1">
      <alignment horizontal="center" vertical="center" wrapText="1"/>
    </xf>
    <xf numFmtId="49" fontId="4" fillId="0" borderId="21" xfId="0" applyNumberFormat="1" applyFont="1" applyBorder="1" applyAlignment="1">
      <alignment horizontal="center" vertical="center" wrapText="1"/>
    </xf>
    <xf numFmtId="0" fontId="4" fillId="3" borderId="22" xfId="0" applyFont="1" applyFill="1" applyBorder="1" applyAlignment="1">
      <alignment horizontal="left" vertical="center" wrapText="1"/>
    </xf>
    <xf numFmtId="9" fontId="4" fillId="0" borderId="21" xfId="0" applyNumberFormat="1" applyFont="1" applyBorder="1" applyAlignment="1">
      <alignment horizontal="center" vertical="center"/>
    </xf>
    <xf numFmtId="9" fontId="4" fillId="3" borderId="22" xfId="0" applyNumberFormat="1" applyFont="1" applyFill="1" applyBorder="1" applyAlignment="1">
      <alignment horizontal="left" vertical="center" wrapText="1"/>
    </xf>
    <xf numFmtId="0" fontId="4" fillId="3" borderId="21" xfId="0" applyFont="1" applyFill="1" applyBorder="1" applyAlignment="1">
      <alignment horizontal="center" vertical="center"/>
    </xf>
    <xf numFmtId="0" fontId="4" fillId="3" borderId="20" xfId="0" applyFont="1" applyFill="1" applyBorder="1" applyAlignment="1">
      <alignment horizontal="center" vertical="center"/>
    </xf>
    <xf numFmtId="0" fontId="4" fillId="3" borderId="7" xfId="0" applyFont="1" applyFill="1" applyBorder="1" applyAlignment="1">
      <alignment horizontal="center" vertical="center"/>
    </xf>
    <xf numFmtId="9" fontId="4" fillId="5" borderId="7" xfId="1" applyFont="1" applyFill="1" applyBorder="1" applyAlignment="1">
      <alignment horizontal="center" vertical="center"/>
    </xf>
    <xf numFmtId="165" fontId="4" fillId="3" borderId="7" xfId="0" applyNumberFormat="1" applyFont="1" applyFill="1" applyBorder="1" applyAlignment="1">
      <alignment horizontal="center" vertical="center" wrapText="1"/>
    </xf>
    <xf numFmtId="168" fontId="4" fillId="3" borderId="7" xfId="0" applyNumberFormat="1" applyFont="1" applyFill="1" applyBorder="1" applyAlignment="1">
      <alignment horizontal="center" vertical="center" wrapText="1"/>
    </xf>
    <xf numFmtId="0" fontId="4" fillId="3" borderId="23" xfId="0" applyFont="1" applyFill="1" applyBorder="1" applyAlignment="1">
      <alignment horizontal="left" vertical="center" wrapText="1"/>
    </xf>
    <xf numFmtId="0" fontId="4" fillId="0" borderId="14" xfId="0" applyFont="1" applyBorder="1" applyAlignment="1">
      <alignment horizontal="center" vertical="center" wrapText="1"/>
    </xf>
    <xf numFmtId="0" fontId="4" fillId="0" borderId="14" xfId="0" applyFont="1" applyBorder="1" applyAlignment="1">
      <alignment horizontal="justify" vertical="center" wrapText="1"/>
    </xf>
    <xf numFmtId="0" fontId="4" fillId="0" borderId="22" xfId="0" applyFont="1" applyBorder="1" applyAlignment="1">
      <alignment horizontal="center" vertical="center" wrapText="1"/>
    </xf>
    <xf numFmtId="9" fontId="4" fillId="0" borderId="22" xfId="0" applyNumberFormat="1" applyFont="1" applyBorder="1" applyAlignment="1">
      <alignment horizontal="center" vertical="center" wrapText="1"/>
    </xf>
    <xf numFmtId="0" fontId="4" fillId="0" borderId="21" xfId="0" applyFont="1" applyBorder="1" applyAlignment="1">
      <alignment horizontal="center" vertical="center" wrapText="1"/>
    </xf>
    <xf numFmtId="0" fontId="4" fillId="3" borderId="21" xfId="0" applyFont="1" applyFill="1" applyBorder="1" applyAlignment="1">
      <alignment horizontal="center" vertical="center" wrapText="1"/>
    </xf>
    <xf numFmtId="0" fontId="4" fillId="0" borderId="20" xfId="0" applyFont="1" applyBorder="1" applyAlignment="1">
      <alignment horizontal="center" vertical="center" wrapText="1"/>
    </xf>
    <xf numFmtId="0" fontId="4" fillId="0" borderId="23" xfId="0" applyFont="1" applyBorder="1" applyAlignment="1">
      <alignment horizontal="center" vertical="center" wrapText="1"/>
    </xf>
    <xf numFmtId="0" fontId="18" fillId="0" borderId="5" xfId="0" applyFont="1" applyBorder="1" applyAlignment="1">
      <alignment horizontal="center" vertical="center" wrapText="1"/>
    </xf>
    <xf numFmtId="0" fontId="3" fillId="0" borderId="5" xfId="0" applyFont="1" applyBorder="1" applyAlignment="1">
      <alignment horizontal="justify" vertical="center" wrapText="1"/>
    </xf>
    <xf numFmtId="9" fontId="3" fillId="0" borderId="5" xfId="0" applyNumberFormat="1" applyFont="1" applyBorder="1" applyAlignment="1">
      <alignment horizontal="justify" vertical="center" wrapText="1"/>
    </xf>
    <xf numFmtId="9" fontId="3" fillId="0" borderId="5" xfId="0" applyNumberFormat="1" applyFont="1" applyBorder="1" applyAlignment="1">
      <alignment horizontal="center" vertical="center"/>
    </xf>
    <xf numFmtId="171" fontId="5" fillId="0" borderId="5" xfId="5" applyNumberFormat="1" applyFont="1" applyFill="1" applyBorder="1" applyAlignment="1" applyProtection="1">
      <alignment horizontal="center" vertical="center"/>
      <protection locked="0"/>
    </xf>
    <xf numFmtId="165" fontId="3" fillId="0" borderId="5" xfId="0" applyNumberFormat="1" applyFont="1" applyBorder="1" applyAlignment="1">
      <alignment horizontal="center" vertical="center"/>
    </xf>
    <xf numFmtId="3" fontId="3" fillId="0" borderId="5" xfId="0" applyNumberFormat="1" applyFont="1" applyBorder="1" applyAlignment="1">
      <alignment horizontal="center" vertical="center"/>
    </xf>
    <xf numFmtId="165" fontId="3" fillId="0" borderId="5" xfId="1" applyNumberFormat="1" applyFont="1" applyFill="1" applyBorder="1" applyAlignment="1">
      <alignment horizontal="center" vertical="center"/>
    </xf>
    <xf numFmtId="3" fontId="3" fillId="0" borderId="5" xfId="1" applyNumberFormat="1" applyFont="1" applyFill="1" applyBorder="1" applyAlignment="1">
      <alignment horizontal="center" vertical="center"/>
    </xf>
    <xf numFmtId="171" fontId="23" fillId="0" borderId="5" xfId="8" applyNumberFormat="1" applyFont="1" applyFill="1" applyBorder="1" applyAlignment="1">
      <alignment horizontal="center" vertical="center" wrapText="1"/>
    </xf>
    <xf numFmtId="0" fontId="0" fillId="0" borderId="5" xfId="0" applyBorder="1" applyAlignment="1">
      <alignment horizontal="center" vertical="center"/>
    </xf>
    <xf numFmtId="1" fontId="0" fillId="0" borderId="5" xfId="0" applyNumberFormat="1" applyBorder="1" applyAlignment="1">
      <alignment horizontal="center" vertical="center"/>
    </xf>
    <xf numFmtId="175" fontId="0" fillId="3" borderId="5" xfId="4" applyNumberFormat="1" applyFont="1" applyFill="1" applyBorder="1" applyAlignment="1">
      <alignment horizontal="center" vertical="center"/>
    </xf>
    <xf numFmtId="3" fontId="0" fillId="0" borderId="5" xfId="0" applyNumberFormat="1" applyBorder="1" applyAlignment="1">
      <alignment horizontal="center" vertical="center"/>
    </xf>
    <xf numFmtId="0" fontId="18" fillId="3" borderId="5" xfId="0" applyFont="1" applyFill="1" applyBorder="1" applyAlignment="1">
      <alignment horizontal="center" vertical="center" wrapText="1"/>
    </xf>
    <xf numFmtId="9" fontId="0" fillId="3" borderId="5" xfId="1" applyFont="1" applyFill="1" applyBorder="1" applyAlignment="1">
      <alignment horizontal="center" vertical="center"/>
    </xf>
    <xf numFmtId="0" fontId="0" fillId="3" borderId="5" xfId="0" applyFill="1" applyBorder="1" applyAlignment="1">
      <alignment horizontal="center" vertical="center"/>
    </xf>
    <xf numFmtId="0" fontId="3" fillId="3" borderId="7" xfId="0" applyFont="1" applyFill="1" applyBorder="1" applyAlignment="1">
      <alignment horizontal="center" vertical="center"/>
    </xf>
    <xf numFmtId="0" fontId="4" fillId="3" borderId="22" xfId="0" applyFont="1" applyFill="1" applyBorder="1" applyAlignment="1">
      <alignment vertical="center" wrapText="1"/>
    </xf>
    <xf numFmtId="9" fontId="4" fillId="3" borderId="21" xfId="0" applyNumberFormat="1" applyFont="1" applyFill="1" applyBorder="1" applyAlignment="1">
      <alignment horizontal="center" vertical="center" wrapText="1"/>
    </xf>
    <xf numFmtId="9" fontId="3" fillId="3" borderId="22" xfId="0" applyNumberFormat="1" applyFont="1" applyFill="1" applyBorder="1" applyAlignment="1">
      <alignment horizontal="left" vertical="center" wrapText="1"/>
    </xf>
    <xf numFmtId="1" fontId="4" fillId="3" borderId="21" xfId="0" applyNumberFormat="1" applyFont="1" applyFill="1" applyBorder="1" applyAlignment="1">
      <alignment horizontal="center" vertical="center" wrapText="1"/>
    </xf>
    <xf numFmtId="0" fontId="4" fillId="3" borderId="22" xfId="0" applyFont="1" applyFill="1" applyBorder="1" applyAlignment="1">
      <alignment horizontal="justify" vertical="center" wrapText="1"/>
    </xf>
    <xf numFmtId="167" fontId="4" fillId="0" borderId="21" xfId="1" applyNumberFormat="1" applyFont="1" applyFill="1" applyBorder="1" applyAlignment="1">
      <alignment horizontal="center" vertical="center" wrapText="1"/>
    </xf>
    <xf numFmtId="0" fontId="4" fillId="3" borderId="21" xfId="0" applyFont="1" applyFill="1" applyBorder="1" applyAlignment="1">
      <alignment vertical="center" wrapText="1"/>
    </xf>
    <xf numFmtId="2" fontId="4" fillId="3" borderId="21" xfId="3" applyNumberFormat="1" applyFont="1" applyFill="1" applyBorder="1" applyAlignment="1">
      <alignment horizontal="center" vertical="center" wrapText="1"/>
    </xf>
    <xf numFmtId="0" fontId="11" fillId="3" borderId="22" xfId="0" applyFont="1" applyFill="1" applyBorder="1" applyAlignment="1">
      <alignment horizontal="justify" vertical="center" wrapText="1"/>
    </xf>
    <xf numFmtId="0" fontId="3" fillId="3" borderId="22" xfId="0" applyFont="1" applyFill="1" applyBorder="1" applyAlignment="1">
      <alignment horizontal="justify" vertical="center" wrapText="1"/>
    </xf>
    <xf numFmtId="0" fontId="2" fillId="3" borderId="22" xfId="0" applyFont="1" applyFill="1" applyBorder="1" applyAlignment="1">
      <alignment vertical="center" wrapText="1"/>
    </xf>
    <xf numFmtId="0" fontId="14" fillId="3" borderId="22" xfId="0" applyFont="1" applyFill="1" applyBorder="1" applyAlignment="1">
      <alignment vertical="center" wrapText="1"/>
    </xf>
    <xf numFmtId="0" fontId="11" fillId="3" borderId="22" xfId="0" applyFont="1" applyFill="1" applyBorder="1" applyAlignment="1">
      <alignment vertical="center" wrapText="1"/>
    </xf>
    <xf numFmtId="0" fontId="3" fillId="3" borderId="22" xfId="0" applyFont="1" applyFill="1" applyBorder="1" applyAlignment="1">
      <alignment horizontal="left" vertical="center" wrapText="1"/>
    </xf>
    <xf numFmtId="0" fontId="3" fillId="0" borderId="21" xfId="0" applyFont="1" applyBorder="1" applyAlignment="1">
      <alignment horizontal="center" vertical="center"/>
    </xf>
    <xf numFmtId="0" fontId="3" fillId="3" borderId="21" xfId="0" applyFont="1" applyFill="1" applyBorder="1" applyAlignment="1">
      <alignment horizontal="center" vertical="center" wrapText="1"/>
    </xf>
    <xf numFmtId="9" fontId="3" fillId="3" borderId="21" xfId="0" applyNumberFormat="1" applyFont="1" applyFill="1" applyBorder="1" applyAlignment="1">
      <alignment horizontal="center" vertical="center" wrapText="1"/>
    </xf>
    <xf numFmtId="1" fontId="3" fillId="3" borderId="21" xfId="0" applyNumberFormat="1" applyFont="1" applyFill="1" applyBorder="1" applyAlignment="1">
      <alignment horizontal="center" vertical="center" wrapText="1"/>
    </xf>
    <xf numFmtId="0" fontId="2" fillId="3" borderId="22" xfId="0" applyFont="1" applyFill="1" applyBorder="1" applyAlignment="1">
      <alignment horizontal="justify" vertical="center" wrapText="1"/>
    </xf>
    <xf numFmtId="0" fontId="3" fillId="3" borderId="21" xfId="0" applyFont="1" applyFill="1" applyBorder="1" applyAlignment="1">
      <alignment vertical="center" wrapText="1"/>
    </xf>
    <xf numFmtId="1" fontId="3" fillId="3" borderId="21" xfId="3" applyNumberFormat="1" applyFont="1" applyFill="1" applyBorder="1" applyAlignment="1">
      <alignment horizontal="center" vertical="center" wrapText="1"/>
    </xf>
    <xf numFmtId="1" fontId="3" fillId="0" borderId="21" xfId="0" applyNumberFormat="1" applyFont="1" applyBorder="1" applyAlignment="1">
      <alignment horizontal="center" vertical="center" wrapText="1"/>
    </xf>
    <xf numFmtId="49" fontId="3" fillId="3" borderId="21" xfId="0" applyNumberFormat="1" applyFont="1" applyFill="1" applyBorder="1" applyAlignment="1">
      <alignment horizontal="center" vertical="center" wrapText="1"/>
    </xf>
    <xf numFmtId="9" fontId="3" fillId="3" borderId="21" xfId="0" applyNumberFormat="1" applyFont="1" applyFill="1" applyBorder="1" applyAlignment="1">
      <alignment horizontal="center" vertical="center"/>
    </xf>
    <xf numFmtId="0" fontId="3" fillId="3" borderId="21" xfId="0" applyFont="1" applyFill="1" applyBorder="1" applyAlignment="1">
      <alignment horizontal="center" vertical="center"/>
    </xf>
    <xf numFmtId="0" fontId="3" fillId="3" borderId="20" xfId="0" applyFont="1" applyFill="1" applyBorder="1" applyAlignment="1">
      <alignment horizontal="center" vertical="center"/>
    </xf>
    <xf numFmtId="9" fontId="3" fillId="6" borderId="7" xfId="1" applyFont="1" applyFill="1" applyBorder="1" applyAlignment="1">
      <alignment horizontal="center" vertical="center"/>
    </xf>
    <xf numFmtId="165" fontId="3" fillId="3" borderId="7" xfId="0" applyNumberFormat="1" applyFont="1" applyFill="1" applyBorder="1" applyAlignment="1">
      <alignment horizontal="center" vertical="center" wrapText="1"/>
    </xf>
    <xf numFmtId="168" fontId="3" fillId="3" borderId="7" xfId="0" applyNumberFormat="1" applyFont="1" applyFill="1" applyBorder="1" applyAlignment="1">
      <alignment horizontal="center" vertical="center" wrapText="1"/>
    </xf>
    <xf numFmtId="0" fontId="3" fillId="3" borderId="23" xfId="0" applyFont="1" applyFill="1" applyBorder="1" applyAlignment="1">
      <alignment horizontal="left" vertical="center" wrapText="1"/>
    </xf>
    <xf numFmtId="0" fontId="3" fillId="0" borderId="22" xfId="0" applyFont="1" applyBorder="1" applyAlignment="1">
      <alignment horizontal="center" vertical="center" wrapText="1"/>
    </xf>
    <xf numFmtId="9" fontId="3" fillId="0" borderId="21" xfId="0" applyNumberFormat="1" applyFont="1" applyBorder="1" applyAlignment="1">
      <alignment horizontal="center" vertical="center"/>
    </xf>
    <xf numFmtId="0" fontId="3" fillId="3" borderId="22" xfId="0" applyFont="1" applyFill="1" applyBorder="1" applyAlignment="1">
      <alignment horizontal="justify" vertical="center"/>
    </xf>
    <xf numFmtId="0" fontId="18" fillId="3" borderId="21" xfId="0" applyFont="1" applyFill="1" applyBorder="1" applyAlignment="1">
      <alignment horizontal="center" vertical="center" wrapText="1"/>
    </xf>
    <xf numFmtId="0" fontId="18" fillId="3" borderId="22" xfId="0" applyFont="1" applyFill="1" applyBorder="1" applyAlignment="1">
      <alignment horizontal="justify" vertical="center" wrapText="1"/>
    </xf>
    <xf numFmtId="0" fontId="0" fillId="3" borderId="22" xfId="0" applyFill="1" applyBorder="1" applyAlignment="1">
      <alignment horizontal="left" vertical="center" wrapText="1"/>
    </xf>
    <xf numFmtId="0" fontId="0" fillId="3" borderId="7" xfId="0" applyFill="1" applyBorder="1" applyAlignment="1">
      <alignment horizontal="center" vertical="center"/>
    </xf>
    <xf numFmtId="0" fontId="0" fillId="3" borderId="23" xfId="0" applyFill="1" applyBorder="1" applyAlignment="1">
      <alignment horizontal="left" vertical="center" wrapText="1"/>
    </xf>
    <xf numFmtId="0" fontId="0" fillId="0" borderId="21" xfId="0" applyBorder="1" applyAlignment="1">
      <alignment horizontal="center" vertical="center"/>
    </xf>
    <xf numFmtId="9" fontId="3" fillId="0" borderId="22" xfId="0" applyNumberFormat="1" applyFont="1" applyBorder="1" applyAlignment="1">
      <alignment horizontal="center" vertical="center" wrapText="1"/>
    </xf>
    <xf numFmtId="9" fontId="0" fillId="0" borderId="21" xfId="1" applyFont="1" applyFill="1" applyBorder="1" applyAlignment="1">
      <alignment horizontal="center" vertical="center"/>
    </xf>
    <xf numFmtId="0" fontId="0" fillId="0" borderId="22" xfId="0" applyBorder="1" applyAlignment="1">
      <alignment horizontal="left" vertical="center" wrapText="1"/>
    </xf>
    <xf numFmtId="0" fontId="0" fillId="0" borderId="22" xfId="0" applyBorder="1" applyAlignment="1">
      <alignment vertical="center" wrapText="1"/>
    </xf>
    <xf numFmtId="0" fontId="12" fillId="0" borderId="22" xfId="0" applyFont="1" applyBorder="1" applyAlignment="1">
      <alignment vertical="center" wrapText="1"/>
    </xf>
    <xf numFmtId="0" fontId="3" fillId="0" borderId="21" xfId="0" applyFont="1" applyBorder="1" applyAlignment="1">
      <alignment horizontal="center" vertical="center" wrapText="1"/>
    </xf>
    <xf numFmtId="1" fontId="0" fillId="0" borderId="21" xfId="0" applyNumberFormat="1" applyBorder="1" applyAlignment="1">
      <alignment horizontal="center" vertical="center"/>
    </xf>
    <xf numFmtId="9" fontId="3" fillId="0" borderId="21" xfId="1" applyFont="1" applyFill="1" applyBorder="1" applyAlignment="1">
      <alignment horizontal="center" vertical="center"/>
    </xf>
    <xf numFmtId="9" fontId="3" fillId="0" borderId="22" xfId="1" applyFont="1" applyFill="1" applyBorder="1" applyAlignment="1">
      <alignment horizontal="center" vertical="center" wrapText="1"/>
    </xf>
    <xf numFmtId="3" fontId="0" fillId="0" borderId="5" xfId="0" applyNumberFormat="1" applyBorder="1" applyAlignment="1">
      <alignment horizontal="center" vertical="center" wrapText="1"/>
    </xf>
    <xf numFmtId="171" fontId="22" fillId="0" borderId="5" xfId="6" applyNumberFormat="1" applyFont="1" applyFill="1" applyBorder="1" applyAlignment="1">
      <alignment horizontal="center" vertical="center" wrapText="1"/>
    </xf>
    <xf numFmtId="10" fontId="4" fillId="0" borderId="5" xfId="1" applyNumberFormat="1" applyFont="1" applyFill="1" applyBorder="1" applyAlignment="1">
      <alignment horizontal="center" vertical="center" wrapText="1"/>
    </xf>
    <xf numFmtId="173" fontId="22" fillId="0" borderId="5" xfId="5" applyNumberFormat="1" applyFont="1" applyFill="1" applyBorder="1" applyAlignment="1">
      <alignment horizontal="center" vertical="center" wrapText="1"/>
    </xf>
    <xf numFmtId="165" fontId="23" fillId="0" borderId="5" xfId="7" applyNumberFormat="1" applyFont="1" applyFill="1" applyBorder="1" applyAlignment="1">
      <alignment horizontal="center" vertical="center" wrapText="1"/>
    </xf>
    <xf numFmtId="9" fontId="4" fillId="8" borderId="5" xfId="1" applyFont="1" applyFill="1" applyBorder="1" applyAlignment="1">
      <alignment horizontal="center" vertical="center" wrapText="1"/>
    </xf>
    <xf numFmtId="1" fontId="3" fillId="0" borderId="5" xfId="1" applyNumberFormat="1" applyFont="1" applyFill="1" applyBorder="1" applyAlignment="1">
      <alignment horizontal="center" vertical="center" wrapText="1"/>
    </xf>
    <xf numFmtId="1" fontId="4" fillId="0" borderId="5" xfId="1" applyNumberFormat="1" applyFont="1" applyFill="1" applyBorder="1" applyAlignment="1">
      <alignment horizontal="center" vertical="center" wrapText="1"/>
    </xf>
    <xf numFmtId="49" fontId="3" fillId="3" borderId="5" xfId="0" applyNumberFormat="1" applyFont="1" applyFill="1" applyBorder="1" applyAlignment="1">
      <alignment horizontal="justify" vertical="center" wrapText="1"/>
    </xf>
    <xf numFmtId="0" fontId="13" fillId="3" borderId="22" xfId="0" applyFont="1" applyFill="1" applyBorder="1" applyAlignment="1">
      <alignment vertical="center" wrapText="1"/>
    </xf>
    <xf numFmtId="0" fontId="4" fillId="0" borderId="22" xfId="0" applyFont="1" applyBorder="1" applyAlignment="1">
      <alignment horizontal="justify" vertical="center" wrapText="1"/>
    </xf>
    <xf numFmtId="0" fontId="3" fillId="0" borderId="22" xfId="0" applyFont="1" applyBorder="1" applyAlignment="1">
      <alignment horizontal="justify" vertical="center" wrapText="1"/>
    </xf>
    <xf numFmtId="0" fontId="18" fillId="0" borderId="21" xfId="0" applyFont="1" applyBorder="1" applyAlignment="1">
      <alignment horizontal="center" vertical="center" wrapText="1"/>
    </xf>
    <xf numFmtId="0" fontId="18" fillId="0" borderId="22" xfId="0" applyFont="1" applyBorder="1" applyAlignment="1">
      <alignment horizontal="justify" vertical="center" wrapText="1"/>
    </xf>
    <xf numFmtId="9" fontId="3" fillId="0" borderId="21" xfId="0" applyNumberFormat="1" applyFont="1" applyBorder="1" applyAlignment="1">
      <alignment horizontal="justify" vertical="center" wrapText="1"/>
    </xf>
    <xf numFmtId="0" fontId="3" fillId="0" borderId="21" xfId="0" applyFont="1" applyBorder="1" applyAlignment="1">
      <alignment horizontal="justify" vertical="center" wrapText="1"/>
    </xf>
    <xf numFmtId="9" fontId="0" fillId="0" borderId="22" xfId="1" applyFont="1" applyFill="1" applyBorder="1" applyAlignment="1">
      <alignment horizontal="left" vertical="center" wrapText="1"/>
    </xf>
    <xf numFmtId="49" fontId="3" fillId="3" borderId="21" xfId="0" applyNumberFormat="1" applyFont="1" applyFill="1" applyBorder="1" applyAlignment="1">
      <alignment horizontal="justify" vertical="center" wrapText="1"/>
    </xf>
    <xf numFmtId="0" fontId="3" fillId="0" borderId="21" xfId="0" applyFont="1" applyBorder="1" applyAlignment="1">
      <alignment vertical="center" wrapText="1"/>
    </xf>
    <xf numFmtId="0" fontId="3" fillId="0" borderId="5" xfId="0" applyFont="1" applyBorder="1" applyAlignment="1">
      <alignment vertical="center" wrapText="1"/>
    </xf>
    <xf numFmtId="0" fontId="0" fillId="0" borderId="21" xfId="0" applyBorder="1" applyAlignment="1">
      <alignment vertical="center"/>
    </xf>
    <xf numFmtId="0" fontId="0" fillId="0" borderId="5" xfId="0" applyBorder="1" applyAlignment="1">
      <alignment vertical="center"/>
    </xf>
    <xf numFmtId="164" fontId="3" fillId="0" borderId="5" xfId="3" applyFont="1" applyBorder="1" applyAlignment="1">
      <alignment horizontal="center" vertical="center"/>
    </xf>
    <xf numFmtId="0" fontId="4" fillId="0" borderId="29" xfId="0" applyFont="1" applyBorder="1" applyAlignment="1">
      <alignment horizontal="center" vertical="center"/>
    </xf>
    <xf numFmtId="0" fontId="4" fillId="3" borderId="28" xfId="0" applyFont="1" applyFill="1" applyBorder="1" applyAlignment="1">
      <alignment horizontal="center" vertical="center" wrapText="1"/>
    </xf>
    <xf numFmtId="9" fontId="4" fillId="7" borderId="28" xfId="1" applyFont="1" applyFill="1" applyBorder="1" applyAlignment="1">
      <alignment horizontal="center" vertical="center" wrapText="1"/>
    </xf>
    <xf numFmtId="9" fontId="4" fillId="4" borderId="28" xfId="1" applyFont="1" applyFill="1" applyBorder="1" applyAlignment="1">
      <alignment horizontal="center" vertical="center" wrapText="1"/>
    </xf>
    <xf numFmtId="9" fontId="4" fillId="4" borderId="4" xfId="1" applyFont="1" applyFill="1" applyBorder="1" applyAlignment="1">
      <alignment horizontal="center" vertical="center" wrapText="1"/>
    </xf>
    <xf numFmtId="9" fontId="4" fillId="4" borderId="29" xfId="1" applyFont="1" applyFill="1" applyBorder="1" applyAlignment="1">
      <alignment horizontal="center" vertical="center" wrapText="1"/>
    </xf>
    <xf numFmtId="9" fontId="4" fillId="3" borderId="29" xfId="1" applyFont="1" applyFill="1" applyBorder="1" applyAlignment="1">
      <alignment horizontal="center" vertical="center" wrapText="1"/>
    </xf>
    <xf numFmtId="0" fontId="4" fillId="0" borderId="29" xfId="0" applyFont="1" applyBorder="1" applyAlignment="1">
      <alignment horizontal="center" vertical="center" wrapText="1"/>
    </xf>
    <xf numFmtId="10" fontId="4" fillId="0" borderId="28" xfId="1" applyNumberFormat="1" applyFont="1" applyFill="1" applyBorder="1" applyAlignment="1">
      <alignment horizontal="center" vertical="center" wrapText="1"/>
    </xf>
    <xf numFmtId="9" fontId="4" fillId="8" borderId="28" xfId="1" applyFont="1" applyFill="1" applyBorder="1" applyAlignment="1">
      <alignment horizontal="center" vertical="center" wrapText="1"/>
    </xf>
    <xf numFmtId="10" fontId="4" fillId="3" borderId="29" xfId="1" applyNumberFormat="1" applyFont="1" applyFill="1" applyBorder="1" applyAlignment="1">
      <alignment horizontal="center" vertical="center" wrapText="1"/>
    </xf>
    <xf numFmtId="0" fontId="4" fillId="0" borderId="28" xfId="0" applyFont="1" applyBorder="1" applyAlignment="1">
      <alignment horizontal="center" vertical="center" wrapText="1"/>
    </xf>
    <xf numFmtId="9" fontId="4" fillId="5" borderId="28" xfId="1" applyFont="1" applyFill="1" applyBorder="1" applyAlignment="1">
      <alignment horizontal="center" vertical="center" wrapText="1"/>
    </xf>
    <xf numFmtId="1" fontId="4" fillId="0" borderId="29" xfId="1" applyNumberFormat="1" applyFont="1" applyFill="1" applyBorder="1" applyAlignment="1">
      <alignment horizontal="center" vertical="center" wrapText="1"/>
    </xf>
    <xf numFmtId="49" fontId="4" fillId="0" borderId="4" xfId="0" applyNumberFormat="1" applyFont="1" applyBorder="1" applyAlignment="1">
      <alignment horizontal="center" vertical="center" wrapText="1"/>
    </xf>
    <xf numFmtId="0" fontId="4" fillId="3" borderId="29" xfId="0" applyFont="1" applyFill="1" applyBorder="1" applyAlignment="1">
      <alignment horizontal="center" vertical="center"/>
    </xf>
    <xf numFmtId="9" fontId="0" fillId="0" borderId="0" xfId="0" applyNumberFormat="1"/>
    <xf numFmtId="9" fontId="4" fillId="11" borderId="5" xfId="1" applyFont="1" applyFill="1" applyBorder="1" applyAlignment="1">
      <alignment horizontal="center" vertical="center" wrapText="1"/>
    </xf>
    <xf numFmtId="0" fontId="3" fillId="0" borderId="29" xfId="0" applyFont="1" applyBorder="1" applyAlignment="1">
      <alignment horizontal="center" vertical="center" wrapText="1"/>
    </xf>
    <xf numFmtId="0" fontId="4" fillId="0" borderId="7" xfId="0" applyFont="1" applyBorder="1" applyAlignment="1">
      <alignment horizontal="center" vertical="center"/>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9" fontId="4" fillId="7" borderId="4" xfId="1" applyFont="1" applyFill="1" applyBorder="1" applyAlignment="1">
      <alignment horizontal="center" vertical="center" wrapText="1"/>
    </xf>
    <xf numFmtId="9" fontId="4" fillId="7" borderId="29" xfId="1" applyFont="1" applyFill="1" applyBorder="1" applyAlignment="1">
      <alignment horizontal="center" vertical="center" wrapText="1"/>
    </xf>
    <xf numFmtId="6" fontId="12" fillId="0" borderId="5" xfId="0" applyNumberFormat="1" applyFont="1" applyBorder="1" applyAlignment="1">
      <alignment horizontal="center" vertical="center" wrapText="1"/>
    </xf>
    <xf numFmtId="42" fontId="4" fillId="0" borderId="5" xfId="0" applyNumberFormat="1" applyFont="1" applyBorder="1" applyAlignment="1">
      <alignment horizontal="center" vertical="center" wrapText="1"/>
    </xf>
    <xf numFmtId="9" fontId="4" fillId="11" borderId="29" xfId="1" applyFont="1" applyFill="1" applyBorder="1" applyAlignment="1">
      <alignment horizontal="center" vertical="center" wrapText="1"/>
    </xf>
    <xf numFmtId="9" fontId="4" fillId="11" borderId="3" xfId="1" applyFont="1" applyFill="1" applyBorder="1" applyAlignment="1">
      <alignment horizontal="center" vertical="center" wrapText="1"/>
    </xf>
    <xf numFmtId="9" fontId="4" fillId="11" borderId="4" xfId="1" applyFont="1" applyFill="1" applyBorder="1" applyAlignment="1">
      <alignment horizontal="center" vertical="center" wrapText="1"/>
    </xf>
    <xf numFmtId="9" fontId="4" fillId="17" borderId="23" xfId="1" applyFont="1" applyFill="1" applyBorder="1" applyAlignment="1">
      <alignment horizontal="center" vertical="center"/>
    </xf>
    <xf numFmtId="2" fontId="3" fillId="0" borderId="5" xfId="0" applyNumberFormat="1" applyFont="1" applyBorder="1" applyAlignment="1">
      <alignment horizontal="center" vertical="center"/>
    </xf>
    <xf numFmtId="2" fontId="4" fillId="3" borderId="5" xfId="1" applyNumberFormat="1" applyFont="1" applyFill="1" applyBorder="1" applyAlignment="1">
      <alignment horizontal="center" vertical="center" wrapText="1"/>
    </xf>
    <xf numFmtId="9" fontId="4" fillId="8" borderId="23" xfId="1" applyFont="1" applyFill="1" applyBorder="1" applyAlignment="1">
      <alignment horizontal="center" vertical="center"/>
    </xf>
    <xf numFmtId="0" fontId="7" fillId="0" borderId="0" xfId="0" applyFont="1" applyAlignment="1">
      <alignment horizontal="center" vertical="center"/>
    </xf>
    <xf numFmtId="9" fontId="0" fillId="8" borderId="5" xfId="0" applyNumberFormat="1" applyFill="1" applyBorder="1"/>
    <xf numFmtId="9" fontId="4" fillId="11" borderId="5" xfId="1" applyFont="1" applyFill="1" applyBorder="1" applyAlignment="1">
      <alignment horizontal="center" vertical="center"/>
    </xf>
    <xf numFmtId="165" fontId="4" fillId="3" borderId="28" xfId="0" applyNumberFormat="1" applyFont="1" applyFill="1" applyBorder="1" applyAlignment="1">
      <alignment horizontal="center" vertical="center" wrapText="1"/>
    </xf>
    <xf numFmtId="165" fontId="4" fillId="3" borderId="29" xfId="0" applyNumberFormat="1" applyFont="1" applyFill="1" applyBorder="1" applyAlignment="1">
      <alignment horizontal="center" vertical="center" wrapText="1"/>
    </xf>
    <xf numFmtId="165" fontId="4" fillId="3" borderId="4" xfId="0" applyNumberFormat="1" applyFont="1" applyFill="1" applyBorder="1" applyAlignment="1">
      <alignment horizontal="center" vertical="center" wrapText="1"/>
    </xf>
    <xf numFmtId="1" fontId="3" fillId="0" borderId="5" xfId="0" applyNumberFormat="1" applyFont="1" applyBorder="1" applyAlignment="1">
      <alignment horizontal="center" vertical="center"/>
    </xf>
    <xf numFmtId="176" fontId="4" fillId="0" borderId="5" xfId="1" applyNumberFormat="1" applyFont="1" applyFill="1" applyBorder="1" applyAlignment="1">
      <alignment horizontal="center" vertical="center" wrapText="1"/>
    </xf>
    <xf numFmtId="9" fontId="4" fillId="0" borderId="5" xfId="1" applyFont="1" applyBorder="1" applyAlignment="1">
      <alignment vertical="center" wrapText="1"/>
    </xf>
    <xf numFmtId="177" fontId="4" fillId="3" borderId="29" xfId="4" applyNumberFormat="1" applyFont="1" applyFill="1" applyBorder="1" applyAlignment="1">
      <alignment horizontal="center" vertical="center" wrapText="1"/>
    </xf>
    <xf numFmtId="0" fontId="2" fillId="3" borderId="5" xfId="0" applyFont="1" applyFill="1" applyBorder="1" applyAlignment="1">
      <alignment horizontal="left" vertical="center" wrapText="1"/>
    </xf>
    <xf numFmtId="9" fontId="3" fillId="3" borderId="5" xfId="0" applyNumberFormat="1" applyFont="1" applyFill="1" applyBorder="1" applyAlignment="1">
      <alignment horizontal="left" vertical="center" wrapText="1"/>
    </xf>
    <xf numFmtId="0" fontId="3" fillId="3" borderId="5" xfId="0" applyFont="1" applyFill="1" applyBorder="1" applyAlignment="1">
      <alignment horizontal="justify" vertical="center" wrapText="1"/>
    </xf>
    <xf numFmtId="0" fontId="3" fillId="3" borderId="28" xfId="0" applyFont="1" applyFill="1" applyBorder="1" applyAlignment="1">
      <alignment vertical="center" wrapText="1"/>
    </xf>
    <xf numFmtId="0" fontId="3" fillId="3" borderId="29" xfId="0" applyFont="1" applyFill="1" applyBorder="1" applyAlignment="1">
      <alignment vertical="center" wrapText="1"/>
    </xf>
    <xf numFmtId="0" fontId="3" fillId="3" borderId="5" xfId="0" applyFont="1" applyFill="1" applyBorder="1" applyAlignment="1">
      <alignment horizontal="left" vertical="center" wrapText="1"/>
    </xf>
    <xf numFmtId="0" fontId="3" fillId="3" borderId="28" xfId="0" applyFont="1" applyFill="1" applyBorder="1" applyAlignment="1">
      <alignment horizontal="justify" vertical="center" wrapText="1"/>
    </xf>
    <xf numFmtId="0" fontId="2" fillId="3" borderId="5" xfId="0" applyFont="1" applyFill="1" applyBorder="1" applyAlignment="1">
      <alignment horizontal="justify" vertical="center" wrapText="1"/>
    </xf>
    <xf numFmtId="0" fontId="3" fillId="3" borderId="4" xfId="0" applyFont="1" applyFill="1" applyBorder="1" applyAlignment="1">
      <alignment horizontal="justify" vertical="center" wrapText="1"/>
    </xf>
    <xf numFmtId="9" fontId="4" fillId="0" borderId="5" xfId="1" applyFont="1" applyFill="1" applyBorder="1" applyAlignment="1">
      <alignment horizontal="center" vertical="center" wrapText="1"/>
    </xf>
    <xf numFmtId="9" fontId="4" fillId="18" borderId="5" xfId="1" applyFont="1" applyFill="1" applyBorder="1" applyAlignment="1">
      <alignment horizontal="center" vertical="center" wrapText="1"/>
    </xf>
    <xf numFmtId="9" fontId="4" fillId="19" borderId="29" xfId="1" applyFont="1" applyFill="1" applyBorder="1" applyAlignment="1">
      <alignment horizontal="center" vertical="center" wrapText="1"/>
    </xf>
    <xf numFmtId="9" fontId="4" fillId="19" borderId="5" xfId="1" applyFont="1" applyFill="1" applyBorder="1" applyAlignment="1">
      <alignment horizontal="center" vertical="center" wrapText="1"/>
    </xf>
    <xf numFmtId="0" fontId="4" fillId="3" borderId="29" xfId="0" applyFont="1" applyFill="1" applyBorder="1" applyAlignment="1">
      <alignment horizontal="center" vertical="center" wrapText="1"/>
    </xf>
    <xf numFmtId="1" fontId="3" fillId="3" borderId="5" xfId="0" applyNumberFormat="1" applyFont="1" applyFill="1" applyBorder="1" applyAlignment="1">
      <alignment horizontal="center" vertical="center"/>
    </xf>
    <xf numFmtId="1" fontId="4" fillId="3" borderId="5" xfId="1" applyNumberFormat="1" applyFont="1" applyFill="1" applyBorder="1" applyAlignment="1">
      <alignment horizontal="center" vertical="center" wrapText="1"/>
    </xf>
    <xf numFmtId="2" fontId="3" fillId="0" borderId="5" xfId="0" applyNumberFormat="1" applyFont="1" applyBorder="1" applyAlignment="1">
      <alignment horizontal="center" vertical="center" wrapText="1"/>
    </xf>
    <xf numFmtId="166" fontId="4" fillId="19" borderId="5" xfId="1" applyNumberFormat="1" applyFont="1" applyFill="1" applyBorder="1" applyAlignment="1">
      <alignment horizontal="center" vertical="center" wrapText="1"/>
    </xf>
    <xf numFmtId="2" fontId="4" fillId="0" borderId="5" xfId="1" applyNumberFormat="1" applyFont="1" applyFill="1" applyBorder="1" applyAlignment="1">
      <alignment horizontal="center" vertical="center" wrapText="1"/>
    </xf>
    <xf numFmtId="166" fontId="4" fillId="0" borderId="5" xfId="1" applyNumberFormat="1" applyFont="1" applyFill="1" applyBorder="1" applyAlignment="1">
      <alignment horizontal="center" vertical="center" wrapText="1"/>
    </xf>
    <xf numFmtId="9" fontId="4" fillId="0" borderId="28" xfId="1" applyFont="1" applyFill="1" applyBorder="1" applyAlignment="1">
      <alignment horizontal="center" vertical="center" wrapText="1"/>
    </xf>
    <xf numFmtId="9" fontId="4" fillId="0" borderId="29" xfId="1" applyFont="1" applyFill="1" applyBorder="1" applyAlignment="1">
      <alignment horizontal="center" vertical="center" wrapText="1"/>
    </xf>
    <xf numFmtId="9" fontId="4" fillId="0" borderId="21" xfId="1" applyFont="1" applyFill="1" applyBorder="1" applyAlignment="1">
      <alignment horizontal="center" vertical="center" wrapText="1"/>
    </xf>
    <xf numFmtId="165" fontId="4" fillId="0" borderId="5" xfId="0" applyNumberFormat="1" applyFont="1" applyBorder="1" applyAlignment="1">
      <alignment horizontal="center" vertical="center" wrapText="1"/>
    </xf>
    <xf numFmtId="165" fontId="4" fillId="0" borderId="28" xfId="0" applyNumberFormat="1" applyFont="1" applyBorder="1" applyAlignment="1">
      <alignment horizontal="center" vertical="center" wrapText="1"/>
    </xf>
    <xf numFmtId="165" fontId="4" fillId="0" borderId="29" xfId="0" applyNumberFormat="1" applyFont="1" applyBorder="1" applyAlignment="1">
      <alignment horizontal="center" vertical="center" wrapText="1"/>
    </xf>
    <xf numFmtId="0" fontId="4" fillId="0" borderId="5" xfId="0" applyFont="1" applyBorder="1" applyAlignment="1">
      <alignment vertical="center" wrapText="1"/>
    </xf>
    <xf numFmtId="0" fontId="17" fillId="0" borderId="22" xfId="0" applyFont="1" applyBorder="1" applyAlignment="1">
      <alignment horizontal="justify" vertical="center" wrapText="1"/>
    </xf>
    <xf numFmtId="170" fontId="4" fillId="0" borderId="5" xfId="0" applyNumberFormat="1" applyFont="1" applyBorder="1" applyAlignment="1">
      <alignment horizontal="center" vertical="center" wrapText="1"/>
    </xf>
    <xf numFmtId="0" fontId="17" fillId="0" borderId="22" xfId="0" applyFont="1" applyBorder="1" applyAlignment="1">
      <alignment horizontal="center" vertical="center" wrapText="1"/>
    </xf>
    <xf numFmtId="0" fontId="3" fillId="0" borderId="22" xfId="0" applyFont="1" applyBorder="1" applyAlignment="1">
      <alignment vertical="center" wrapText="1"/>
    </xf>
    <xf numFmtId="0" fontId="4" fillId="0" borderId="21" xfId="0" applyFont="1" applyBorder="1" applyAlignment="1">
      <alignment horizontal="center" vertical="center"/>
    </xf>
    <xf numFmtId="170" fontId="4" fillId="0" borderId="5" xfId="0" applyNumberFormat="1" applyFont="1" applyBorder="1" applyAlignment="1">
      <alignment horizontal="center" vertical="center"/>
    </xf>
    <xf numFmtId="0" fontId="4" fillId="0" borderId="22" xfId="0" applyFont="1" applyBorder="1" applyAlignment="1">
      <alignment vertical="center" wrapText="1"/>
    </xf>
    <xf numFmtId="0" fontId="3" fillId="0" borderId="22" xfId="0" applyFont="1" applyBorder="1" applyAlignment="1">
      <alignment horizontal="left" vertical="center" wrapText="1"/>
    </xf>
    <xf numFmtId="0" fontId="11" fillId="0" borderId="22" xfId="0" applyFont="1" applyBorder="1" applyAlignment="1">
      <alignment horizontal="left" vertical="center" wrapText="1"/>
    </xf>
    <xf numFmtId="170" fontId="4" fillId="0" borderId="0" xfId="0" applyNumberFormat="1" applyFont="1" applyAlignment="1">
      <alignment horizontal="center" vertical="center" wrapText="1"/>
    </xf>
    <xf numFmtId="0" fontId="2" fillId="0" borderId="5" xfId="0" applyFont="1" applyBorder="1" applyAlignment="1">
      <alignment horizontal="left" vertical="center" wrapText="1"/>
    </xf>
    <xf numFmtId="9" fontId="17" fillId="0" borderId="21" xfId="0" applyNumberFormat="1" applyFont="1" applyBorder="1" applyAlignment="1">
      <alignment horizontal="center" vertical="center" wrapText="1"/>
    </xf>
    <xf numFmtId="9" fontId="0" fillId="0" borderId="5" xfId="0" applyNumberFormat="1" applyBorder="1" applyAlignment="1">
      <alignment horizontal="center" vertical="center"/>
    </xf>
    <xf numFmtId="9" fontId="3" fillId="0" borderId="22" xfId="0" applyNumberFormat="1" applyFont="1" applyBorder="1" applyAlignment="1">
      <alignment horizontal="left" vertical="center" wrapText="1"/>
    </xf>
    <xf numFmtId="9" fontId="4" fillId="0" borderId="21" xfId="1" applyFont="1" applyFill="1" applyBorder="1" applyAlignment="1">
      <alignment horizontal="center" vertical="center"/>
    </xf>
    <xf numFmtId="170" fontId="4" fillId="0" borderId="5" xfId="1" applyNumberFormat="1" applyFont="1" applyFill="1" applyBorder="1" applyAlignment="1">
      <alignment horizontal="center" vertical="center" wrapText="1"/>
    </xf>
    <xf numFmtId="9" fontId="4" fillId="0" borderId="22" xfId="0" applyNumberFormat="1" applyFont="1" applyBorder="1" applyAlignment="1">
      <alignment horizontal="left" vertical="center" wrapText="1"/>
    </xf>
    <xf numFmtId="9" fontId="3" fillId="0" borderId="5" xfId="0" applyNumberFormat="1" applyFont="1" applyBorder="1" applyAlignment="1">
      <alignment horizontal="left" vertical="center" wrapText="1"/>
    </xf>
    <xf numFmtId="9" fontId="3" fillId="0" borderId="5" xfId="0" applyNumberFormat="1" applyFont="1" applyBorder="1" applyAlignment="1">
      <alignment horizontal="center" vertical="center" wrapText="1"/>
    </xf>
    <xf numFmtId="0" fontId="4" fillId="0" borderId="22" xfId="1" applyNumberFormat="1" applyFont="1" applyFill="1" applyBorder="1" applyAlignment="1">
      <alignment horizontal="center" vertical="center" wrapText="1"/>
    </xf>
    <xf numFmtId="1" fontId="3" fillId="0" borderId="21" xfId="1" applyNumberFormat="1" applyFont="1" applyFill="1" applyBorder="1" applyAlignment="1">
      <alignment horizontal="center" vertical="center"/>
    </xf>
    <xf numFmtId="1" fontId="4" fillId="0" borderId="21" xfId="1" applyNumberFormat="1" applyFont="1" applyFill="1" applyBorder="1" applyAlignment="1">
      <alignment horizontal="center" vertical="center"/>
    </xf>
    <xf numFmtId="0" fontId="2" fillId="0" borderId="29" xfId="0" applyFont="1" applyBorder="1" applyAlignment="1">
      <alignment vertical="center" wrapText="1"/>
    </xf>
    <xf numFmtId="9" fontId="17" fillId="0" borderId="22" xfId="0" applyNumberFormat="1" applyFont="1" applyBorder="1" applyAlignment="1">
      <alignment horizontal="justify" vertical="center" wrapText="1"/>
    </xf>
    <xf numFmtId="9" fontId="17" fillId="0" borderId="22" xfId="0" applyNumberFormat="1" applyFont="1" applyBorder="1" applyAlignment="1">
      <alignment horizontal="center" vertical="center" wrapText="1"/>
    </xf>
    <xf numFmtId="10" fontId="3" fillId="0" borderId="21" xfId="0" applyNumberFormat="1" applyFont="1" applyBorder="1" applyAlignment="1">
      <alignment horizontal="center" vertical="center" wrapText="1"/>
    </xf>
    <xf numFmtId="166" fontId="3" fillId="0" borderId="21" xfId="0" applyNumberFormat="1" applyFont="1" applyBorder="1" applyAlignment="1">
      <alignment horizontal="center" vertical="center"/>
    </xf>
    <xf numFmtId="166" fontId="3" fillId="0" borderId="5" xfId="0" applyNumberFormat="1" applyFont="1" applyBorder="1" applyAlignment="1">
      <alignment horizontal="center" vertical="center"/>
    </xf>
    <xf numFmtId="10" fontId="0" fillId="0" borderId="21" xfId="0" applyNumberFormat="1" applyBorder="1" applyAlignment="1">
      <alignment vertical="center"/>
    </xf>
    <xf numFmtId="9" fontId="12" fillId="0" borderId="5" xfId="0" applyNumberFormat="1" applyFont="1" applyBorder="1" applyAlignment="1">
      <alignment vertical="center"/>
    </xf>
    <xf numFmtId="166" fontId="0" fillId="0" borderId="22" xfId="0" applyNumberFormat="1" applyBorder="1" applyAlignment="1">
      <alignment vertical="top" wrapText="1"/>
    </xf>
    <xf numFmtId="0" fontId="29" fillId="0" borderId="22" xfId="0" applyFont="1" applyBorder="1" applyAlignment="1">
      <alignment vertical="top" wrapText="1"/>
    </xf>
    <xf numFmtId="10" fontId="4" fillId="0" borderId="21" xfId="0" applyNumberFormat="1" applyFont="1" applyBorder="1" applyAlignment="1">
      <alignment horizontal="center" vertical="center" wrapText="1"/>
    </xf>
    <xf numFmtId="2" fontId="4" fillId="0" borderId="5" xfId="0" applyNumberFormat="1" applyFont="1" applyBorder="1" applyAlignment="1">
      <alignment horizontal="center" vertical="center" wrapText="1"/>
    </xf>
    <xf numFmtId="0" fontId="4" fillId="0" borderId="22" xfId="0" applyFont="1" applyBorder="1" applyAlignment="1">
      <alignment horizontal="left" vertical="center" wrapText="1"/>
    </xf>
    <xf numFmtId="9" fontId="4" fillId="0" borderId="3" xfId="1" applyFont="1" applyFill="1" applyBorder="1" applyAlignment="1">
      <alignment horizontal="center" vertical="center" wrapText="1"/>
    </xf>
    <xf numFmtId="0" fontId="3" fillId="0" borderId="2" xfId="0" applyFont="1" applyBorder="1" applyAlignment="1">
      <alignment horizontal="left" vertical="center" wrapText="1"/>
    </xf>
    <xf numFmtId="0" fontId="0" fillId="0" borderId="21" xfId="1" applyNumberFormat="1" applyFont="1" applyFill="1" applyBorder="1" applyAlignment="1">
      <alignment vertical="center"/>
    </xf>
    <xf numFmtId="0" fontId="12" fillId="0" borderId="5" xfId="0" applyFont="1" applyBorder="1" applyAlignment="1">
      <alignment vertical="center"/>
    </xf>
    <xf numFmtId="166" fontId="0" fillId="0" borderId="22" xfId="0" applyNumberFormat="1" applyBorder="1" applyAlignment="1">
      <alignment vertical="center" wrapText="1"/>
    </xf>
    <xf numFmtId="9" fontId="3" fillId="0" borderId="21" xfId="0" applyNumberFormat="1" applyFont="1" applyBorder="1" applyAlignment="1">
      <alignment horizontal="center" vertical="center" wrapText="1"/>
    </xf>
    <xf numFmtId="9" fontId="0" fillId="0" borderId="21" xfId="0" applyNumberFormat="1" applyBorder="1" applyAlignment="1">
      <alignment horizontal="center" vertical="center"/>
    </xf>
    <xf numFmtId="166" fontId="0" fillId="0" borderId="22" xfId="0" applyNumberFormat="1" applyBorder="1" applyAlignment="1">
      <alignment horizontal="left" vertical="center" wrapText="1"/>
    </xf>
    <xf numFmtId="0" fontId="0" fillId="0" borderId="21" xfId="1" applyNumberFormat="1" applyFont="1" applyFill="1" applyBorder="1" applyAlignment="1">
      <alignment horizontal="center" vertical="center"/>
    </xf>
    <xf numFmtId="10" fontId="3" fillId="0" borderId="21" xfId="0" applyNumberFormat="1" applyFont="1" applyBorder="1" applyAlignment="1">
      <alignment horizontal="center" vertical="center"/>
    </xf>
    <xf numFmtId="10" fontId="3" fillId="0" borderId="5" xfId="0" applyNumberFormat="1" applyFont="1" applyBorder="1" applyAlignment="1">
      <alignment horizontal="center" vertical="center"/>
    </xf>
    <xf numFmtId="10" fontId="0" fillId="0" borderId="21" xfId="0" applyNumberFormat="1" applyBorder="1" applyAlignment="1">
      <alignment horizontal="center" vertical="center"/>
    </xf>
    <xf numFmtId="10" fontId="0" fillId="0" borderId="5" xfId="0" applyNumberFormat="1" applyBorder="1" applyAlignment="1">
      <alignment horizontal="center" vertical="center"/>
    </xf>
    <xf numFmtId="0" fontId="3" fillId="0" borderId="5" xfId="0" applyFont="1" applyBorder="1" applyAlignment="1">
      <alignment vertical="center"/>
    </xf>
    <xf numFmtId="9" fontId="3" fillId="0" borderId="22" xfId="0" applyNumberFormat="1" applyFont="1" applyBorder="1" applyAlignment="1">
      <alignment horizontal="justify" vertical="center" wrapText="1"/>
    </xf>
    <xf numFmtId="9" fontId="0" fillId="0" borderId="22" xfId="0" applyNumberFormat="1" applyBorder="1" applyAlignment="1">
      <alignment horizontal="left" vertical="center" wrapText="1"/>
    </xf>
    <xf numFmtId="9" fontId="4" fillId="0" borderId="21" xfId="0" applyNumberFormat="1" applyFont="1" applyBorder="1" applyAlignment="1">
      <alignment horizontal="center" vertical="center" wrapText="1"/>
    </xf>
    <xf numFmtId="0" fontId="2" fillId="0" borderId="22" xfId="0" applyFont="1" applyBorder="1" applyAlignment="1">
      <alignment horizontal="left" vertical="center" wrapText="1"/>
    </xf>
    <xf numFmtId="0" fontId="2" fillId="0" borderId="29" xfId="0" applyFont="1" applyBorder="1" applyAlignment="1">
      <alignment horizontal="left" vertical="center" wrapText="1"/>
    </xf>
    <xf numFmtId="167" fontId="3" fillId="0" borderId="5" xfId="0" applyNumberFormat="1" applyFont="1" applyBorder="1" applyAlignment="1">
      <alignment horizontal="center" vertical="center" wrapText="1"/>
    </xf>
    <xf numFmtId="10" fontId="16" fillId="0" borderId="5" xfId="0" applyNumberFormat="1" applyFont="1" applyBorder="1" applyAlignment="1">
      <alignment horizontal="center" vertical="center" wrapText="1"/>
    </xf>
    <xf numFmtId="171" fontId="22" fillId="0" borderId="5" xfId="0" applyNumberFormat="1" applyFont="1" applyBorder="1" applyAlignment="1" applyProtection="1">
      <alignment horizontal="center" vertical="center" wrapText="1"/>
      <protection locked="0"/>
    </xf>
    <xf numFmtId="0" fontId="2" fillId="0" borderId="22" xfId="0" applyFont="1" applyBorder="1" applyAlignment="1">
      <alignment horizontal="justify" vertical="center" wrapText="1"/>
    </xf>
    <xf numFmtId="0" fontId="11" fillId="0" borderId="22" xfId="0" applyFont="1" applyBorder="1" applyAlignment="1">
      <alignment horizontal="justify" vertical="center" wrapText="1"/>
    </xf>
    <xf numFmtId="166" fontId="3" fillId="0" borderId="21" xfId="1" applyNumberFormat="1" applyFont="1" applyFill="1" applyBorder="1" applyAlignment="1">
      <alignment horizontal="center" vertical="center" wrapText="1"/>
    </xf>
    <xf numFmtId="166" fontId="3" fillId="0" borderId="5" xfId="1" applyNumberFormat="1" applyFont="1" applyFill="1" applyBorder="1" applyAlignment="1">
      <alignment horizontal="center" vertical="center" wrapText="1"/>
    </xf>
    <xf numFmtId="166" fontId="4" fillId="0" borderId="21" xfId="1" applyNumberFormat="1" applyFont="1" applyFill="1" applyBorder="1" applyAlignment="1">
      <alignment horizontal="center" vertical="center" wrapText="1"/>
    </xf>
    <xf numFmtId="0" fontId="0" fillId="0" borderId="22" xfId="0" applyBorder="1" applyAlignment="1">
      <alignment horizontal="left" vertical="top" wrapText="1"/>
    </xf>
    <xf numFmtId="10" fontId="3" fillId="0" borderId="21" xfId="1" applyNumberFormat="1" applyFont="1" applyFill="1" applyBorder="1" applyAlignment="1">
      <alignment horizontal="center" vertical="center" wrapText="1"/>
    </xf>
    <xf numFmtId="10" fontId="3" fillId="0" borderId="5" xfId="1" applyNumberFormat="1" applyFont="1" applyFill="1" applyBorder="1" applyAlignment="1">
      <alignment horizontal="center" vertical="center" wrapText="1"/>
    </xf>
    <xf numFmtId="10" fontId="4" fillId="0" borderId="21" xfId="1" applyNumberFormat="1" applyFont="1" applyFill="1" applyBorder="1" applyAlignment="1">
      <alignment horizontal="center" vertical="center" wrapText="1"/>
    </xf>
    <xf numFmtId="173" fontId="22" fillId="0" borderId="5" xfId="0" applyNumberFormat="1" applyFont="1" applyBorder="1" applyAlignment="1" applyProtection="1">
      <alignment horizontal="center" vertical="center" wrapText="1"/>
      <protection locked="0"/>
    </xf>
    <xf numFmtId="166" fontId="3" fillId="0" borderId="21" xfId="0" applyNumberFormat="1" applyFont="1" applyBorder="1" applyAlignment="1">
      <alignment horizontal="center" vertical="center" wrapText="1"/>
    </xf>
    <xf numFmtId="166" fontId="3" fillId="0" borderId="5" xfId="0" applyNumberFormat="1" applyFont="1" applyBorder="1" applyAlignment="1">
      <alignment horizontal="center" vertical="center" wrapText="1"/>
    </xf>
    <xf numFmtId="166" fontId="4" fillId="0" borderId="21" xfId="0" applyNumberFormat="1" applyFont="1" applyBorder="1" applyAlignment="1">
      <alignment horizontal="center" vertical="center" wrapText="1"/>
    </xf>
    <xf numFmtId="166" fontId="4" fillId="0" borderId="5" xfId="0" applyNumberFormat="1" applyFont="1" applyBorder="1" applyAlignment="1">
      <alignment horizontal="center" vertical="center" wrapText="1"/>
    </xf>
    <xf numFmtId="0" fontId="3" fillId="0" borderId="28" xfId="0" applyFont="1" applyBorder="1" applyAlignment="1">
      <alignment vertical="center" wrapText="1"/>
    </xf>
    <xf numFmtId="168" fontId="4" fillId="0" borderId="5" xfId="0" applyNumberFormat="1" applyFont="1" applyBorder="1" applyAlignment="1">
      <alignment horizontal="center" vertical="center" wrapText="1"/>
    </xf>
    <xf numFmtId="168" fontId="3" fillId="0" borderId="5" xfId="0" applyNumberFormat="1" applyFont="1" applyBorder="1" applyAlignment="1">
      <alignment horizontal="center" vertical="center" wrapText="1"/>
    </xf>
    <xf numFmtId="177" fontId="4" fillId="0" borderId="29" xfId="4" applyNumberFormat="1" applyFont="1" applyFill="1" applyBorder="1" applyAlignment="1">
      <alignment horizontal="center" vertical="center" wrapText="1"/>
    </xf>
    <xf numFmtId="168" fontId="4" fillId="0" borderId="29" xfId="0" applyNumberFormat="1" applyFont="1" applyBorder="1" applyAlignment="1">
      <alignment horizontal="center" vertical="center" wrapText="1"/>
    </xf>
    <xf numFmtId="0" fontId="3" fillId="0" borderId="29" xfId="0" applyFont="1" applyBorder="1" applyAlignment="1">
      <alignment vertical="center" wrapText="1"/>
    </xf>
    <xf numFmtId="9" fontId="3" fillId="0" borderId="21" xfId="1" applyFont="1" applyFill="1" applyBorder="1" applyAlignment="1">
      <alignment horizontal="center" vertical="center" wrapText="1"/>
    </xf>
    <xf numFmtId="0" fontId="13" fillId="0" borderId="22" xfId="0" applyFont="1" applyBorder="1" applyAlignment="1">
      <alignment horizontal="justify" vertical="center" wrapText="1"/>
    </xf>
    <xf numFmtId="1" fontId="3" fillId="0" borderId="5" xfId="0" applyNumberFormat="1" applyFont="1" applyBorder="1" applyAlignment="1">
      <alignment horizontal="center" vertical="center" wrapText="1"/>
    </xf>
    <xf numFmtId="0" fontId="3" fillId="0" borderId="29" xfId="0" applyFont="1" applyBorder="1" applyAlignment="1">
      <alignment horizontal="justify" vertical="center" wrapText="1"/>
    </xf>
    <xf numFmtId="2" fontId="3" fillId="0" borderId="21" xfId="0" applyNumberFormat="1" applyFont="1" applyBorder="1" applyAlignment="1">
      <alignment horizontal="center" vertical="center" wrapText="1"/>
    </xf>
    <xf numFmtId="0" fontId="0" fillId="0" borderId="22" xfId="0" applyBorder="1" applyAlignment="1">
      <alignment vertical="top" wrapText="1"/>
    </xf>
    <xf numFmtId="167" fontId="3" fillId="0" borderId="21" xfId="1" applyNumberFormat="1" applyFont="1" applyFill="1" applyBorder="1" applyAlignment="1">
      <alignment horizontal="center" vertical="center" wrapText="1"/>
    </xf>
    <xf numFmtId="49" fontId="3" fillId="0" borderId="5" xfId="0" applyNumberFormat="1" applyFont="1" applyBorder="1" applyAlignment="1">
      <alignment horizontal="center" vertical="center" wrapText="1"/>
    </xf>
    <xf numFmtId="0" fontId="0" fillId="0" borderId="22" xfId="0" applyBorder="1" applyAlignment="1">
      <alignment horizontal="center" vertical="center" wrapText="1"/>
    </xf>
    <xf numFmtId="171" fontId="4" fillId="0" borderId="21" xfId="3" applyNumberFormat="1" applyFont="1" applyFill="1" applyBorder="1" applyAlignment="1">
      <alignment horizontal="center" vertical="center" wrapText="1"/>
    </xf>
    <xf numFmtId="0" fontId="3" fillId="0" borderId="5" xfId="0" applyFont="1" applyBorder="1" applyAlignment="1">
      <alignment horizontal="left" vertical="center" wrapText="1"/>
    </xf>
    <xf numFmtId="0" fontId="21" fillId="0" borderId="22" xfId="0" applyFont="1" applyBorder="1" applyAlignment="1">
      <alignment horizontal="justify" vertical="center" wrapText="1"/>
    </xf>
    <xf numFmtId="9" fontId="3" fillId="0" borderId="22" xfId="0" applyNumberFormat="1" applyFont="1" applyBorder="1" applyAlignment="1">
      <alignment vertical="center" wrapText="1"/>
    </xf>
    <xf numFmtId="9" fontId="11" fillId="0" borderId="22" xfId="0" applyNumberFormat="1" applyFont="1" applyBorder="1" applyAlignment="1">
      <alignment vertical="center" wrapText="1"/>
    </xf>
    <xf numFmtId="9" fontId="3" fillId="0" borderId="29" xfId="0" applyNumberFormat="1" applyFont="1" applyBorder="1" applyAlignment="1">
      <alignment vertical="center" wrapText="1"/>
    </xf>
    <xf numFmtId="165" fontId="3" fillId="0" borderId="5" xfId="0" applyNumberFormat="1" applyFont="1" applyBorder="1" applyAlignment="1">
      <alignment vertical="center" wrapText="1"/>
    </xf>
    <xf numFmtId="1" fontId="3" fillId="0" borderId="22" xfId="0" applyNumberFormat="1" applyFont="1" applyBorder="1" applyAlignment="1">
      <alignment horizontal="center" vertical="center" wrapText="1"/>
    </xf>
    <xf numFmtId="1" fontId="0" fillId="0" borderId="22" xfId="0" applyNumberFormat="1" applyBorder="1" applyAlignment="1">
      <alignment horizontal="left" vertical="center" wrapText="1"/>
    </xf>
    <xf numFmtId="9" fontId="0" fillId="0" borderId="21" xfId="0" applyNumberFormat="1" applyBorder="1" applyAlignment="1">
      <alignment vertical="center"/>
    </xf>
    <xf numFmtId="9" fontId="0" fillId="0" borderId="5" xfId="0" applyNumberFormat="1" applyBorder="1" applyAlignment="1">
      <alignment vertical="center"/>
    </xf>
    <xf numFmtId="1" fontId="0" fillId="0" borderId="22" xfId="0" applyNumberFormat="1" applyBorder="1" applyAlignment="1">
      <alignment vertical="center" wrapText="1"/>
    </xf>
    <xf numFmtId="176" fontId="3" fillId="0" borderId="5" xfId="0" applyNumberFormat="1" applyFont="1" applyBorder="1" applyAlignment="1">
      <alignment horizontal="center" vertical="center"/>
    </xf>
    <xf numFmtId="0" fontId="3" fillId="0" borderId="29" xfId="0" applyFont="1" applyBorder="1" applyAlignment="1">
      <alignment horizontal="left" vertical="center" wrapText="1"/>
    </xf>
    <xf numFmtId="165" fontId="4" fillId="0" borderId="4" xfId="0" applyNumberFormat="1" applyFont="1" applyBorder="1" applyAlignment="1">
      <alignment horizontal="center" vertical="center" wrapText="1"/>
    </xf>
    <xf numFmtId="165" fontId="12" fillId="0" borderId="5" xfId="0" applyNumberFormat="1" applyFont="1" applyBorder="1" applyAlignment="1">
      <alignment horizontal="center" vertical="center" wrapText="1"/>
    </xf>
    <xf numFmtId="165" fontId="4" fillId="3" borderId="0" xfId="0" applyNumberFormat="1" applyFont="1" applyFill="1" applyAlignment="1">
      <alignment horizontal="center" vertical="center" wrapText="1"/>
    </xf>
    <xf numFmtId="165" fontId="0" fillId="0" borderId="0" xfId="0" applyNumberFormat="1"/>
    <xf numFmtId="166" fontId="4" fillId="3" borderId="3" xfId="1" applyNumberFormat="1" applyFont="1" applyFill="1" applyBorder="1" applyAlignment="1">
      <alignment horizontal="center" vertical="center" wrapText="1"/>
    </xf>
    <xf numFmtId="0" fontId="12" fillId="0" borderId="0" xfId="0" applyFont="1" applyAlignment="1">
      <alignment horizontal="justify"/>
    </xf>
    <xf numFmtId="0" fontId="4" fillId="5" borderId="5" xfId="0" applyFont="1" applyFill="1" applyBorder="1" applyAlignment="1">
      <alignment horizontal="center" vertical="center" wrapText="1"/>
    </xf>
    <xf numFmtId="0" fontId="4" fillId="0" borderId="29" xfId="0" applyFont="1" applyBorder="1" applyAlignment="1">
      <alignment horizontal="center" vertical="center" wrapText="1"/>
    </xf>
    <xf numFmtId="0" fontId="4" fillId="0" borderId="5" xfId="0" applyFont="1" applyBorder="1" applyAlignment="1">
      <alignment horizontal="justify" vertical="center" wrapText="1"/>
    </xf>
    <xf numFmtId="0" fontId="11" fillId="0" borderId="5" xfId="0" applyFont="1" applyBorder="1" applyAlignment="1">
      <alignment horizontal="justify" vertical="center" wrapText="1"/>
    </xf>
    <xf numFmtId="9" fontId="4" fillId="3" borderId="5" xfId="0" applyNumberFormat="1" applyFont="1" applyFill="1" applyBorder="1" applyAlignment="1">
      <alignment horizontal="justify" vertical="center" wrapText="1"/>
    </xf>
    <xf numFmtId="0" fontId="4" fillId="3" borderId="5" xfId="0" applyFont="1" applyFill="1" applyBorder="1" applyAlignment="1">
      <alignment horizontal="justify" vertical="center" wrapText="1"/>
    </xf>
    <xf numFmtId="0" fontId="11" fillId="0" borderId="29" xfId="0" applyFont="1" applyBorder="1" applyAlignment="1">
      <alignment horizontal="justify" vertical="center" wrapText="1"/>
    </xf>
    <xf numFmtId="0" fontId="4" fillId="0" borderId="2" xfId="0" applyFont="1" applyBorder="1" applyAlignment="1">
      <alignment horizontal="justify" vertical="center" wrapText="1"/>
    </xf>
    <xf numFmtId="9" fontId="4" fillId="0" borderId="5" xfId="0" applyNumberFormat="1" applyFont="1" applyBorder="1" applyAlignment="1">
      <alignment horizontal="justify" vertical="center" wrapText="1"/>
    </xf>
    <xf numFmtId="0" fontId="4" fillId="0" borderId="29" xfId="0" applyFont="1" applyBorder="1" applyAlignment="1">
      <alignment horizontal="justify" vertical="center" wrapText="1"/>
    </xf>
    <xf numFmtId="9" fontId="4" fillId="0" borderId="29" xfId="0" applyNumberFormat="1" applyFont="1" applyBorder="1" applyAlignment="1">
      <alignment horizontal="justify" vertical="center" wrapText="1"/>
    </xf>
    <xf numFmtId="0" fontId="4" fillId="0" borderId="28" xfId="0" applyFont="1" applyBorder="1" applyAlignment="1">
      <alignment horizontal="justify" vertical="center" wrapText="1"/>
    </xf>
    <xf numFmtId="0" fontId="4" fillId="0" borderId="4" xfId="0" applyFont="1" applyBorder="1" applyAlignment="1">
      <alignment horizontal="justify" vertical="center" wrapText="1"/>
    </xf>
    <xf numFmtId="9" fontId="4" fillId="4" borderId="28" xfId="1" applyFont="1" applyFill="1" applyBorder="1" applyAlignment="1">
      <alignment horizontal="center" vertical="center" wrapText="1"/>
    </xf>
    <xf numFmtId="9" fontId="4" fillId="4" borderId="4" xfId="1" applyFont="1" applyFill="1" applyBorder="1" applyAlignment="1">
      <alignment horizontal="center" vertical="center" wrapText="1"/>
    </xf>
    <xf numFmtId="2" fontId="3" fillId="0" borderId="28" xfId="0" applyNumberFormat="1" applyFont="1" applyBorder="1" applyAlignment="1">
      <alignment horizontal="center" vertical="center"/>
    </xf>
    <xf numFmtId="2" fontId="3" fillId="0" borderId="4" xfId="0" applyNumberFormat="1" applyFont="1" applyBorder="1" applyAlignment="1">
      <alignment horizontal="center" vertical="center"/>
    </xf>
    <xf numFmtId="2" fontId="3" fillId="0" borderId="29" xfId="0" applyNumberFormat="1" applyFont="1" applyBorder="1" applyAlignment="1">
      <alignment horizontal="center" vertical="center"/>
    </xf>
    <xf numFmtId="0" fontId="4" fillId="0" borderId="5" xfId="0" applyFont="1" applyBorder="1" applyAlignment="1">
      <alignment horizontal="center" vertical="center" wrapText="1"/>
    </xf>
    <xf numFmtId="9" fontId="4" fillId="4" borderId="5" xfId="1" applyFont="1" applyFill="1" applyBorder="1" applyAlignment="1">
      <alignment horizontal="center" vertical="center" wrapText="1"/>
    </xf>
    <xf numFmtId="42" fontId="4" fillId="0" borderId="28" xfId="0" applyNumberFormat="1" applyFont="1" applyBorder="1" applyAlignment="1">
      <alignment horizontal="center" vertical="center" wrapText="1"/>
    </xf>
    <xf numFmtId="42" fontId="4" fillId="0" borderId="4" xfId="0" applyNumberFormat="1" applyFont="1" applyBorder="1" applyAlignment="1">
      <alignment horizontal="center" vertical="center" wrapText="1"/>
    </xf>
    <xf numFmtId="42" fontId="4" fillId="0" borderId="29" xfId="0" applyNumberFormat="1" applyFont="1" applyBorder="1" applyAlignment="1">
      <alignment horizontal="center" vertical="center" wrapText="1"/>
    </xf>
    <xf numFmtId="165" fontId="4" fillId="0" borderId="28" xfId="0" applyNumberFormat="1" applyFont="1" applyBorder="1" applyAlignment="1">
      <alignment horizontal="center" vertical="center" wrapText="1"/>
    </xf>
    <xf numFmtId="165" fontId="4" fillId="0" borderId="4" xfId="0" applyNumberFormat="1" applyFont="1" applyBorder="1" applyAlignment="1">
      <alignment horizontal="center" vertical="center" wrapText="1"/>
    </xf>
    <xf numFmtId="165" fontId="4" fillId="0" borderId="29" xfId="0" applyNumberFormat="1" applyFont="1" applyBorder="1" applyAlignment="1">
      <alignment horizontal="center" vertical="center" wrapText="1"/>
    </xf>
    <xf numFmtId="9" fontId="4" fillId="4" borderId="29" xfId="1" applyFont="1" applyFill="1" applyBorder="1" applyAlignment="1">
      <alignment horizontal="center" vertical="center" wrapText="1"/>
    </xf>
    <xf numFmtId="0" fontId="3" fillId="0" borderId="28" xfId="0" applyFont="1" applyBorder="1" applyAlignment="1">
      <alignment horizontal="center"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4" fillId="0" borderId="28" xfId="0" applyFont="1" applyBorder="1" applyAlignment="1">
      <alignment horizontal="justify" vertical="center" wrapText="1"/>
    </xf>
    <xf numFmtId="0" fontId="4" fillId="0" borderId="4" xfId="0" applyFont="1" applyBorder="1" applyAlignment="1">
      <alignment horizontal="justify" vertical="center" wrapText="1"/>
    </xf>
    <xf numFmtId="1" fontId="3" fillId="0" borderId="28" xfId="0" applyNumberFormat="1" applyFont="1" applyBorder="1" applyAlignment="1">
      <alignment horizontal="center" vertical="center"/>
    </xf>
    <xf numFmtId="1" fontId="3" fillId="0" borderId="29" xfId="0" applyNumberFormat="1" applyFont="1" applyBorder="1" applyAlignment="1">
      <alignment horizontal="center" vertical="center"/>
    </xf>
    <xf numFmtId="9" fontId="4" fillId="5" borderId="5" xfId="1" applyFont="1" applyFill="1" applyBorder="1" applyAlignment="1">
      <alignment horizontal="center" vertical="center" wrapText="1"/>
    </xf>
    <xf numFmtId="170" fontId="4" fillId="3" borderId="28" xfId="1" applyNumberFormat="1" applyFont="1" applyFill="1" applyBorder="1" applyAlignment="1">
      <alignment horizontal="center" vertical="center" wrapText="1"/>
    </xf>
    <xf numFmtId="170" fontId="4" fillId="3" borderId="29" xfId="1" applyNumberFormat="1" applyFont="1" applyFill="1" applyBorder="1" applyAlignment="1">
      <alignment horizontal="center" vertical="center" wrapText="1"/>
    </xf>
    <xf numFmtId="9" fontId="4" fillId="5" borderId="28" xfId="1" applyFont="1" applyFill="1" applyBorder="1" applyAlignment="1">
      <alignment horizontal="center" vertical="center" wrapText="1"/>
    </xf>
    <xf numFmtId="9" fontId="4" fillId="5" borderId="6" xfId="1" applyFont="1" applyFill="1" applyBorder="1" applyAlignment="1">
      <alignment horizontal="center" vertical="center" wrapText="1"/>
    </xf>
    <xf numFmtId="0" fontId="11" fillId="0" borderId="5" xfId="0" applyFont="1" applyBorder="1" applyAlignment="1">
      <alignment horizontal="justify" vertical="center" wrapText="1"/>
    </xf>
    <xf numFmtId="0" fontId="4" fillId="0" borderId="5" xfId="0" applyFont="1" applyBorder="1" applyAlignment="1">
      <alignment horizontal="justify" vertical="center" wrapText="1"/>
    </xf>
    <xf numFmtId="165" fontId="4" fillId="3" borderId="28" xfId="0" applyNumberFormat="1" applyFont="1" applyFill="1" applyBorder="1" applyAlignment="1">
      <alignment horizontal="center" vertical="center" wrapText="1"/>
    </xf>
    <xf numFmtId="165" fontId="4" fillId="3" borderId="29" xfId="0" applyNumberFormat="1" applyFont="1" applyFill="1" applyBorder="1" applyAlignment="1">
      <alignment horizontal="center" vertical="center" wrapText="1"/>
    </xf>
    <xf numFmtId="165" fontId="4" fillId="3" borderId="5" xfId="1" applyNumberFormat="1" applyFont="1" applyFill="1" applyBorder="1" applyAlignment="1">
      <alignment horizontal="center" vertical="center" wrapText="1"/>
    </xf>
    <xf numFmtId="9" fontId="4" fillId="5" borderId="29" xfId="1" applyFont="1" applyFill="1" applyBorder="1" applyAlignment="1">
      <alignment horizontal="center" vertical="center" wrapText="1"/>
    </xf>
    <xf numFmtId="1" fontId="3" fillId="0" borderId="26" xfId="0" applyNumberFormat="1" applyFont="1" applyBorder="1" applyAlignment="1">
      <alignment horizontal="center" vertical="center"/>
    </xf>
    <xf numFmtId="1" fontId="3" fillId="0" borderId="27" xfId="0" applyNumberFormat="1" applyFont="1" applyBorder="1" applyAlignment="1">
      <alignment horizontal="center" vertical="center"/>
    </xf>
    <xf numFmtId="165" fontId="4" fillId="3" borderId="5" xfId="0" applyNumberFormat="1" applyFont="1" applyFill="1" applyBorder="1" applyAlignment="1">
      <alignment horizontal="center" vertical="center" wrapText="1"/>
    </xf>
    <xf numFmtId="0" fontId="3" fillId="0" borderId="29" xfId="0" applyFont="1" applyBorder="1" applyAlignment="1">
      <alignment horizontal="center" vertical="center" wrapText="1"/>
    </xf>
    <xf numFmtId="9" fontId="3" fillId="0" borderId="28" xfId="0" applyNumberFormat="1" applyFont="1" applyBorder="1" applyAlignment="1">
      <alignment horizontal="center" vertical="center"/>
    </xf>
    <xf numFmtId="0" fontId="3" fillId="0" borderId="4" xfId="0" applyFont="1" applyBorder="1" applyAlignment="1">
      <alignment horizontal="center" vertical="center"/>
    </xf>
    <xf numFmtId="0" fontId="3" fillId="0" borderId="29" xfId="0" applyFont="1" applyBorder="1" applyAlignment="1">
      <alignment horizontal="center" vertical="center"/>
    </xf>
    <xf numFmtId="9" fontId="4" fillId="0" borderId="5" xfId="0" applyNumberFormat="1" applyFont="1" applyBorder="1" applyAlignment="1">
      <alignment horizontal="center" vertical="center" wrapText="1"/>
    </xf>
    <xf numFmtId="9" fontId="4" fillId="5" borderId="4" xfId="1" applyFont="1" applyFill="1" applyBorder="1" applyAlignment="1">
      <alignment horizontal="center" vertical="center" wrapText="1"/>
    </xf>
    <xf numFmtId="0" fontId="3" fillId="0" borderId="2" xfId="0" applyFont="1" applyBorder="1" applyAlignment="1">
      <alignment horizontal="center" vertical="center" wrapText="1"/>
    </xf>
    <xf numFmtId="0" fontId="4" fillId="3" borderId="4" xfId="0" applyFont="1" applyFill="1" applyBorder="1" applyAlignment="1">
      <alignment horizontal="justify" vertical="center" wrapText="1"/>
    </xf>
    <xf numFmtId="0" fontId="4" fillId="3" borderId="29" xfId="0" applyFont="1" applyFill="1" applyBorder="1" applyAlignment="1">
      <alignment horizontal="justify" vertical="center" wrapText="1"/>
    </xf>
    <xf numFmtId="9" fontId="3" fillId="0" borderId="29" xfId="0" applyNumberFormat="1" applyFont="1" applyBorder="1" applyAlignment="1">
      <alignment horizontal="center" vertical="center"/>
    </xf>
    <xf numFmtId="9" fontId="4" fillId="0" borderId="5" xfId="1" applyFont="1" applyFill="1" applyBorder="1" applyAlignment="1">
      <alignment horizontal="center" vertical="center" wrapText="1"/>
    </xf>
    <xf numFmtId="9" fontId="4" fillId="6" borderId="5" xfId="1" applyFont="1" applyFill="1" applyBorder="1" applyAlignment="1">
      <alignment horizontal="center" vertical="center" wrapText="1"/>
    </xf>
    <xf numFmtId="9" fontId="4" fillId="6" borderId="28" xfId="1" applyFont="1" applyFill="1" applyBorder="1" applyAlignment="1">
      <alignment horizontal="center" vertical="center" wrapText="1"/>
    </xf>
    <xf numFmtId="9" fontId="4" fillId="6" borderId="29" xfId="1" applyFont="1" applyFill="1" applyBorder="1" applyAlignment="1">
      <alignment horizontal="center" vertical="center" wrapText="1"/>
    </xf>
    <xf numFmtId="165" fontId="4" fillId="3" borderId="4" xfId="0" applyNumberFormat="1" applyFont="1" applyFill="1" applyBorder="1" applyAlignment="1">
      <alignment horizontal="center" vertical="center" wrapText="1"/>
    </xf>
    <xf numFmtId="0" fontId="4" fillId="0" borderId="29" xfId="0" applyFont="1" applyBorder="1" applyAlignment="1">
      <alignment horizontal="justify" vertical="center" wrapText="1"/>
    </xf>
    <xf numFmtId="10" fontId="4" fillId="0" borderId="5" xfId="0" applyNumberFormat="1" applyFont="1" applyBorder="1" applyAlignment="1">
      <alignment horizontal="center" vertical="center" wrapText="1"/>
    </xf>
    <xf numFmtId="165" fontId="11" fillId="3" borderId="29" xfId="0" applyNumberFormat="1" applyFont="1" applyFill="1" applyBorder="1" applyAlignment="1">
      <alignment horizontal="center" vertical="center" wrapText="1"/>
    </xf>
    <xf numFmtId="1" fontId="4" fillId="0" borderId="5" xfId="0" applyNumberFormat="1" applyFont="1" applyBorder="1" applyAlignment="1">
      <alignment horizontal="center" vertical="center" wrapText="1"/>
    </xf>
    <xf numFmtId="9" fontId="4" fillId="8" borderId="5" xfId="1" applyFont="1" applyFill="1" applyBorder="1" applyAlignment="1">
      <alignment horizontal="center" vertical="center" wrapText="1"/>
    </xf>
    <xf numFmtId="165" fontId="4" fillId="3" borderId="5" xfId="4" applyNumberFormat="1" applyFont="1" applyFill="1" applyBorder="1" applyAlignment="1">
      <alignment horizontal="center" vertical="center" wrapText="1"/>
    </xf>
    <xf numFmtId="9" fontId="4" fillId="8" borderId="28" xfId="1" applyFont="1" applyFill="1" applyBorder="1" applyAlignment="1">
      <alignment horizontal="center" vertical="center" wrapText="1"/>
    </xf>
    <xf numFmtId="9" fontId="4" fillId="8" borderId="29" xfId="1" applyFont="1" applyFill="1" applyBorder="1" applyAlignment="1">
      <alignment horizontal="center" vertical="center" wrapText="1"/>
    </xf>
    <xf numFmtId="9" fontId="4" fillId="7" borderId="28" xfId="1" applyFont="1" applyFill="1" applyBorder="1" applyAlignment="1">
      <alignment horizontal="center" vertical="center" wrapText="1"/>
    </xf>
    <xf numFmtId="9" fontId="4" fillId="7" borderId="29" xfId="1" applyFont="1" applyFill="1" applyBorder="1" applyAlignment="1">
      <alignment horizontal="center" vertical="center" wrapText="1"/>
    </xf>
    <xf numFmtId="0" fontId="11" fillId="0" borderId="28" xfId="0" applyFont="1" applyBorder="1" applyAlignment="1">
      <alignment horizontal="justify" vertical="center" wrapText="1"/>
    </xf>
    <xf numFmtId="0" fontId="4" fillId="3" borderId="28" xfId="0" applyFont="1" applyFill="1" applyBorder="1" applyAlignment="1">
      <alignment horizontal="justify" vertical="center" wrapText="1"/>
    </xf>
    <xf numFmtId="9" fontId="3" fillId="0" borderId="5" xfId="0" applyNumberFormat="1" applyFont="1" applyBorder="1" applyAlignment="1">
      <alignment horizontal="center" vertical="center"/>
    </xf>
    <xf numFmtId="0" fontId="3" fillId="0" borderId="5" xfId="0" applyFont="1" applyBorder="1" applyAlignment="1">
      <alignment horizontal="center" vertical="center"/>
    </xf>
    <xf numFmtId="9" fontId="4" fillId="3" borderId="5" xfId="1" applyFont="1" applyFill="1" applyBorder="1" applyAlignment="1">
      <alignment horizontal="center" vertical="center" wrapText="1"/>
    </xf>
    <xf numFmtId="165" fontId="11" fillId="3" borderId="5" xfId="0" applyNumberFormat="1" applyFont="1" applyFill="1" applyBorder="1" applyAlignment="1">
      <alignment horizontal="center" vertical="center" wrapText="1"/>
    </xf>
    <xf numFmtId="10" fontId="4" fillId="0" borderId="5" xfId="1" applyNumberFormat="1" applyFont="1" applyFill="1" applyBorder="1" applyAlignment="1">
      <alignment horizontal="center" vertical="center" wrapText="1"/>
    </xf>
    <xf numFmtId="44" fontId="4" fillId="3" borderId="28" xfId="4" applyFont="1" applyFill="1" applyBorder="1" applyAlignment="1">
      <alignment horizontal="center" vertical="center" wrapText="1"/>
    </xf>
    <xf numFmtId="44" fontId="4" fillId="3" borderId="29" xfId="4" applyFont="1" applyFill="1" applyBorder="1" applyAlignment="1">
      <alignment horizontal="center" vertical="center" wrapText="1"/>
    </xf>
    <xf numFmtId="9" fontId="4" fillId="7" borderId="5" xfId="1" applyFont="1" applyFill="1" applyBorder="1" applyAlignment="1">
      <alignment horizontal="center" vertical="center" wrapText="1"/>
    </xf>
    <xf numFmtId="10" fontId="4" fillId="3" borderId="5" xfId="0" applyNumberFormat="1" applyFont="1" applyFill="1" applyBorder="1" applyAlignment="1">
      <alignment horizontal="center" vertical="center" wrapText="1"/>
    </xf>
    <xf numFmtId="0" fontId="4" fillId="3" borderId="5" xfId="0" applyFont="1" applyFill="1" applyBorder="1" applyAlignment="1">
      <alignment horizontal="center" vertical="center" wrapText="1"/>
    </xf>
    <xf numFmtId="170" fontId="4" fillId="3" borderId="5" xfId="4" applyNumberFormat="1" applyFont="1" applyFill="1" applyBorder="1" applyAlignment="1">
      <alignment horizontal="center" vertical="center" wrapText="1"/>
    </xf>
    <xf numFmtId="9" fontId="4" fillId="0" borderId="28" xfId="0" applyNumberFormat="1" applyFont="1" applyBorder="1" applyAlignment="1">
      <alignment horizontal="justify" vertical="center" wrapText="1"/>
    </xf>
    <xf numFmtId="9" fontId="4" fillId="0" borderId="4" xfId="0" applyNumberFormat="1" applyFont="1" applyBorder="1" applyAlignment="1">
      <alignment horizontal="justify" vertical="center" wrapText="1"/>
    </xf>
    <xf numFmtId="9" fontId="4" fillId="0" borderId="29" xfId="0" applyNumberFormat="1" applyFont="1" applyBorder="1" applyAlignment="1">
      <alignment horizontal="justify" vertical="center" wrapText="1"/>
    </xf>
    <xf numFmtId="10" fontId="4" fillId="3" borderId="28" xfId="0" applyNumberFormat="1" applyFont="1" applyFill="1" applyBorder="1" applyAlignment="1">
      <alignment horizontal="center" vertical="center" wrapText="1"/>
    </xf>
    <xf numFmtId="10" fontId="4" fillId="3" borderId="29" xfId="0" applyNumberFormat="1" applyFont="1" applyFill="1" applyBorder="1" applyAlignment="1">
      <alignment horizontal="center" vertical="center" wrapText="1"/>
    </xf>
    <xf numFmtId="9" fontId="4" fillId="11" borderId="28" xfId="1" applyFont="1" applyFill="1" applyBorder="1" applyAlignment="1">
      <alignment horizontal="center" vertical="center" wrapText="1"/>
    </xf>
    <xf numFmtId="9" fontId="4" fillId="11" borderId="4" xfId="1" applyFont="1" applyFill="1" applyBorder="1" applyAlignment="1">
      <alignment horizontal="center" vertical="center" wrapText="1"/>
    </xf>
    <xf numFmtId="9" fontId="4" fillId="11" borderId="29" xfId="1" applyFont="1" applyFill="1" applyBorder="1" applyAlignment="1">
      <alignment horizontal="center" vertical="center" wrapText="1"/>
    </xf>
    <xf numFmtId="9" fontId="3" fillId="0" borderId="26" xfId="0" applyNumberFormat="1" applyFont="1" applyBorder="1" applyAlignment="1">
      <alignment horizontal="center" vertical="center"/>
    </xf>
    <xf numFmtId="9" fontId="3" fillId="0" borderId="27" xfId="0" applyNumberFormat="1" applyFont="1" applyBorder="1" applyAlignment="1">
      <alignment horizontal="center" vertical="center"/>
    </xf>
    <xf numFmtId="10" fontId="4" fillId="0" borderId="28" xfId="0" applyNumberFormat="1" applyFont="1" applyBorder="1" applyAlignment="1">
      <alignment horizontal="justify" vertical="center" wrapText="1"/>
    </xf>
    <xf numFmtId="10" fontId="4" fillId="0" borderId="4" xfId="0" applyNumberFormat="1" applyFont="1" applyBorder="1" applyAlignment="1">
      <alignment horizontal="justify" vertical="center" wrapText="1"/>
    </xf>
    <xf numFmtId="10" fontId="4" fillId="0" borderId="29" xfId="0" applyNumberFormat="1" applyFont="1" applyBorder="1" applyAlignment="1">
      <alignment horizontal="justify" vertical="center" wrapText="1"/>
    </xf>
    <xf numFmtId="0" fontId="16" fillId="2" borderId="19" xfId="0" applyFont="1" applyFill="1" applyBorder="1" applyAlignment="1">
      <alignment horizontal="center"/>
    </xf>
    <xf numFmtId="0" fontId="16" fillId="2" borderId="17" xfId="0" applyFont="1" applyFill="1" applyBorder="1" applyAlignment="1">
      <alignment horizontal="center"/>
    </xf>
    <xf numFmtId="0" fontId="16" fillId="2" borderId="11" xfId="0" applyFont="1" applyFill="1" applyBorder="1" applyAlignment="1">
      <alignment horizontal="center"/>
    </xf>
    <xf numFmtId="0" fontId="11" fillId="2" borderId="8" xfId="0" applyFont="1" applyFill="1" applyBorder="1" applyAlignment="1">
      <alignment horizontal="center" vertical="center" wrapText="1"/>
    </xf>
    <xf numFmtId="0" fontId="11" fillId="2" borderId="13" xfId="0" applyFont="1" applyFill="1" applyBorder="1" applyAlignment="1">
      <alignment horizontal="center" vertical="center" wrapText="1"/>
    </xf>
    <xf numFmtId="9" fontId="11" fillId="2" borderId="8" xfId="1" applyFont="1" applyFill="1" applyBorder="1" applyAlignment="1">
      <alignment horizontal="center" vertical="center" wrapText="1"/>
    </xf>
    <xf numFmtId="9" fontId="11" fillId="2" borderId="13" xfId="1" applyFont="1" applyFill="1" applyBorder="1" applyAlignment="1">
      <alignment horizontal="center" vertical="center" wrapText="1"/>
    </xf>
    <xf numFmtId="165" fontId="11" fillId="2" borderId="8" xfId="0" applyNumberFormat="1" applyFont="1" applyFill="1" applyBorder="1" applyAlignment="1">
      <alignment horizontal="center" vertical="center" wrapText="1"/>
    </xf>
    <xf numFmtId="165" fontId="11" fillId="2" borderId="13" xfId="0" applyNumberFormat="1" applyFont="1" applyFill="1" applyBorder="1" applyAlignment="1">
      <alignment horizontal="center" vertical="center" wrapText="1"/>
    </xf>
    <xf numFmtId="0" fontId="11" fillId="2" borderId="30" xfId="0" applyFont="1" applyFill="1" applyBorder="1" applyAlignment="1">
      <alignment horizontal="center" vertical="center" wrapText="1"/>
    </xf>
    <xf numFmtId="9" fontId="4" fillId="7" borderId="4" xfId="1" applyFont="1" applyFill="1" applyBorder="1" applyAlignment="1">
      <alignment horizontal="center" vertical="center" wrapText="1"/>
    </xf>
    <xf numFmtId="9" fontId="4" fillId="7" borderId="6" xfId="1"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4" fillId="3" borderId="6" xfId="0" applyFont="1" applyFill="1" applyBorder="1" applyAlignment="1">
      <alignment horizontal="justify" vertical="center" wrapText="1"/>
    </xf>
    <xf numFmtId="9" fontId="4" fillId="4" borderId="28" xfId="1" applyFont="1" applyFill="1" applyBorder="1" applyAlignment="1">
      <alignment horizontal="center" vertical="center"/>
    </xf>
    <xf numFmtId="9" fontId="4" fillId="4" borderId="29" xfId="1" applyFont="1" applyFill="1" applyBorder="1" applyAlignment="1">
      <alignment horizontal="center" vertical="center"/>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10" xfId="0" applyFont="1" applyBorder="1" applyAlignment="1">
      <alignment horizontal="center" vertical="center" wrapText="1"/>
    </xf>
    <xf numFmtId="166" fontId="3" fillId="0" borderId="28" xfId="1" applyNumberFormat="1" applyFont="1" applyFill="1" applyBorder="1" applyAlignment="1">
      <alignment horizontal="center" vertical="center"/>
    </xf>
    <xf numFmtId="166" fontId="3" fillId="0" borderId="29" xfId="1" applyNumberFormat="1" applyFont="1" applyFill="1" applyBorder="1" applyAlignment="1">
      <alignment horizontal="center" vertical="center"/>
    </xf>
    <xf numFmtId="10" fontId="4" fillId="0" borderId="28" xfId="0" applyNumberFormat="1" applyFont="1" applyBorder="1" applyAlignment="1">
      <alignment horizontal="center" vertical="center" wrapText="1"/>
    </xf>
    <xf numFmtId="10" fontId="4" fillId="0" borderId="29" xfId="0" applyNumberFormat="1" applyFont="1" applyBorder="1" applyAlignment="1">
      <alignment horizontal="center" vertical="center" wrapText="1"/>
    </xf>
    <xf numFmtId="0" fontId="4" fillId="0" borderId="14" xfId="0" applyFont="1" applyBorder="1" applyAlignment="1">
      <alignment horizontal="center" vertical="center" wrapText="1"/>
    </xf>
    <xf numFmtId="0" fontId="11" fillId="2" borderId="1" xfId="0" applyFont="1" applyFill="1" applyBorder="1" applyAlignment="1">
      <alignment horizontal="center" vertical="center" wrapText="1"/>
    </xf>
    <xf numFmtId="0" fontId="11" fillId="0" borderId="5" xfId="0" applyFont="1" applyBorder="1" applyAlignment="1">
      <alignment horizontal="center" vertical="center" textRotation="90" wrapText="1"/>
    </xf>
    <xf numFmtId="0" fontId="11" fillId="0" borderId="2" xfId="0" applyFont="1" applyBorder="1" applyAlignment="1">
      <alignment horizontal="center" vertical="center" textRotation="90" wrapText="1"/>
    </xf>
    <xf numFmtId="0" fontId="4" fillId="0" borderId="4" xfId="0" applyFont="1" applyBorder="1" applyAlignment="1">
      <alignment horizontal="center" vertical="center" textRotation="90" wrapText="1"/>
    </xf>
    <xf numFmtId="0" fontId="11" fillId="2" borderId="19" xfId="0" applyFont="1" applyFill="1" applyBorder="1" applyAlignment="1">
      <alignment horizontal="center"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textRotation="90" wrapText="1"/>
    </xf>
    <xf numFmtId="0" fontId="4" fillId="0" borderId="6" xfId="0" applyFont="1" applyBorder="1" applyAlignment="1">
      <alignment horizontal="center" vertical="center" wrapText="1"/>
    </xf>
    <xf numFmtId="0" fontId="4" fillId="0" borderId="25" xfId="0" applyFont="1" applyBorder="1" applyAlignment="1">
      <alignment horizontal="center" vertical="center" wrapText="1"/>
    </xf>
    <xf numFmtId="0" fontId="11" fillId="0" borderId="4" xfId="0" applyFont="1" applyBorder="1" applyAlignment="1">
      <alignment horizontal="center" vertical="center" textRotation="90" wrapText="1"/>
    </xf>
    <xf numFmtId="0" fontId="11" fillId="0" borderId="6" xfId="0" applyFont="1" applyBorder="1" applyAlignment="1">
      <alignment horizontal="center" vertical="center" textRotation="90" wrapText="1"/>
    </xf>
    <xf numFmtId="0" fontId="4" fillId="0" borderId="15" xfId="0" applyFont="1" applyBorder="1" applyAlignment="1">
      <alignment horizontal="left" vertical="center" wrapText="1"/>
    </xf>
    <xf numFmtId="0" fontId="4" fillId="0" borderId="10" xfId="0" applyFont="1" applyBorder="1" applyAlignment="1">
      <alignment horizontal="left" vertical="center" wrapText="1"/>
    </xf>
    <xf numFmtId="0" fontId="4" fillId="0" borderId="25" xfId="0" applyFont="1" applyBorder="1" applyAlignment="1">
      <alignment horizontal="left" vertical="center" wrapText="1"/>
    </xf>
    <xf numFmtId="0" fontId="4" fillId="0" borderId="16" xfId="0" applyFont="1" applyBorder="1" applyAlignment="1">
      <alignment horizontal="center" vertical="center" wrapText="1"/>
    </xf>
    <xf numFmtId="165" fontId="4" fillId="0" borderId="5" xfId="0" applyNumberFormat="1" applyFont="1" applyBorder="1" applyAlignment="1">
      <alignment horizontal="center" vertical="center" wrapText="1"/>
    </xf>
    <xf numFmtId="0" fontId="11" fillId="2" borderId="17" xfId="0" applyFont="1" applyFill="1" applyBorder="1" applyAlignment="1">
      <alignment horizontal="center" vertical="center" wrapText="1"/>
    </xf>
    <xf numFmtId="0" fontId="11" fillId="2" borderId="11" xfId="0" applyFont="1" applyFill="1" applyBorder="1" applyAlignment="1">
      <alignment horizontal="center" vertical="center" wrapText="1"/>
    </xf>
    <xf numFmtId="2" fontId="17" fillId="0" borderId="5" xfId="0" applyNumberFormat="1" applyFont="1" applyBorder="1" applyAlignment="1">
      <alignment horizontal="center" vertical="center" wrapText="1"/>
    </xf>
    <xf numFmtId="0" fontId="0" fillId="0" borderId="5" xfId="0" applyBorder="1" applyAlignment="1">
      <alignment horizontal="center" vertical="center" wrapText="1"/>
    </xf>
    <xf numFmtId="42" fontId="12" fillId="0" borderId="5" xfId="0" applyNumberFormat="1" applyFont="1" applyBorder="1" applyAlignment="1">
      <alignment horizontal="center" vertical="center" wrapText="1"/>
    </xf>
    <xf numFmtId="9" fontId="4" fillId="0" borderId="22" xfId="0" applyNumberFormat="1" applyFont="1" applyBorder="1" applyAlignment="1">
      <alignment horizontal="center" vertical="center" wrapText="1"/>
    </xf>
    <xf numFmtId="0" fontId="4" fillId="0" borderId="22" xfId="0" applyFont="1" applyBorder="1" applyAlignment="1">
      <alignment horizontal="center" vertical="center" wrapText="1"/>
    </xf>
    <xf numFmtId="0" fontId="17" fillId="0" borderId="22" xfId="0" applyFont="1" applyBorder="1" applyAlignment="1">
      <alignment horizontal="justify" vertical="center" wrapText="1"/>
    </xf>
    <xf numFmtId="0" fontId="17" fillId="0" borderId="5" xfId="0" applyFont="1" applyBorder="1" applyAlignment="1">
      <alignment horizontal="center" vertical="center" wrapText="1"/>
    </xf>
    <xf numFmtId="0" fontId="4" fillId="3" borderId="7" xfId="0" applyFont="1" applyFill="1" applyBorder="1" applyAlignment="1">
      <alignment horizontal="center" vertical="center" wrapText="1"/>
    </xf>
    <xf numFmtId="0" fontId="4" fillId="0" borderId="22" xfId="0" applyFont="1" applyBorder="1" applyAlignment="1">
      <alignment horizontal="left" vertical="center" wrapText="1"/>
    </xf>
    <xf numFmtId="0" fontId="4" fillId="3" borderId="22" xfId="0" applyFont="1" applyFill="1" applyBorder="1" applyAlignment="1">
      <alignment horizontal="left" vertical="center" wrapText="1"/>
    </xf>
    <xf numFmtId="0" fontId="13" fillId="3" borderId="22" xfId="0" applyFont="1" applyFill="1" applyBorder="1" applyAlignment="1">
      <alignment horizontal="left" vertical="center" wrapText="1"/>
    </xf>
    <xf numFmtId="0" fontId="17" fillId="0" borderId="22" xfId="0" applyFont="1" applyBorder="1" applyAlignment="1">
      <alignment horizontal="center" vertical="center" wrapText="1"/>
    </xf>
    <xf numFmtId="1" fontId="4" fillId="0" borderId="21" xfId="0" applyNumberFormat="1" applyFont="1" applyBorder="1" applyAlignment="1">
      <alignment horizontal="center" vertical="center" wrapText="1"/>
    </xf>
    <xf numFmtId="170" fontId="4" fillId="3" borderId="5" xfId="1" applyNumberFormat="1" applyFont="1" applyFill="1" applyBorder="1" applyAlignment="1">
      <alignment horizontal="center" vertical="center" wrapText="1"/>
    </xf>
    <xf numFmtId="6" fontId="4" fillId="3" borderId="5" xfId="1" applyNumberFormat="1" applyFont="1" applyFill="1" applyBorder="1" applyAlignment="1">
      <alignment horizontal="center" vertical="center" wrapText="1"/>
    </xf>
    <xf numFmtId="164" fontId="17" fillId="0" borderId="5" xfId="3" applyFont="1" applyFill="1" applyBorder="1" applyAlignment="1">
      <alignment horizontal="center" vertical="center" wrapText="1"/>
    </xf>
    <xf numFmtId="164" fontId="0" fillId="0" borderId="5" xfId="3" applyFont="1" applyBorder="1" applyAlignment="1">
      <alignment horizontal="center" vertical="center" wrapText="1"/>
    </xf>
    <xf numFmtId="9" fontId="4" fillId="0" borderId="21" xfId="0" applyNumberFormat="1" applyFont="1" applyBorder="1" applyAlignment="1">
      <alignment horizontal="center" vertical="center" wrapText="1"/>
    </xf>
    <xf numFmtId="1" fontId="4" fillId="3" borderId="21" xfId="3" applyNumberFormat="1" applyFont="1" applyFill="1" applyBorder="1" applyAlignment="1">
      <alignment horizontal="center" vertical="center" wrapText="1"/>
    </xf>
    <xf numFmtId="1" fontId="4" fillId="0" borderId="21" xfId="3" applyNumberFormat="1" applyFont="1" applyFill="1" applyBorder="1" applyAlignment="1">
      <alignment horizontal="center" vertical="center" wrapText="1"/>
    </xf>
    <xf numFmtId="0" fontId="4" fillId="0" borderId="5" xfId="2" applyFont="1" applyBorder="1" applyAlignment="1">
      <alignment horizontal="center" vertical="center" wrapText="1"/>
    </xf>
    <xf numFmtId="0" fontId="3" fillId="0" borderId="21" xfId="0" applyFont="1" applyBorder="1" applyAlignment="1">
      <alignment horizontal="center" vertical="center" wrapText="1"/>
    </xf>
    <xf numFmtId="9" fontId="3" fillId="0" borderId="21" xfId="0" applyNumberFormat="1" applyFont="1" applyBorder="1" applyAlignment="1">
      <alignment horizontal="center" vertical="center" wrapText="1"/>
    </xf>
    <xf numFmtId="169" fontId="4" fillId="0" borderId="5" xfId="0" applyNumberFormat="1" applyFont="1" applyBorder="1" applyAlignment="1">
      <alignment horizontal="center" vertical="center" wrapText="1"/>
    </xf>
    <xf numFmtId="165" fontId="11" fillId="0" borderId="5" xfId="0" applyNumberFormat="1" applyFont="1" applyBorder="1" applyAlignment="1">
      <alignment horizontal="center" vertical="center" wrapText="1"/>
    </xf>
    <xf numFmtId="9" fontId="17" fillId="0" borderId="22" xfId="0" applyNumberFormat="1" applyFont="1" applyBorder="1" applyAlignment="1">
      <alignment horizontal="justify" vertical="center" wrapText="1"/>
    </xf>
    <xf numFmtId="0" fontId="16" fillId="16" borderId="19" xfId="0" applyFont="1" applyFill="1" applyBorder="1" applyAlignment="1">
      <alignment horizontal="center"/>
    </xf>
    <xf numFmtId="0" fontId="16" fillId="16" borderId="17" xfId="0" applyFont="1" applyFill="1" applyBorder="1" applyAlignment="1">
      <alignment horizontal="center"/>
    </xf>
    <xf numFmtId="0" fontId="16" fillId="16" borderId="11" xfId="0" applyFont="1" applyFill="1" applyBorder="1" applyAlignment="1">
      <alignment horizontal="center"/>
    </xf>
    <xf numFmtId="9" fontId="3" fillId="0" borderId="22" xfId="0" applyNumberFormat="1" applyFont="1" applyBorder="1" applyAlignment="1">
      <alignment horizontal="center" vertical="center" wrapText="1"/>
    </xf>
    <xf numFmtId="165" fontId="3" fillId="0" borderId="5" xfId="0" applyNumberFormat="1" applyFont="1" applyBorder="1" applyAlignment="1">
      <alignment horizontal="center" vertical="center" wrapText="1"/>
    </xf>
    <xf numFmtId="165" fontId="3" fillId="0" borderId="5" xfId="0" applyNumberFormat="1" applyFont="1" applyBorder="1" applyAlignment="1">
      <alignment horizontal="center" vertical="center"/>
    </xf>
    <xf numFmtId="9" fontId="3" fillId="0" borderId="5" xfId="0" applyNumberFormat="1" applyFont="1" applyBorder="1" applyAlignment="1">
      <alignment horizontal="center" vertical="center" wrapText="1"/>
    </xf>
    <xf numFmtId="0" fontId="3" fillId="0" borderId="22" xfId="0" applyFont="1" applyBorder="1" applyAlignment="1">
      <alignment horizontal="center" vertical="center" wrapText="1"/>
    </xf>
    <xf numFmtId="9" fontId="3" fillId="0" borderId="21" xfId="0" applyNumberFormat="1" applyFont="1" applyBorder="1" applyAlignment="1">
      <alignment horizontal="center" vertical="center"/>
    </xf>
    <xf numFmtId="0" fontId="3" fillId="0" borderId="21" xfId="0" applyFont="1" applyBorder="1" applyAlignment="1">
      <alignment horizontal="center" vertical="center"/>
    </xf>
    <xf numFmtId="10" fontId="3" fillId="0" borderId="21" xfId="0" applyNumberFormat="1" applyFont="1" applyBorder="1" applyAlignment="1">
      <alignment horizontal="center" vertical="center"/>
    </xf>
    <xf numFmtId="10" fontId="3" fillId="0" borderId="5" xfId="0" applyNumberFormat="1" applyFont="1" applyBorder="1" applyAlignment="1">
      <alignment horizontal="center" vertical="center"/>
    </xf>
    <xf numFmtId="1" fontId="3" fillId="0" borderId="21" xfId="0" applyNumberFormat="1" applyFont="1" applyBorder="1" applyAlignment="1">
      <alignment horizontal="center" vertical="center"/>
    </xf>
    <xf numFmtId="1" fontId="3" fillId="0" borderId="5" xfId="0" applyNumberFormat="1" applyFont="1" applyBorder="1" applyAlignment="1">
      <alignment horizontal="center" vertical="center"/>
    </xf>
    <xf numFmtId="10" fontId="3" fillId="0" borderId="5" xfId="0" applyNumberFormat="1"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9" fontId="0" fillId="0" borderId="21" xfId="0" applyNumberFormat="1" applyBorder="1" applyAlignment="1">
      <alignment horizontal="center" vertical="center"/>
    </xf>
    <xf numFmtId="0" fontId="0" fillId="0" borderId="21" xfId="0" applyBorder="1" applyAlignment="1">
      <alignment horizontal="center" vertical="center"/>
    </xf>
    <xf numFmtId="9" fontId="0" fillId="0" borderId="5" xfId="0" applyNumberFormat="1" applyBorder="1" applyAlignment="1">
      <alignment horizontal="center" vertical="center"/>
    </xf>
    <xf numFmtId="0" fontId="0" fillId="0" borderId="5" xfId="0" applyBorder="1" applyAlignment="1">
      <alignment horizontal="center" vertical="center"/>
    </xf>
    <xf numFmtId="3" fontId="0" fillId="0" borderId="5" xfId="0" applyNumberFormat="1" applyBorder="1" applyAlignment="1">
      <alignment horizontal="center" vertical="center" wrapText="1"/>
    </xf>
    <xf numFmtId="175" fontId="0" fillId="0" borderId="5" xfId="4" applyNumberFormat="1" applyFont="1" applyFill="1" applyBorder="1" applyAlignment="1">
      <alignment horizontal="center" vertical="center" wrapText="1"/>
    </xf>
    <xf numFmtId="175" fontId="0" fillId="0" borderId="5" xfId="4" applyNumberFormat="1" applyFont="1" applyFill="1" applyBorder="1" applyAlignment="1">
      <alignment horizontal="center" vertical="center"/>
    </xf>
    <xf numFmtId="9" fontId="3" fillId="0" borderId="22" xfId="0" applyNumberFormat="1" applyFont="1" applyBorder="1" applyAlignment="1">
      <alignment horizontal="left" vertical="center" wrapText="1"/>
    </xf>
    <xf numFmtId="3" fontId="22" fillId="0" borderId="5" xfId="0" applyNumberFormat="1" applyFont="1" applyBorder="1" applyAlignment="1">
      <alignment horizontal="center" vertical="center" wrapText="1"/>
    </xf>
    <xf numFmtId="10" fontId="0" fillId="0" borderId="22" xfId="0" applyNumberFormat="1" applyBorder="1" applyAlignment="1">
      <alignment horizontal="center" vertical="center" wrapText="1"/>
    </xf>
    <xf numFmtId="0" fontId="29" fillId="0" borderId="22" xfId="0" applyFont="1" applyBorder="1" applyAlignment="1">
      <alignment horizontal="center" vertical="top" wrapText="1"/>
    </xf>
    <xf numFmtId="0" fontId="3" fillId="0" borderId="22" xfId="0" applyFont="1" applyBorder="1" applyAlignment="1">
      <alignment horizontal="left" vertical="center" wrapText="1"/>
    </xf>
    <xf numFmtId="0" fontId="3" fillId="0" borderId="21" xfId="3" applyNumberFormat="1" applyFont="1" applyFill="1" applyBorder="1" applyAlignment="1">
      <alignment horizontal="center" vertical="center" wrapText="1"/>
    </xf>
    <xf numFmtId="165" fontId="3" fillId="3" borderId="5" xfId="0" applyNumberFormat="1"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3" fillId="3" borderId="5" xfId="0" applyFont="1" applyFill="1" applyBorder="1" applyAlignment="1">
      <alignment horizontal="center" vertical="center" wrapText="1"/>
    </xf>
    <xf numFmtId="9" fontId="3" fillId="3" borderId="21" xfId="0" applyNumberFormat="1" applyFont="1" applyFill="1" applyBorder="1" applyAlignment="1">
      <alignment horizontal="center" vertical="center" wrapText="1"/>
    </xf>
    <xf numFmtId="9" fontId="3" fillId="3" borderId="5" xfId="0" applyNumberFormat="1"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3" xfId="0" applyFont="1" applyFill="1" applyBorder="1" applyAlignment="1">
      <alignment horizontal="center" vertical="center" wrapText="1"/>
    </xf>
    <xf numFmtId="9" fontId="2" fillId="2" borderId="8" xfId="1" applyFont="1" applyFill="1" applyBorder="1" applyAlignment="1">
      <alignment horizontal="center" vertical="center" wrapText="1"/>
    </xf>
    <xf numFmtId="9" fontId="2" fillId="2" borderId="13" xfId="1" applyFont="1" applyFill="1" applyBorder="1" applyAlignment="1">
      <alignment horizontal="center" vertical="center" wrapText="1"/>
    </xf>
    <xf numFmtId="165" fontId="2" fillId="2" borderId="8" xfId="0" applyNumberFormat="1" applyFont="1" applyFill="1" applyBorder="1" applyAlignment="1">
      <alignment horizontal="center" vertical="center" wrapText="1"/>
    </xf>
    <xf numFmtId="165" fontId="2" fillId="2" borderId="13" xfId="0" applyNumberFormat="1" applyFont="1" applyFill="1" applyBorder="1" applyAlignment="1">
      <alignment horizontal="center" vertical="center" wrapText="1"/>
    </xf>
    <xf numFmtId="9" fontId="3" fillId="0" borderId="5" xfId="1" applyFont="1" applyFill="1" applyBorder="1" applyAlignment="1">
      <alignment horizontal="center" vertical="center" wrapText="1"/>
    </xf>
    <xf numFmtId="10" fontId="3" fillId="0" borderId="21" xfId="1" applyNumberFormat="1" applyFont="1" applyFill="1" applyBorder="1" applyAlignment="1">
      <alignment horizontal="center" vertical="center" wrapText="1"/>
    </xf>
    <xf numFmtId="10" fontId="4" fillId="0" borderId="21" xfId="1" applyNumberFormat="1" applyFont="1" applyFill="1" applyBorder="1" applyAlignment="1">
      <alignment horizontal="center" vertical="center" wrapText="1"/>
    </xf>
    <xf numFmtId="9" fontId="4" fillId="0" borderId="22" xfId="0" applyNumberFormat="1" applyFont="1" applyBorder="1" applyAlignment="1">
      <alignment horizontal="left" vertical="center" wrapText="1"/>
    </xf>
    <xf numFmtId="10" fontId="3" fillId="0" borderId="21" xfId="0" applyNumberFormat="1" applyFont="1" applyBorder="1" applyAlignment="1">
      <alignment horizontal="center" vertical="center" wrapText="1"/>
    </xf>
    <xf numFmtId="169" fontId="3" fillId="0" borderId="5" xfId="0" applyNumberFormat="1" applyFont="1" applyBorder="1" applyAlignment="1">
      <alignment horizontal="center" vertical="center" wrapText="1"/>
    </xf>
    <xf numFmtId="10" fontId="2" fillId="0" borderId="22" xfId="0" applyNumberFormat="1" applyFont="1" applyBorder="1" applyAlignment="1">
      <alignment horizontal="left" vertical="center" wrapText="1"/>
    </xf>
    <xf numFmtId="10" fontId="3" fillId="0" borderId="22" xfId="0" applyNumberFormat="1" applyFont="1" applyBorder="1" applyAlignment="1">
      <alignment horizontal="left" vertical="center" wrapText="1"/>
    </xf>
    <xf numFmtId="10" fontId="4" fillId="0" borderId="21" xfId="0" applyNumberFormat="1" applyFont="1" applyBorder="1" applyAlignment="1">
      <alignment horizontal="center" vertical="center" wrapText="1"/>
    </xf>
    <xf numFmtId="10" fontId="11" fillId="0" borderId="22" xfId="0" applyNumberFormat="1" applyFont="1" applyBorder="1" applyAlignment="1">
      <alignment horizontal="left" vertical="center" wrapText="1"/>
    </xf>
    <xf numFmtId="171" fontId="4" fillId="0" borderId="21" xfId="3" applyNumberFormat="1" applyFont="1" applyFill="1" applyBorder="1" applyAlignment="1">
      <alignment vertical="center" wrapText="1"/>
    </xf>
    <xf numFmtId="0" fontId="2" fillId="0" borderId="22" xfId="0" applyFont="1" applyBorder="1" applyAlignment="1">
      <alignment horizontal="left" vertical="center" wrapText="1"/>
    </xf>
    <xf numFmtId="10" fontId="3" fillId="0" borderId="5" xfId="1" applyNumberFormat="1" applyFont="1" applyFill="1" applyBorder="1" applyAlignment="1">
      <alignment horizontal="center" vertical="center" wrapText="1"/>
    </xf>
    <xf numFmtId="9" fontId="3" fillId="0" borderId="21" xfId="1" applyFont="1" applyFill="1" applyBorder="1" applyAlignment="1">
      <alignment horizontal="center" vertical="center" wrapText="1"/>
    </xf>
    <xf numFmtId="165" fontId="2" fillId="0" borderId="5" xfId="0" applyNumberFormat="1" applyFont="1" applyBorder="1" applyAlignment="1">
      <alignment horizontal="center" vertical="center" wrapText="1"/>
    </xf>
    <xf numFmtId="9" fontId="4" fillId="0" borderId="21" xfId="1" applyFont="1" applyFill="1" applyBorder="1" applyAlignment="1">
      <alignment horizontal="center" vertical="center" wrapText="1"/>
    </xf>
    <xf numFmtId="0" fontId="4" fillId="0" borderId="22" xfId="0" applyFont="1" applyBorder="1" applyAlignment="1">
      <alignment vertical="center" wrapText="1"/>
    </xf>
    <xf numFmtId="0" fontId="3" fillId="0" borderId="22" xfId="0" applyFont="1" applyBorder="1" applyAlignment="1">
      <alignment vertical="center" wrapText="1"/>
    </xf>
    <xf numFmtId="0" fontId="11" fillId="0" borderId="22" xfId="0" applyFont="1" applyBorder="1" applyAlignment="1">
      <alignment horizontal="left" vertical="center" wrapText="1"/>
    </xf>
    <xf numFmtId="9" fontId="3" fillId="0" borderId="21" xfId="3" applyNumberFormat="1" applyFont="1" applyFill="1" applyBorder="1" applyAlignment="1">
      <alignment horizontal="center" vertical="center" wrapText="1"/>
    </xf>
    <xf numFmtId="9" fontId="4" fillId="0" borderId="21" xfId="3" applyNumberFormat="1" applyFont="1" applyFill="1" applyBorder="1" applyAlignment="1">
      <alignment horizontal="center" vertical="center" wrapText="1"/>
    </xf>
    <xf numFmtId="0" fontId="4" fillId="0" borderId="21" xfId="3" applyNumberFormat="1" applyFont="1" applyFill="1" applyBorder="1" applyAlignment="1">
      <alignment horizontal="center" vertical="center" wrapText="1"/>
    </xf>
    <xf numFmtId="165" fontId="2" fillId="3" borderId="5" xfId="0" applyNumberFormat="1" applyFont="1" applyFill="1" applyBorder="1" applyAlignment="1">
      <alignment horizontal="center" vertical="center" wrapText="1"/>
    </xf>
    <xf numFmtId="9" fontId="3" fillId="3" borderId="5" xfId="1" applyFont="1" applyFill="1" applyBorder="1" applyAlignment="1">
      <alignment horizontal="center" vertical="center" wrapText="1"/>
    </xf>
    <xf numFmtId="1" fontId="3" fillId="3" borderId="21" xfId="3" applyNumberFormat="1" applyFont="1" applyFill="1" applyBorder="1" applyAlignment="1">
      <alignment horizontal="center" vertical="center" wrapText="1"/>
    </xf>
    <xf numFmtId="9" fontId="3" fillId="7" borderId="5" xfId="1" applyFont="1" applyFill="1" applyBorder="1" applyAlignment="1">
      <alignment horizontal="center" vertical="center" wrapText="1"/>
    </xf>
    <xf numFmtId="0" fontId="2" fillId="3" borderId="22" xfId="0" applyFont="1" applyFill="1" applyBorder="1" applyAlignment="1">
      <alignment horizontal="left" vertical="center" wrapText="1"/>
    </xf>
    <xf numFmtId="0" fontId="3" fillId="3" borderId="7" xfId="0" applyFont="1" applyFill="1" applyBorder="1" applyAlignment="1">
      <alignment horizontal="center" vertical="center" wrapText="1"/>
    </xf>
    <xf numFmtId="0" fontId="16" fillId="16" borderId="19" xfId="0" applyFont="1" applyFill="1" applyBorder="1" applyAlignment="1">
      <alignment horizontal="center" vertical="center"/>
    </xf>
    <xf numFmtId="0" fontId="16" fillId="16" borderId="17" xfId="0" applyFont="1" applyFill="1" applyBorder="1" applyAlignment="1">
      <alignment horizontal="center" vertical="center"/>
    </xf>
    <xf numFmtId="0" fontId="16" fillId="16" borderId="11" xfId="0" applyFont="1" applyFill="1" applyBorder="1" applyAlignment="1">
      <alignment horizontal="center" vertical="center"/>
    </xf>
    <xf numFmtId="42" fontId="12" fillId="0" borderId="28" xfId="0" applyNumberFormat="1" applyFont="1" applyBorder="1" applyAlignment="1">
      <alignment horizontal="center" vertical="center" wrapText="1"/>
    </xf>
    <xf numFmtId="42" fontId="12" fillId="0" borderId="29" xfId="0" applyNumberFormat="1" applyFont="1" applyBorder="1" applyAlignment="1">
      <alignment horizontal="center" vertical="center" wrapText="1"/>
    </xf>
    <xf numFmtId="0" fontId="3" fillId="0" borderId="28" xfId="0" applyFont="1" applyBorder="1" applyAlignment="1">
      <alignment horizontal="left" vertical="center" wrapText="1"/>
    </xf>
    <xf numFmtId="0" fontId="3" fillId="0" borderId="29" xfId="0" applyFont="1" applyBorder="1" applyAlignment="1">
      <alignment horizontal="left" vertical="center" wrapText="1"/>
    </xf>
    <xf numFmtId="9" fontId="3" fillId="0" borderId="28" xfId="0" applyNumberFormat="1" applyFont="1" applyBorder="1" applyAlignment="1">
      <alignment horizontal="left" vertical="center" wrapText="1"/>
    </xf>
    <xf numFmtId="9" fontId="3" fillId="0" borderId="29" xfId="0" applyNumberFormat="1" applyFont="1" applyBorder="1" applyAlignment="1">
      <alignment horizontal="left" vertical="center" wrapText="1"/>
    </xf>
    <xf numFmtId="9" fontId="4" fillId="0" borderId="28" xfId="1" applyFont="1" applyFill="1" applyBorder="1" applyAlignment="1">
      <alignment horizontal="center" vertical="center" wrapText="1"/>
    </xf>
    <xf numFmtId="9" fontId="4" fillId="0" borderId="29" xfId="1" applyFont="1" applyFill="1" applyBorder="1" applyAlignment="1">
      <alignment horizontal="center" vertical="center" wrapText="1"/>
    </xf>
    <xf numFmtId="9" fontId="4" fillId="0" borderId="4" xfId="1" applyFont="1" applyFill="1" applyBorder="1" applyAlignment="1">
      <alignment horizontal="center" vertical="center" wrapText="1"/>
    </xf>
    <xf numFmtId="0" fontId="3" fillId="0" borderId="4" xfId="0" applyFont="1" applyBorder="1" applyAlignment="1">
      <alignment horizontal="left" vertical="center" wrapText="1"/>
    </xf>
    <xf numFmtId="0" fontId="3" fillId="0" borderId="6" xfId="0" applyFont="1" applyBorder="1" applyAlignment="1">
      <alignment horizontal="left" vertical="center" wrapText="1"/>
    </xf>
    <xf numFmtId="0" fontId="2" fillId="0" borderId="28" xfId="0" applyFont="1" applyBorder="1" applyAlignment="1">
      <alignment horizontal="left" vertical="center" wrapText="1"/>
    </xf>
    <xf numFmtId="2" fontId="4" fillId="0" borderId="5" xfId="1" applyNumberFormat="1" applyFont="1" applyFill="1" applyBorder="1" applyAlignment="1">
      <alignment horizontal="center" vertical="center" wrapText="1"/>
    </xf>
    <xf numFmtId="44" fontId="4" fillId="0" borderId="28" xfId="4" applyFont="1" applyFill="1" applyBorder="1" applyAlignment="1">
      <alignment horizontal="center" vertical="center" wrapText="1"/>
    </xf>
    <xf numFmtId="44" fontId="4" fillId="0" borderId="29" xfId="4" applyFont="1" applyFill="1" applyBorder="1" applyAlignment="1">
      <alignment horizontal="center" vertical="center" wrapText="1"/>
    </xf>
    <xf numFmtId="169" fontId="4" fillId="0" borderId="28" xfId="0" applyNumberFormat="1" applyFont="1" applyBorder="1" applyAlignment="1">
      <alignment horizontal="center" vertical="center" wrapText="1"/>
    </xf>
    <xf numFmtId="169" fontId="4" fillId="0" borderId="4" xfId="0" applyNumberFormat="1" applyFont="1" applyBorder="1" applyAlignment="1">
      <alignment horizontal="center" vertical="center" wrapText="1"/>
    </xf>
    <xf numFmtId="169" fontId="4" fillId="0" borderId="29" xfId="0" applyNumberFormat="1" applyFont="1" applyBorder="1" applyAlignment="1">
      <alignment horizontal="center" vertical="center" wrapText="1"/>
    </xf>
    <xf numFmtId="10" fontId="3" fillId="0" borderId="28" xfId="0" applyNumberFormat="1" applyFont="1" applyBorder="1" applyAlignment="1">
      <alignment horizontal="left" vertical="center" wrapText="1"/>
    </xf>
    <xf numFmtId="10" fontId="3" fillId="0" borderId="4" xfId="0" applyNumberFormat="1" applyFont="1" applyBorder="1" applyAlignment="1">
      <alignment horizontal="left" vertical="center" wrapText="1"/>
    </xf>
    <xf numFmtId="10" fontId="3" fillId="0" borderId="29" xfId="0" applyNumberFormat="1" applyFont="1" applyBorder="1" applyAlignment="1">
      <alignment horizontal="left" vertical="center" wrapText="1"/>
    </xf>
    <xf numFmtId="170" fontId="4" fillId="0" borderId="5" xfId="4" applyNumberFormat="1" applyFont="1" applyFill="1" applyBorder="1" applyAlignment="1">
      <alignment horizontal="center" vertical="center" wrapText="1"/>
    </xf>
    <xf numFmtId="44" fontId="4" fillId="0" borderId="5" xfId="4" applyFont="1" applyFill="1" applyBorder="1" applyAlignment="1">
      <alignment horizontal="center" vertical="center" wrapText="1"/>
    </xf>
    <xf numFmtId="9" fontId="3" fillId="0" borderId="4" xfId="0" applyNumberFormat="1" applyFont="1" applyBorder="1" applyAlignment="1">
      <alignment horizontal="left" vertical="center" wrapText="1"/>
    </xf>
    <xf numFmtId="170" fontId="4" fillId="3" borderId="4" xfId="1" applyNumberFormat="1" applyFont="1" applyFill="1" applyBorder="1" applyAlignment="1">
      <alignment horizontal="center" vertical="center" wrapText="1"/>
    </xf>
    <xf numFmtId="0" fontId="3" fillId="3" borderId="5"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29" xfId="0" applyFont="1" applyFill="1" applyBorder="1" applyAlignment="1">
      <alignment horizontal="left" vertical="center" wrapText="1"/>
    </xf>
    <xf numFmtId="0" fontId="3" fillId="0" borderId="26" xfId="0" applyFont="1" applyBorder="1" applyAlignment="1">
      <alignment horizontal="center" vertical="center"/>
    </xf>
    <xf numFmtId="0" fontId="3" fillId="0" borderId="27" xfId="0" applyFont="1" applyBorder="1" applyAlignment="1">
      <alignment horizontal="center" vertical="center"/>
    </xf>
    <xf numFmtId="3" fontId="24" fillId="0" borderId="5" xfId="9" applyNumberFormat="1" applyFont="1" applyBorder="1" applyAlignment="1">
      <alignment horizontal="center" vertical="center"/>
    </xf>
    <xf numFmtId="0" fontId="24" fillId="0" borderId="5" xfId="9" applyNumberFormat="1" applyFont="1" applyBorder="1" applyAlignment="1">
      <alignment horizontal="center" vertical="center"/>
    </xf>
    <xf numFmtId="0" fontId="14" fillId="3" borderId="22" xfId="0" applyFont="1" applyFill="1" applyBorder="1" applyAlignment="1">
      <alignment horizontal="left" vertical="center" wrapText="1"/>
    </xf>
    <xf numFmtId="9" fontId="3" fillId="5" borderId="5" xfId="1" applyFont="1" applyFill="1" applyBorder="1" applyAlignment="1">
      <alignment horizontal="center" vertical="center" wrapText="1"/>
    </xf>
    <xf numFmtId="0" fontId="3" fillId="0" borderId="28" xfId="0" applyFont="1" applyBorder="1" applyAlignment="1">
      <alignment horizontal="center" vertical="center"/>
    </xf>
    <xf numFmtId="3" fontId="3" fillId="0" borderId="5" xfId="0" applyNumberFormat="1" applyFont="1" applyBorder="1" applyAlignment="1">
      <alignment horizontal="center" vertical="center"/>
    </xf>
    <xf numFmtId="0" fontId="17" fillId="0" borderId="21" xfId="0" applyFont="1" applyBorder="1" applyAlignment="1">
      <alignment horizontal="center" vertical="center" wrapText="1"/>
    </xf>
    <xf numFmtId="9" fontId="17" fillId="0" borderId="22" xfId="0" applyNumberFormat="1" applyFont="1" applyBorder="1" applyAlignment="1">
      <alignment horizontal="center" vertical="center" wrapText="1"/>
    </xf>
    <xf numFmtId="9" fontId="3" fillId="0" borderId="21" xfId="1" applyFont="1" applyFill="1" applyBorder="1" applyAlignment="1">
      <alignment horizontal="center" vertical="center"/>
    </xf>
    <xf numFmtId="9" fontId="3" fillId="0" borderId="5" xfId="1" applyFont="1" applyFill="1" applyBorder="1" applyAlignment="1">
      <alignment horizontal="center" vertical="center"/>
    </xf>
    <xf numFmtId="165" fontId="12" fillId="0" borderId="5" xfId="0" applyNumberFormat="1" applyFont="1" applyBorder="1" applyAlignment="1">
      <alignment horizontal="center" vertical="center" wrapText="1"/>
    </xf>
    <xf numFmtId="166" fontId="3" fillId="0" borderId="22" xfId="0" applyNumberFormat="1" applyFont="1" applyBorder="1" applyAlignment="1">
      <alignment horizontal="center" vertical="center" wrapText="1"/>
    </xf>
    <xf numFmtId="10" fontId="3" fillId="0" borderId="22" xfId="0" applyNumberFormat="1" applyFont="1" applyBorder="1" applyAlignment="1">
      <alignment horizontal="center" vertical="center" wrapText="1"/>
    </xf>
    <xf numFmtId="1" fontId="3" fillId="0" borderId="22" xfId="0" applyNumberFormat="1" applyFont="1" applyBorder="1" applyAlignment="1">
      <alignment horizontal="center" vertical="center" wrapText="1"/>
    </xf>
    <xf numFmtId="3" fontId="3" fillId="0" borderId="5" xfId="0" applyNumberFormat="1" applyFont="1" applyBorder="1" applyAlignment="1">
      <alignment horizontal="center" vertical="center" wrapText="1"/>
    </xf>
    <xf numFmtId="10" fontId="0" fillId="0" borderId="21" xfId="0" applyNumberFormat="1" applyBorder="1" applyAlignment="1">
      <alignment horizontal="center" vertical="center"/>
    </xf>
    <xf numFmtId="10" fontId="0" fillId="0" borderId="5" xfId="1" applyNumberFormat="1" applyFont="1" applyFill="1" applyBorder="1" applyAlignment="1">
      <alignment horizontal="center" vertical="center"/>
    </xf>
    <xf numFmtId="10" fontId="0" fillId="0" borderId="5" xfId="0" applyNumberFormat="1" applyBorder="1" applyAlignment="1">
      <alignment horizontal="center" vertical="center"/>
    </xf>
    <xf numFmtId="0" fontId="23" fillId="0" borderId="21" xfId="0" applyFont="1" applyBorder="1" applyAlignment="1">
      <alignment horizontal="center" vertical="center" wrapText="1"/>
    </xf>
    <xf numFmtId="175" fontId="0" fillId="0" borderId="5" xfId="4" applyNumberFormat="1" applyFont="1" applyBorder="1" applyAlignment="1">
      <alignment horizontal="center" vertical="center"/>
    </xf>
    <xf numFmtId="164" fontId="25" fillId="3" borderId="5" xfId="10" applyFont="1" applyFill="1" applyBorder="1" applyAlignment="1">
      <alignment horizontal="center" vertical="center" wrapText="1"/>
    </xf>
    <xf numFmtId="175" fontId="0" fillId="0" borderId="5" xfId="4" applyNumberFormat="1" applyFont="1" applyBorder="1" applyAlignment="1">
      <alignment horizontal="center" vertical="center" wrapText="1"/>
    </xf>
    <xf numFmtId="3" fontId="0" fillId="0" borderId="5" xfId="0" applyNumberFormat="1"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22" xfId="0" applyBorder="1" applyAlignment="1">
      <alignment horizontal="center" vertical="center" wrapText="1"/>
    </xf>
    <xf numFmtId="0" fontId="0" fillId="0" borderId="22" xfId="0" applyBorder="1" applyAlignment="1">
      <alignment horizontal="left" vertical="center" wrapText="1"/>
    </xf>
    <xf numFmtId="9" fontId="0" fillId="0" borderId="22" xfId="0" applyNumberFormat="1" applyBorder="1" applyAlignment="1">
      <alignment horizontal="left" vertical="center" wrapText="1"/>
    </xf>
    <xf numFmtId="165" fontId="3" fillId="3" borderId="7" xfId="0" applyNumberFormat="1" applyFont="1" applyFill="1" applyBorder="1" applyAlignment="1">
      <alignment horizontal="center" vertical="center" wrapText="1"/>
    </xf>
    <xf numFmtId="175" fontId="0" fillId="3" borderId="5" xfId="4" applyNumberFormat="1" applyFont="1" applyFill="1" applyBorder="1" applyAlignment="1">
      <alignment horizontal="center" vertical="center"/>
    </xf>
    <xf numFmtId="0" fontId="0" fillId="0" borderId="22" xfId="0" applyBorder="1" applyAlignment="1">
      <alignment horizontal="left" vertical="top" wrapText="1"/>
    </xf>
    <xf numFmtId="0" fontId="26" fillId="0" borderId="22" xfId="0" applyFont="1" applyBorder="1" applyAlignment="1">
      <alignment horizontal="left" vertical="top" wrapText="1"/>
    </xf>
    <xf numFmtId="1" fontId="0" fillId="0" borderId="22" xfId="0" applyNumberFormat="1" applyBorder="1" applyAlignment="1">
      <alignment horizontal="center" vertical="center" wrapText="1"/>
    </xf>
    <xf numFmtId="1" fontId="3" fillId="3" borderId="21" xfId="0" applyNumberFormat="1" applyFont="1" applyFill="1" applyBorder="1" applyAlignment="1">
      <alignment horizontal="center" vertical="center" wrapText="1"/>
    </xf>
    <xf numFmtId="0" fontId="3" fillId="3" borderId="22" xfId="0" applyFont="1" applyFill="1" applyBorder="1" applyAlignment="1">
      <alignment horizontal="left" vertical="center" wrapText="1"/>
    </xf>
    <xf numFmtId="1" fontId="3" fillId="0" borderId="21" xfId="0" applyNumberFormat="1" applyFont="1" applyBorder="1" applyAlignment="1">
      <alignment horizontal="center" vertical="center" wrapText="1"/>
    </xf>
    <xf numFmtId="9" fontId="3" fillId="4" borderId="5" xfId="1" applyFont="1" applyFill="1" applyBorder="1" applyAlignment="1">
      <alignment horizontal="center" vertical="center" wrapText="1"/>
    </xf>
    <xf numFmtId="0" fontId="0" fillId="0" borderId="22" xfId="0" applyBorder="1" applyAlignment="1">
      <alignment horizontal="center" vertical="top" wrapText="1"/>
    </xf>
    <xf numFmtId="9" fontId="4" fillId="0" borderId="28" xfId="1" applyFont="1" applyBorder="1" applyAlignment="1">
      <alignment horizontal="center" vertical="center" wrapText="1"/>
    </xf>
    <xf numFmtId="9" fontId="4" fillId="0" borderId="29" xfId="1" applyFont="1" applyBorder="1" applyAlignment="1">
      <alignment horizontal="center" vertical="center" wrapText="1"/>
    </xf>
    <xf numFmtId="9" fontId="15" fillId="0" borderId="28" xfId="1" applyFont="1" applyFill="1" applyBorder="1" applyAlignment="1">
      <alignment horizontal="center" vertical="center" wrapText="1"/>
    </xf>
    <xf numFmtId="9" fontId="15" fillId="0" borderId="4" xfId="1" applyFont="1" applyFill="1" applyBorder="1" applyAlignment="1">
      <alignment horizontal="center" vertical="center" wrapText="1"/>
    </xf>
    <xf numFmtId="9" fontId="15" fillId="0" borderId="29" xfId="1" applyFont="1" applyFill="1" applyBorder="1" applyAlignment="1">
      <alignment horizontal="center" vertical="center" wrapText="1"/>
    </xf>
    <xf numFmtId="0" fontId="3" fillId="0" borderId="28" xfId="0" applyFont="1" applyBorder="1" applyAlignment="1">
      <alignment vertical="center" wrapText="1"/>
    </xf>
    <xf numFmtId="0" fontId="3" fillId="0" borderId="29" xfId="0" applyFont="1" applyBorder="1" applyAlignment="1">
      <alignment vertical="center" wrapText="1"/>
    </xf>
    <xf numFmtId="9" fontId="4" fillId="11" borderId="5" xfId="1" applyFont="1" applyFill="1" applyBorder="1" applyAlignment="1">
      <alignment horizontal="center" vertical="center" wrapText="1"/>
    </xf>
    <xf numFmtId="42" fontId="12" fillId="3" borderId="28" xfId="0" applyNumberFormat="1" applyFont="1" applyFill="1" applyBorder="1" applyAlignment="1">
      <alignment horizontal="center" vertical="center" wrapText="1"/>
    </xf>
    <xf numFmtId="42" fontId="12" fillId="3" borderId="29" xfId="0" applyNumberFormat="1" applyFont="1" applyFill="1" applyBorder="1" applyAlignment="1">
      <alignment horizontal="center" vertical="center" wrapText="1"/>
    </xf>
    <xf numFmtId="165" fontId="12" fillId="3" borderId="28" xfId="0" applyNumberFormat="1" applyFont="1" applyFill="1" applyBorder="1" applyAlignment="1">
      <alignment horizontal="center" vertical="center" wrapText="1"/>
    </xf>
    <xf numFmtId="165" fontId="12" fillId="3" borderId="29" xfId="0" applyNumberFormat="1" applyFont="1" applyFill="1" applyBorder="1" applyAlignment="1">
      <alignment horizontal="center" vertical="center" wrapText="1"/>
    </xf>
    <xf numFmtId="0" fontId="0" fillId="0" borderId="0" xfId="0" applyAlignment="1">
      <alignment horizontal="center"/>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9" fontId="4" fillId="0" borderId="28" xfId="0" applyNumberFormat="1" applyFont="1" applyBorder="1" applyAlignment="1">
      <alignment horizontal="center" vertical="center" wrapText="1"/>
    </xf>
    <xf numFmtId="9" fontId="4" fillId="0" borderId="4" xfId="0" applyNumberFormat="1" applyFont="1" applyBorder="1" applyAlignment="1">
      <alignment horizontal="center" vertical="center" wrapText="1"/>
    </xf>
    <xf numFmtId="9" fontId="4" fillId="0" borderId="29" xfId="0" applyNumberFormat="1" applyFont="1" applyBorder="1" applyAlignment="1">
      <alignment horizontal="center" vertical="center" wrapText="1"/>
    </xf>
    <xf numFmtId="0" fontId="4" fillId="3" borderId="28"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29" xfId="0" applyFont="1" applyFill="1" applyBorder="1" applyAlignment="1">
      <alignment horizontal="center" vertical="center" wrapText="1"/>
    </xf>
    <xf numFmtId="9" fontId="4" fillId="3" borderId="28" xfId="1" applyFont="1" applyFill="1" applyBorder="1" applyAlignment="1">
      <alignment horizontal="center" vertical="center" wrapText="1"/>
    </xf>
    <xf numFmtId="9" fontId="4" fillId="3" borderId="4" xfId="1" applyFont="1" applyFill="1" applyBorder="1" applyAlignment="1">
      <alignment horizontal="center" vertical="center" wrapText="1"/>
    </xf>
    <xf numFmtId="9" fontId="4" fillId="3" borderId="29" xfId="1" applyFont="1" applyFill="1" applyBorder="1" applyAlignment="1">
      <alignment horizontal="center" vertical="center" wrapText="1"/>
    </xf>
    <xf numFmtId="10" fontId="4" fillId="0" borderId="28" xfId="1" applyNumberFormat="1" applyFont="1" applyFill="1" applyBorder="1" applyAlignment="1">
      <alignment horizontal="center" vertical="center" wrapText="1"/>
    </xf>
    <xf numFmtId="10" fontId="4" fillId="0" borderId="29" xfId="1" applyNumberFormat="1" applyFont="1" applyFill="1" applyBorder="1" applyAlignment="1">
      <alignment horizontal="center" vertical="center" wrapText="1"/>
    </xf>
    <xf numFmtId="9" fontId="4" fillId="0" borderId="6" xfId="1" applyFont="1" applyFill="1" applyBorder="1" applyAlignment="1">
      <alignment horizontal="center" vertical="center" wrapText="1"/>
    </xf>
    <xf numFmtId="0" fontId="8" fillId="12" borderId="8" xfId="0" applyFont="1" applyFill="1" applyBorder="1" applyAlignment="1">
      <alignment horizontal="center" vertical="center"/>
    </xf>
    <xf numFmtId="0" fontId="8" fillId="12" borderId="9" xfId="0" applyFont="1" applyFill="1" applyBorder="1" applyAlignment="1">
      <alignment horizontal="center" vertical="center"/>
    </xf>
    <xf numFmtId="0" fontId="8" fillId="12" borderId="8" xfId="0" applyFont="1" applyFill="1" applyBorder="1" applyAlignment="1">
      <alignment horizontal="center" vertical="center" wrapText="1"/>
    </xf>
    <xf numFmtId="0" fontId="8" fillId="12" borderId="9" xfId="0" applyFont="1" applyFill="1" applyBorder="1" applyAlignment="1">
      <alignment horizontal="center" vertical="center" wrapText="1"/>
    </xf>
    <xf numFmtId="0" fontId="8" fillId="12" borderId="19" xfId="0" applyFont="1" applyFill="1" applyBorder="1" applyAlignment="1">
      <alignment horizontal="center" vertical="center" wrapText="1"/>
    </xf>
    <xf numFmtId="0" fontId="8" fillId="12" borderId="17" xfId="0" applyFont="1" applyFill="1" applyBorder="1" applyAlignment="1">
      <alignment horizontal="center" vertical="center" wrapText="1"/>
    </xf>
    <xf numFmtId="0" fontId="8" fillId="12" borderId="11" xfId="0" applyFont="1" applyFill="1" applyBorder="1" applyAlignment="1">
      <alignment horizontal="center" vertical="center" wrapText="1"/>
    </xf>
    <xf numFmtId="0" fontId="8" fillId="15" borderId="19" xfId="0" applyFont="1" applyFill="1" applyBorder="1" applyAlignment="1">
      <alignment horizontal="right" vertical="center"/>
    </xf>
    <xf numFmtId="0" fontId="8" fillId="15" borderId="17" xfId="0" applyFont="1" applyFill="1" applyBorder="1" applyAlignment="1">
      <alignment horizontal="right" vertical="center"/>
    </xf>
    <xf numFmtId="0" fontId="8" fillId="15" borderId="11" xfId="0" applyFont="1" applyFill="1" applyBorder="1" applyAlignment="1">
      <alignment horizontal="right" vertical="center"/>
    </xf>
    <xf numFmtId="9" fontId="4" fillId="5" borderId="29" xfId="1" applyFont="1" applyFill="1" applyBorder="1" applyAlignment="1">
      <alignment horizontal="center" vertical="center"/>
    </xf>
    <xf numFmtId="0" fontId="16" fillId="20" borderId="5" xfId="0" applyFont="1" applyFill="1" applyBorder="1" applyAlignment="1">
      <alignment horizontal="center"/>
    </xf>
    <xf numFmtId="0" fontId="11" fillId="20" borderId="5" xfId="0" applyFont="1" applyFill="1" applyBorder="1" applyAlignment="1">
      <alignment horizontal="center" vertical="center" wrapText="1"/>
    </xf>
    <xf numFmtId="9" fontId="11" fillId="20" borderId="5" xfId="1" applyFont="1" applyFill="1" applyBorder="1" applyAlignment="1">
      <alignment horizontal="center" vertical="center" wrapText="1"/>
    </xf>
    <xf numFmtId="0" fontId="11" fillId="21" borderId="8" xfId="0" applyFont="1" applyFill="1" applyBorder="1" applyAlignment="1">
      <alignment horizontal="center" vertical="center" wrapText="1"/>
    </xf>
    <xf numFmtId="9" fontId="11" fillId="21" borderId="8" xfId="1" applyFont="1" applyFill="1" applyBorder="1" applyAlignment="1">
      <alignment horizontal="center" vertical="center" wrapText="1"/>
    </xf>
    <xf numFmtId="165" fontId="11" fillId="21" borderId="8" xfId="0" applyNumberFormat="1" applyFont="1" applyFill="1" applyBorder="1" applyAlignment="1">
      <alignment horizontal="center" vertical="center" wrapText="1"/>
    </xf>
    <xf numFmtId="0" fontId="11" fillId="21" borderId="31" xfId="0" applyFont="1" applyFill="1" applyBorder="1" applyAlignment="1">
      <alignment horizontal="center" vertical="center" wrapText="1"/>
    </xf>
    <xf numFmtId="0" fontId="11" fillId="21" borderId="13" xfId="0" applyFont="1" applyFill="1" applyBorder="1" applyAlignment="1">
      <alignment horizontal="center" vertical="center" wrapText="1"/>
    </xf>
    <xf numFmtId="9" fontId="11" fillId="21" borderId="13" xfId="1" applyFont="1" applyFill="1" applyBorder="1" applyAlignment="1">
      <alignment horizontal="center" vertical="center" wrapText="1"/>
    </xf>
    <xf numFmtId="165" fontId="11" fillId="21" borderId="13" xfId="0" applyNumberFormat="1" applyFont="1" applyFill="1" applyBorder="1" applyAlignment="1">
      <alignment horizontal="center" vertical="center" wrapText="1"/>
    </xf>
    <xf numFmtId="0" fontId="11" fillId="21" borderId="30" xfId="0" applyFont="1" applyFill="1" applyBorder="1" applyAlignment="1">
      <alignment horizontal="center" vertical="center" wrapText="1"/>
    </xf>
    <xf numFmtId="0" fontId="11" fillId="21" borderId="32" xfId="0" applyFont="1" applyFill="1" applyBorder="1" applyAlignment="1">
      <alignment horizontal="center" vertical="center" wrapText="1"/>
    </xf>
    <xf numFmtId="0" fontId="30" fillId="21" borderId="19" xfId="0" applyFont="1" applyFill="1" applyBorder="1" applyAlignment="1">
      <alignment horizontal="center"/>
    </xf>
    <xf numFmtId="0" fontId="30" fillId="21" borderId="17" xfId="0" applyFont="1" applyFill="1" applyBorder="1" applyAlignment="1">
      <alignment horizontal="center"/>
    </xf>
  </cellXfs>
  <cellStyles count="11">
    <cellStyle name="Millares" xfId="3" builtinId="3"/>
    <cellStyle name="Millares 2" xfId="8" xr:uid="{00000000-0005-0000-0000-000001000000}"/>
    <cellStyle name="Millares 2 2" xfId="10" xr:uid="{00000000-0005-0000-0000-000002000000}"/>
    <cellStyle name="Millares 3" xfId="6" xr:uid="{00000000-0005-0000-0000-000003000000}"/>
    <cellStyle name="Moneda" xfId="4" builtinId="4"/>
    <cellStyle name="Moneda [0]" xfId="5" builtinId="7"/>
    <cellStyle name="Moneda [0] 2 2" xfId="7" xr:uid="{00000000-0005-0000-0000-000006000000}"/>
    <cellStyle name="Normal" xfId="0" builtinId="0"/>
    <cellStyle name="Normal 2" xfId="2" xr:uid="{00000000-0005-0000-0000-000008000000}"/>
    <cellStyle name="Normal 2 2 2" xfId="9" xr:uid="{00000000-0005-0000-0000-000009000000}"/>
    <cellStyle name="Porcentaje" xfId="1" builtinId="5"/>
  </cellStyles>
  <dxfs count="65">
    <dxf>
      <fill>
        <patternFill>
          <bgColor rgb="FF00B050"/>
        </patternFill>
      </fill>
    </dxf>
    <dxf>
      <fill>
        <patternFill>
          <bgColor rgb="FF92D050"/>
        </patternFill>
      </fill>
    </dxf>
    <dxf>
      <fill>
        <patternFill>
          <bgColor theme="5"/>
        </patternFill>
      </fill>
    </dxf>
    <dxf>
      <fill>
        <patternFill>
          <bgColor rgb="FFFF0000"/>
        </patternFill>
      </fill>
    </dxf>
    <dxf>
      <fill>
        <patternFill>
          <bgColor rgb="FFFFFF00"/>
        </patternFill>
      </fill>
    </dxf>
    <dxf>
      <fill>
        <patternFill>
          <bgColor theme="5"/>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00B050"/>
        </patternFill>
      </fill>
    </dxf>
    <dxf>
      <fill>
        <patternFill>
          <bgColor rgb="FF92D050"/>
        </patternFill>
      </fill>
    </dxf>
    <dxf>
      <fill>
        <patternFill>
          <bgColor rgb="FFFFFF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theme="5"/>
        </patternFill>
      </fill>
    </dxf>
    <dxf>
      <fill>
        <patternFill>
          <bgColor rgb="FF00B050"/>
        </patternFill>
      </fill>
    </dxf>
    <dxf>
      <fill>
        <patternFill>
          <bgColor rgb="FF92D050"/>
        </patternFill>
      </fill>
    </dxf>
    <dxf>
      <fill>
        <patternFill>
          <bgColor rgb="FFFFFF00"/>
        </patternFill>
      </fill>
    </dxf>
    <dxf>
      <fill>
        <patternFill>
          <bgColor theme="5"/>
        </patternFill>
      </fill>
    </dxf>
    <dxf>
      <fill>
        <patternFill>
          <bgColor rgb="FFFF00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00B050"/>
        </patternFill>
      </fill>
    </dxf>
    <dxf>
      <fill>
        <patternFill>
          <bgColor rgb="FF92D050"/>
        </patternFill>
      </fill>
    </dxf>
    <dxf>
      <fill>
        <patternFill>
          <bgColor rgb="FFFFFF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00B050"/>
        </patternFill>
      </fill>
    </dxf>
    <dxf>
      <fill>
        <patternFill>
          <bgColor rgb="FF92D050"/>
        </patternFill>
      </fill>
    </dxf>
    <dxf>
      <fill>
        <patternFill>
          <bgColor rgb="FFFFFF00"/>
        </patternFill>
      </fill>
    </dxf>
    <dxf>
      <fill>
        <patternFill>
          <bgColor theme="5"/>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theme="5"/>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theme="5"/>
        </patternFill>
      </fill>
    </dxf>
    <dxf>
      <fill>
        <patternFill>
          <bgColor rgb="FF92D050"/>
        </patternFill>
      </fill>
    </dxf>
    <dxf>
      <fill>
        <patternFill>
          <bgColor rgb="FF00B050"/>
        </patternFill>
      </fill>
    </dxf>
    <dxf>
      <fill>
        <patternFill>
          <bgColor rgb="FFFFFF00"/>
        </patternFill>
      </fill>
    </dxf>
    <dxf>
      <fill>
        <patternFill>
          <bgColor theme="5"/>
        </patternFill>
      </fill>
    </dxf>
    <dxf>
      <fill>
        <patternFill>
          <bgColor rgb="FFFF0000"/>
        </patternFill>
      </fill>
    </dxf>
  </dxfs>
  <tableStyles count="0" defaultTableStyle="TableStyleMedium2" defaultPivotStyle="PivotStyleLight16"/>
  <colors>
    <mruColors>
      <color rgb="FFF98607"/>
      <color rgb="FFFF99CC"/>
      <color rgb="FFFF6600"/>
      <color rgb="FF008000"/>
      <color rgb="FFFFFFCC"/>
      <color rgb="FF669900"/>
      <color rgb="FFFFCCCC"/>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ES_tradnl"/>
              <a:t>Política Pública de Juventud -Avance total a</a:t>
            </a:r>
            <a:r>
              <a:rPr lang="es-ES_tradnl" baseline="0"/>
              <a:t> la Fecha</a:t>
            </a:r>
            <a:r>
              <a:rPr lang="es-ES_tradnl"/>
              <a:t> </a:t>
            </a:r>
          </a:p>
        </c:rich>
      </c:tx>
      <c:layout>
        <c:manualLayout>
          <c:xMode val="edge"/>
          <c:yMode val="edge"/>
          <c:x val="0.15858191473688238"/>
          <c:y val="4.9338987071890397E-2"/>
        </c:manualLayout>
      </c:layout>
      <c:overlay val="0"/>
      <c:spPr>
        <a:noFill/>
        <a:ln>
          <a:noFill/>
        </a:ln>
        <a:effectLst/>
      </c:spPr>
    </c:title>
    <c:autoTitleDeleted val="0"/>
    <c:plotArea>
      <c:layout/>
      <c:pieChart>
        <c:varyColors val="1"/>
        <c:ser>
          <c:idx val="0"/>
          <c:order val="0"/>
          <c:dPt>
            <c:idx val="0"/>
            <c:bubble3D val="0"/>
            <c:spPr>
              <a:solidFill>
                <a:srgbClr val="FF0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AF32-4887-8CE3-9035EE81EF74}"/>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AF32-4887-8CE3-9035EE81EF74}"/>
              </c:ext>
            </c:extLst>
          </c:dPt>
          <c:dPt>
            <c:idx val="2"/>
            <c:bubble3D val="0"/>
            <c:spPr>
              <a:solidFill>
                <a:srgbClr val="FFFF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AF32-4887-8CE3-9035EE81EF74}"/>
              </c:ext>
            </c:extLst>
          </c:dPt>
          <c:dPt>
            <c:idx val="3"/>
            <c:bubble3D val="0"/>
            <c:spPr>
              <a:solidFill>
                <a:srgbClr val="92D05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AF32-4887-8CE3-9035EE81EF74}"/>
              </c:ext>
            </c:extLst>
          </c:dPt>
          <c:dPt>
            <c:idx val="4"/>
            <c:bubble3D val="0"/>
            <c:spPr>
              <a:solidFill>
                <a:srgbClr val="008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9-AF32-4887-8CE3-9035EE81EF7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'Avance Total'!$A$3:$A$7</c:f>
              <c:strCache>
                <c:ptCount val="5"/>
                <c:pt idx="0">
                  <c:v>CRÍTICO</c:v>
                </c:pt>
                <c:pt idx="1">
                  <c:v>BAJO</c:v>
                </c:pt>
                <c:pt idx="2">
                  <c:v>MEDIO</c:v>
                </c:pt>
                <c:pt idx="3">
                  <c:v>SATISFACTORIO</c:v>
                </c:pt>
                <c:pt idx="4">
                  <c:v>SOBRESALIENTE</c:v>
                </c:pt>
              </c:strCache>
            </c:strRef>
          </c:cat>
          <c:val>
            <c:numRef>
              <c:f>'Avance Total'!$B$3:$B$7</c:f>
              <c:numCache>
                <c:formatCode>General</c:formatCode>
                <c:ptCount val="5"/>
                <c:pt idx="0">
                  <c:v>18</c:v>
                </c:pt>
                <c:pt idx="1">
                  <c:v>8</c:v>
                </c:pt>
                <c:pt idx="2">
                  <c:v>3</c:v>
                </c:pt>
                <c:pt idx="3">
                  <c:v>2</c:v>
                </c:pt>
                <c:pt idx="4">
                  <c:v>30</c:v>
                </c:pt>
              </c:numCache>
            </c:numRef>
          </c:val>
          <c:extLst>
            <c:ext xmlns:c16="http://schemas.microsoft.com/office/drawing/2014/chart" uri="{C3380CC4-5D6E-409C-BE32-E72D297353CC}">
              <c16:uniqueId val="{0000000A-AF32-4887-8CE3-9035EE81EF74}"/>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989330</xdr:colOff>
      <xdr:row>3</xdr:row>
      <xdr:rowOff>115146</xdr:rowOff>
    </xdr:from>
    <xdr:to>
      <xdr:col>10</xdr:col>
      <xdr:colOff>643043</xdr:colOff>
      <xdr:row>23</xdr:row>
      <xdr:rowOff>82973</xdr:rowOff>
    </xdr:to>
    <xdr:graphicFrame macro="">
      <xdr:nvGraphicFramePr>
        <xdr:cNvPr id="2" name="Gráfico 1">
          <a:extLst>
            <a:ext uri="{FF2B5EF4-FFF2-40B4-BE49-F238E27FC236}">
              <a16:creationId xmlns:a16="http://schemas.microsoft.com/office/drawing/2014/main" id="{6F448A04-0362-4F94-9DA9-08834941F8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FAMILIA29/Desktop/valentina/PLAN%20DE%20ACCION%202019/2019/familia%20Sgto%20marzo%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AI MARZO 31 2019"/>
      <sheetName val="Metas y Proyectos"/>
      <sheetName val="Plan de Accion"/>
      <sheetName val="Seguimiento Plan de Accion"/>
      <sheetName val="Inversion entes territor"/>
    </sheetNames>
    <sheetDataSet>
      <sheetData sheetId="0" refreshError="1"/>
      <sheetData sheetId="1" refreshError="1">
        <row r="20">
          <cell r="T20" t="str">
            <v xml:space="preserve">Para el cumplimiento de la estrategia de prevención y atención de embarazos y segundos embarazos a temprana edad, durante el primer trimestre de la vigencia 2019 se desarrollaron dos (2) ciclos educativos en las instituciones educativas Baudilio Montoya y Román María Valencia del municipio de Calarcá, las cuales fueron definidas por la secretaría de Educación del departamento, en donde se abordaron las siguientes temáticas: 1. Sexo y sexualidad humana, 2. Autoestima, 3. Proyecto de vida, 4. Prevención de embarazo y métodos de planificación familiar, 5. Uso de la doble protección / ETS – VIH – SIDA, 6. Derechos sexuales y reproductivos y, 7. Comunicación en familia. También, se realizaron jornadas pedagógicas en la Institución Educativa Boquía de Salento y en el SENA de la construcción sobre derechos sexuales y reproductivos. Se beneficiaron 436 adolescentes aproximadamente. 
También, se han realizado escuelas de padres sobre derechos sexuales y reproductivos y planificación familiar en las Unidades de Servicio Simón Bolívar, La Adiela, Centro Social y La Isabela del municipio de Armenia, beneficiando 59 adultos.
De otro lado, se encuentra en proceso precontractual la contratación de mínima cuantía con el objeto: “Prestar servicios a la secretaría de Familia en la realización de encuentros y jornadas pedagógicas frente a la promoción y prevención del embarazo en adolescentes y segundos embarazos a temprana edad en instituciones educativas oficiales del departamento del Quindío”.   </v>
          </cell>
        </row>
        <row r="21">
          <cell r="T21" t="str">
            <v xml:space="preserve">Como parte del proceso de implementación de la estrategia de prevención de y atención de la erradicación del abuso, explotación sexual comercial, trabajo infantil y peores formas de trabajo y, actividades delictivas se desarrolló jornada de prevención de violencia intrafamiliar y prevención del trabajo infantil en el municipio de Génova con personas víctimas del conflicto armado beneficiando 33 adultos. También, se apoyó la realización del primer Comité Interinstitucional para la Erradicación del Trabajo Infantil (CIETI) en el departamento, así como el acompañamiento a los CIETI de los municipios de Salento y Circasia.  
De otro lado, se encuentra en proceso precontractual la contratación de mínima cuantía con el objeto: “Prestar servicios a la secretaría de Familia, con la realización de talleres y capacitaciones en búsqueda de fortalecer la estrategia de prevención y atención de la erradicación del abuso, explotación sexual comercial, trabajo infantil y peores formas de trabajo, y actividades delictivas, en cumplimiento de la implementación de la política pública de primera infancia, infancia y adolescencia en el departamento del Quindío”. </v>
          </cell>
        </row>
      </sheetData>
      <sheetData sheetId="2" refreshError="1"/>
      <sheetData sheetId="3" refreshError="1"/>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O192"/>
  <sheetViews>
    <sheetView showGridLines="0" tabSelected="1" topLeftCell="D1" zoomScale="75" zoomScaleNormal="80" zoomScalePageLayoutView="50" workbookViewId="0">
      <pane xSplit="1" topLeftCell="E1" activePane="topRight" state="frozen"/>
      <selection activeCell="D6" sqref="D6"/>
      <selection pane="topRight" activeCell="CK4" sqref="CK4"/>
    </sheetView>
  </sheetViews>
  <sheetFormatPr baseColWidth="10" defaultRowHeight="15" x14ac:dyDescent="0.25"/>
  <cols>
    <col min="1" max="1" width="15.28515625" hidden="1" customWidth="1"/>
    <col min="2" max="2" width="9.5703125" hidden="1" customWidth="1"/>
    <col min="3" max="3" width="10.85546875" hidden="1" customWidth="1"/>
    <col min="4" max="4" width="5.85546875" style="66" customWidth="1"/>
    <col min="5" max="5" width="11.28515625" style="66" customWidth="1"/>
    <col min="6" max="6" width="16.5703125" style="66" customWidth="1"/>
    <col min="7" max="7" width="7.140625" style="66" customWidth="1"/>
    <col min="8" max="8" width="7.42578125" style="66" customWidth="1"/>
    <col min="9" max="9" width="7.7109375" style="66" customWidth="1"/>
    <col min="10" max="10" width="7.42578125" style="66" customWidth="1"/>
    <col min="11" max="11" width="10.140625" style="66" hidden="1" customWidth="1"/>
    <col min="12" max="12" width="13" style="66" hidden="1" customWidth="1"/>
    <col min="13" max="13" width="8.28515625" style="66" hidden="1" customWidth="1"/>
    <col min="14" max="14" width="10.42578125" style="66" hidden="1" customWidth="1"/>
    <col min="15" max="15" width="11.42578125" style="66" hidden="1" customWidth="1"/>
    <col min="16" max="16" width="9.5703125" style="66" hidden="1" customWidth="1"/>
    <col min="17" max="17" width="8.28515625" style="66" hidden="1" customWidth="1"/>
    <col min="18" max="18" width="11.42578125" style="4" hidden="1" customWidth="1"/>
    <col min="19" max="19" width="11.5703125" style="4" hidden="1" customWidth="1"/>
    <col min="20" max="20" width="10.5703125" style="16" hidden="1" customWidth="1"/>
    <col min="21" max="21" width="12.28515625" style="30" hidden="1" customWidth="1"/>
    <col min="22" max="22" width="17.28515625" style="30" hidden="1" customWidth="1"/>
    <col min="23" max="23" width="19.7109375" hidden="1" customWidth="1"/>
    <col min="24" max="24" width="61.140625" hidden="1" customWidth="1"/>
    <col min="25" max="25" width="14.7109375" style="4" hidden="1" customWidth="1"/>
    <col min="26" max="26" width="11.5703125" style="4" hidden="1" customWidth="1"/>
    <col min="27" max="27" width="12.7109375" style="16" hidden="1" customWidth="1"/>
    <col min="28" max="28" width="25.28515625" style="30" hidden="1" customWidth="1"/>
    <col min="29" max="29" width="22" style="30" hidden="1" customWidth="1"/>
    <col min="30" max="30" width="26.7109375" hidden="1" customWidth="1"/>
    <col min="31" max="31" width="98.85546875" hidden="1" customWidth="1"/>
    <col min="32" max="32" width="21.85546875" hidden="1" customWidth="1"/>
    <col min="33" max="34" width="11.42578125" hidden="1" customWidth="1"/>
    <col min="35" max="35" width="16.5703125" hidden="1" customWidth="1"/>
    <col min="36" max="36" width="18.140625" hidden="1" customWidth="1"/>
    <col min="37" max="37" width="19.85546875" hidden="1" customWidth="1"/>
    <col min="38" max="38" width="61" hidden="1" customWidth="1"/>
    <col min="39" max="39" width="19.85546875" hidden="1" customWidth="1"/>
    <col min="40" max="40" width="22" hidden="1" customWidth="1"/>
    <col min="41" max="41" width="22.42578125" hidden="1" customWidth="1"/>
    <col min="42" max="42" width="15.42578125" hidden="1" customWidth="1"/>
    <col min="43" max="43" width="13.7109375" hidden="1" customWidth="1"/>
    <col min="44" max="44" width="34.42578125" hidden="1" customWidth="1"/>
    <col min="45" max="45" width="71.42578125" hidden="1" customWidth="1"/>
    <col min="46" max="46" width="25.42578125" hidden="1" customWidth="1"/>
    <col min="47" max="47" width="19.140625" hidden="1" customWidth="1"/>
    <col min="48" max="48" width="25.5703125" hidden="1" customWidth="1"/>
    <col min="49" max="49" width="22" hidden="1" customWidth="1"/>
    <col min="50" max="50" width="21.28515625" hidden="1" customWidth="1"/>
    <col min="51" max="51" width="19.140625" hidden="1" customWidth="1"/>
    <col min="52" max="52" width="76.28515625" hidden="1" customWidth="1"/>
    <col min="53" max="53" width="18.42578125" hidden="1" customWidth="1"/>
    <col min="54" max="54" width="16.5703125" hidden="1" customWidth="1"/>
    <col min="55" max="55" width="15.5703125" hidden="1" customWidth="1"/>
    <col min="56" max="56" width="14.140625" hidden="1" customWidth="1"/>
    <col min="57" max="57" width="11.42578125" hidden="1" customWidth="1"/>
    <col min="58" max="58" width="37.7109375" hidden="1" customWidth="1"/>
    <col min="59" max="59" width="255.7109375" hidden="1" customWidth="1"/>
    <col min="60" max="60" width="17.85546875" hidden="1" customWidth="1"/>
    <col min="61" max="61" width="9.85546875" hidden="1" customWidth="1"/>
    <col min="62" max="62" width="13.28515625" hidden="1" customWidth="1"/>
    <col min="63" max="63" width="12" hidden="1" customWidth="1"/>
    <col min="64" max="64" width="11.85546875" hidden="1" customWidth="1"/>
    <col min="65" max="65" width="37.7109375" hidden="1" customWidth="1"/>
    <col min="66" max="66" width="255.7109375" hidden="1" customWidth="1"/>
    <col min="67" max="67" width="21.42578125" hidden="1" customWidth="1"/>
    <col min="68" max="68" width="9.85546875" hidden="1" customWidth="1"/>
    <col min="69" max="69" width="20.42578125" hidden="1" customWidth="1"/>
    <col min="70" max="71" width="13.28515625" hidden="1" customWidth="1"/>
    <col min="72" max="72" width="1.7109375" hidden="1" customWidth="1"/>
    <col min="73" max="73" width="255.7109375" hidden="1" customWidth="1"/>
    <col min="74" max="74" width="23.5703125" hidden="1" customWidth="1"/>
    <col min="75" max="75" width="20.140625" hidden="1" customWidth="1"/>
    <col min="76" max="76" width="21.85546875" hidden="1" customWidth="1"/>
    <col min="77" max="77" width="21.7109375" hidden="1" customWidth="1"/>
    <col min="78" max="79" width="30.7109375" hidden="1" customWidth="1"/>
    <col min="80" max="80" width="29.5703125" hidden="1" customWidth="1"/>
    <col min="81" max="81" width="80.28515625" hidden="1" customWidth="1"/>
    <col min="82" max="82" width="11.140625" customWidth="1"/>
    <col min="83" max="83" width="9.7109375" customWidth="1"/>
    <col min="84" max="84" width="11" customWidth="1"/>
    <col min="85" max="85" width="19.28515625" customWidth="1"/>
    <col min="86" max="86" width="16.5703125" style="377" customWidth="1"/>
    <col min="87" max="87" width="15.7109375" customWidth="1"/>
    <col min="88" max="88" width="17.7109375" customWidth="1"/>
    <col min="89" max="89" width="64.85546875" style="379" customWidth="1"/>
    <col min="90" max="90" width="16.7109375" customWidth="1"/>
    <col min="91" max="91" width="21.42578125" customWidth="1"/>
    <col min="92" max="92" width="20" customWidth="1"/>
  </cols>
  <sheetData>
    <row r="1" spans="1:93" ht="19.5" thickBot="1" x14ac:dyDescent="0.35">
      <c r="D1" s="620" t="s">
        <v>492</v>
      </c>
      <c r="E1" s="621"/>
      <c r="F1" s="621"/>
      <c r="G1" s="621"/>
      <c r="H1" s="621"/>
      <c r="I1" s="621"/>
      <c r="J1" s="621"/>
      <c r="K1" s="621"/>
      <c r="L1" s="621"/>
      <c r="M1" s="621"/>
      <c r="N1" s="621"/>
      <c r="O1" s="621"/>
      <c r="P1" s="621"/>
      <c r="Q1" s="622"/>
      <c r="R1" s="550">
        <v>2014</v>
      </c>
      <c r="S1" s="551"/>
      <c r="T1" s="551"/>
      <c r="U1" s="551"/>
      <c r="V1" s="551"/>
      <c r="W1" s="551"/>
      <c r="X1" s="552"/>
      <c r="Y1" s="550">
        <v>2015</v>
      </c>
      <c r="Z1" s="551"/>
      <c r="AA1" s="551"/>
      <c r="AB1" s="551"/>
      <c r="AC1" s="551"/>
      <c r="AD1" s="551"/>
      <c r="AE1" s="552"/>
      <c r="AF1" s="550">
        <v>2016</v>
      </c>
      <c r="AG1" s="551"/>
      <c r="AH1" s="551"/>
      <c r="AI1" s="551"/>
      <c r="AJ1" s="551"/>
      <c r="AK1" s="551"/>
      <c r="AL1" s="552"/>
      <c r="AM1" s="550">
        <v>2017</v>
      </c>
      <c r="AN1" s="551"/>
      <c r="AO1" s="551"/>
      <c r="AP1" s="551"/>
      <c r="AQ1" s="551"/>
      <c r="AR1" s="551"/>
      <c r="AS1" s="552"/>
      <c r="AT1" s="550">
        <v>2018</v>
      </c>
      <c r="AU1" s="551"/>
      <c r="AV1" s="551"/>
      <c r="AW1" s="551"/>
      <c r="AX1" s="551"/>
      <c r="AY1" s="551"/>
      <c r="AZ1" s="552"/>
      <c r="BA1" s="550">
        <v>2019</v>
      </c>
      <c r="BB1" s="551"/>
      <c r="BC1" s="551"/>
      <c r="BD1" s="551"/>
      <c r="BE1" s="551"/>
      <c r="BF1" s="551"/>
      <c r="BG1" s="552"/>
      <c r="BH1" s="550">
        <v>2020</v>
      </c>
      <c r="BI1" s="551"/>
      <c r="BJ1" s="551"/>
      <c r="BK1" s="551"/>
      <c r="BL1" s="551"/>
      <c r="BM1" s="551"/>
      <c r="BN1" s="552"/>
      <c r="BO1" s="550">
        <v>2021</v>
      </c>
      <c r="BP1" s="551"/>
      <c r="BQ1" s="551"/>
      <c r="BR1" s="551"/>
      <c r="BS1" s="551"/>
      <c r="BT1" s="551"/>
      <c r="BU1" s="552"/>
      <c r="BV1" s="479">
        <v>2022</v>
      </c>
      <c r="BW1" s="480"/>
      <c r="BX1" s="480"/>
      <c r="BY1" s="480"/>
      <c r="BZ1" s="480"/>
      <c r="CA1" s="480"/>
      <c r="CB1" s="480"/>
      <c r="CC1" s="481"/>
      <c r="CD1" s="745" t="s">
        <v>1105</v>
      </c>
      <c r="CE1" s="746"/>
      <c r="CF1" s="746"/>
      <c r="CG1" s="746"/>
      <c r="CH1" s="746"/>
      <c r="CI1" s="746"/>
      <c r="CJ1" s="746"/>
      <c r="CK1" s="746"/>
      <c r="CL1" s="733" t="s">
        <v>976</v>
      </c>
      <c r="CM1" s="733"/>
      <c r="CN1" s="733"/>
    </row>
    <row r="2" spans="1:93" ht="21.75" customHeight="1" thickBot="1" x14ac:dyDescent="0.3">
      <c r="A2" s="506" t="s">
        <v>0</v>
      </c>
      <c r="B2" s="506" t="s">
        <v>1</v>
      </c>
      <c r="C2" s="510" t="s">
        <v>2</v>
      </c>
      <c r="D2" s="506" t="s">
        <v>1</v>
      </c>
      <c r="E2" s="506" t="s">
        <v>3</v>
      </c>
      <c r="F2" s="506" t="s">
        <v>4</v>
      </c>
      <c r="G2" s="506" t="s">
        <v>5</v>
      </c>
      <c r="H2" s="506" t="s">
        <v>6</v>
      </c>
      <c r="I2" s="506" t="s">
        <v>7</v>
      </c>
      <c r="J2" s="506" t="s">
        <v>8</v>
      </c>
      <c r="K2" s="510" t="s">
        <v>290</v>
      </c>
      <c r="L2" s="522"/>
      <c r="M2" s="522"/>
      <c r="N2" s="522"/>
      <c r="O2" s="522"/>
      <c r="P2" s="522"/>
      <c r="Q2" s="523"/>
      <c r="R2" s="482" t="s">
        <v>660</v>
      </c>
      <c r="S2" s="482" t="s">
        <v>276</v>
      </c>
      <c r="T2" s="484" t="s">
        <v>277</v>
      </c>
      <c r="U2" s="486" t="s">
        <v>251</v>
      </c>
      <c r="V2" s="486" t="s">
        <v>252</v>
      </c>
      <c r="W2" s="482" t="s">
        <v>253</v>
      </c>
      <c r="X2" s="482" t="s">
        <v>254</v>
      </c>
      <c r="Y2" s="482" t="s">
        <v>659</v>
      </c>
      <c r="Z2" s="482" t="s">
        <v>276</v>
      </c>
      <c r="AA2" s="484" t="s">
        <v>277</v>
      </c>
      <c r="AB2" s="486" t="s">
        <v>251</v>
      </c>
      <c r="AC2" s="486" t="s">
        <v>252</v>
      </c>
      <c r="AD2" s="482" t="s">
        <v>253</v>
      </c>
      <c r="AE2" s="482" t="s">
        <v>254</v>
      </c>
      <c r="AF2" s="482" t="s">
        <v>658</v>
      </c>
      <c r="AG2" s="482" t="s">
        <v>276</v>
      </c>
      <c r="AH2" s="484" t="s">
        <v>277</v>
      </c>
      <c r="AI2" s="486" t="s">
        <v>251</v>
      </c>
      <c r="AJ2" s="486" t="s">
        <v>252</v>
      </c>
      <c r="AK2" s="482" t="s">
        <v>253</v>
      </c>
      <c r="AL2" s="482" t="s">
        <v>254</v>
      </c>
      <c r="AM2" s="482" t="s">
        <v>657</v>
      </c>
      <c r="AN2" s="482" t="s">
        <v>276</v>
      </c>
      <c r="AO2" s="484" t="s">
        <v>277</v>
      </c>
      <c r="AP2" s="486" t="s">
        <v>251</v>
      </c>
      <c r="AQ2" s="486" t="s">
        <v>252</v>
      </c>
      <c r="AR2" s="482" t="s">
        <v>253</v>
      </c>
      <c r="AS2" s="482" t="s">
        <v>254</v>
      </c>
      <c r="AT2" s="482" t="s">
        <v>656</v>
      </c>
      <c r="AU2" s="482" t="s">
        <v>276</v>
      </c>
      <c r="AV2" s="484" t="s">
        <v>277</v>
      </c>
      <c r="AW2" s="486" t="s">
        <v>251</v>
      </c>
      <c r="AX2" s="486" t="s">
        <v>252</v>
      </c>
      <c r="AY2" s="482" t="s">
        <v>253</v>
      </c>
      <c r="AZ2" s="482" t="s">
        <v>254</v>
      </c>
      <c r="BA2" s="482" t="s">
        <v>655</v>
      </c>
      <c r="BB2" s="482" t="s">
        <v>276</v>
      </c>
      <c r="BC2" s="484" t="s">
        <v>277</v>
      </c>
      <c r="BD2" s="486" t="s">
        <v>251</v>
      </c>
      <c r="BE2" s="486" t="s">
        <v>252</v>
      </c>
      <c r="BF2" s="482" t="s">
        <v>253</v>
      </c>
      <c r="BG2" s="482" t="s">
        <v>254</v>
      </c>
      <c r="BH2" s="586" t="s">
        <v>502</v>
      </c>
      <c r="BI2" s="586" t="s">
        <v>276</v>
      </c>
      <c r="BJ2" s="588" t="s">
        <v>277</v>
      </c>
      <c r="BK2" s="590" t="s">
        <v>251</v>
      </c>
      <c r="BL2" s="590" t="s">
        <v>252</v>
      </c>
      <c r="BM2" s="586" t="s">
        <v>253</v>
      </c>
      <c r="BN2" s="586" t="s">
        <v>254</v>
      </c>
      <c r="BO2" s="482" t="s">
        <v>581</v>
      </c>
      <c r="BP2" s="482" t="s">
        <v>276</v>
      </c>
      <c r="BQ2" s="484" t="s">
        <v>277</v>
      </c>
      <c r="BR2" s="486" t="s">
        <v>251</v>
      </c>
      <c r="BS2" s="486" t="s">
        <v>252</v>
      </c>
      <c r="BT2" s="482" t="s">
        <v>253</v>
      </c>
      <c r="BU2" s="482" t="s">
        <v>254</v>
      </c>
      <c r="BV2" s="482" t="s">
        <v>462</v>
      </c>
      <c r="BW2" s="482" t="s">
        <v>276</v>
      </c>
      <c r="BX2" s="484" t="s">
        <v>277</v>
      </c>
      <c r="BY2" s="486" t="s">
        <v>251</v>
      </c>
      <c r="BZ2" s="486" t="s">
        <v>252</v>
      </c>
      <c r="CA2" s="484" t="s">
        <v>1031</v>
      </c>
      <c r="CB2" s="482" t="s">
        <v>253</v>
      </c>
      <c r="CC2" s="586" t="s">
        <v>254</v>
      </c>
      <c r="CD2" s="736" t="s">
        <v>1100</v>
      </c>
      <c r="CE2" s="736" t="s">
        <v>276</v>
      </c>
      <c r="CF2" s="737" t="s">
        <v>277</v>
      </c>
      <c r="CG2" s="738" t="s">
        <v>251</v>
      </c>
      <c r="CH2" s="738" t="s">
        <v>252</v>
      </c>
      <c r="CI2" s="737" t="s">
        <v>1031</v>
      </c>
      <c r="CJ2" s="736" t="s">
        <v>253</v>
      </c>
      <c r="CK2" s="739" t="s">
        <v>254</v>
      </c>
      <c r="CL2" s="734" t="s">
        <v>977</v>
      </c>
      <c r="CM2" s="734" t="s">
        <v>1104</v>
      </c>
      <c r="CN2" s="735" t="s">
        <v>1040</v>
      </c>
    </row>
    <row r="3" spans="1:93" ht="52.5" customHeight="1" thickBot="1" x14ac:dyDescent="0.3">
      <c r="A3" s="506"/>
      <c r="B3" s="506"/>
      <c r="C3" s="510"/>
      <c r="D3" s="482"/>
      <c r="E3" s="482"/>
      <c r="F3" s="482"/>
      <c r="G3" s="482"/>
      <c r="H3" s="482"/>
      <c r="I3" s="482"/>
      <c r="J3" s="482"/>
      <c r="K3" s="62" t="s">
        <v>431</v>
      </c>
      <c r="L3" s="62" t="s">
        <v>286</v>
      </c>
      <c r="M3" s="62" t="s">
        <v>432</v>
      </c>
      <c r="N3" s="62" t="s">
        <v>287</v>
      </c>
      <c r="O3" s="62" t="s">
        <v>433</v>
      </c>
      <c r="P3" s="62" t="s">
        <v>288</v>
      </c>
      <c r="Q3" s="62" t="s">
        <v>289</v>
      </c>
      <c r="R3" s="483"/>
      <c r="S3" s="483"/>
      <c r="T3" s="485"/>
      <c r="U3" s="487"/>
      <c r="V3" s="487"/>
      <c r="W3" s="483"/>
      <c r="X3" s="483"/>
      <c r="Y3" s="483"/>
      <c r="Z3" s="483"/>
      <c r="AA3" s="485"/>
      <c r="AB3" s="487"/>
      <c r="AC3" s="487"/>
      <c r="AD3" s="483"/>
      <c r="AE3" s="483"/>
      <c r="AF3" s="483"/>
      <c r="AG3" s="483"/>
      <c r="AH3" s="485"/>
      <c r="AI3" s="487"/>
      <c r="AJ3" s="487"/>
      <c r="AK3" s="483"/>
      <c r="AL3" s="483"/>
      <c r="AM3" s="483"/>
      <c r="AN3" s="483"/>
      <c r="AO3" s="485"/>
      <c r="AP3" s="487"/>
      <c r="AQ3" s="487"/>
      <c r="AR3" s="483"/>
      <c r="AS3" s="483"/>
      <c r="AT3" s="483"/>
      <c r="AU3" s="483"/>
      <c r="AV3" s="485"/>
      <c r="AW3" s="487"/>
      <c r="AX3" s="487"/>
      <c r="AY3" s="483"/>
      <c r="AZ3" s="483"/>
      <c r="BA3" s="483"/>
      <c r="BB3" s="483"/>
      <c r="BC3" s="485"/>
      <c r="BD3" s="487"/>
      <c r="BE3" s="487"/>
      <c r="BF3" s="483"/>
      <c r="BG3" s="483"/>
      <c r="BH3" s="587"/>
      <c r="BI3" s="587"/>
      <c r="BJ3" s="589"/>
      <c r="BK3" s="591"/>
      <c r="BL3" s="591"/>
      <c r="BM3" s="587"/>
      <c r="BN3" s="587"/>
      <c r="BO3" s="483"/>
      <c r="BP3" s="483"/>
      <c r="BQ3" s="485"/>
      <c r="BR3" s="487"/>
      <c r="BS3" s="487"/>
      <c r="BT3" s="483"/>
      <c r="BU3" s="483"/>
      <c r="BV3" s="483"/>
      <c r="BW3" s="483"/>
      <c r="BX3" s="485"/>
      <c r="BY3" s="487"/>
      <c r="BZ3" s="487"/>
      <c r="CA3" s="485"/>
      <c r="CB3" s="488"/>
      <c r="CC3" s="587"/>
      <c r="CD3" s="740"/>
      <c r="CE3" s="740"/>
      <c r="CF3" s="741"/>
      <c r="CG3" s="742"/>
      <c r="CH3" s="742"/>
      <c r="CI3" s="741"/>
      <c r="CJ3" s="743"/>
      <c r="CK3" s="744"/>
      <c r="CL3" s="734"/>
      <c r="CM3" s="734"/>
      <c r="CN3" s="735"/>
    </row>
    <row r="4" spans="1:93" ht="174.75" customHeight="1" x14ac:dyDescent="0.25">
      <c r="A4" s="508" t="s">
        <v>9</v>
      </c>
      <c r="B4" s="497" t="s">
        <v>10</v>
      </c>
      <c r="C4" s="499">
        <v>0</v>
      </c>
      <c r="D4" s="496" t="s">
        <v>457</v>
      </c>
      <c r="E4" s="398" t="s">
        <v>11</v>
      </c>
      <c r="F4" s="47" t="s">
        <v>12</v>
      </c>
      <c r="G4" s="47" t="s">
        <v>13</v>
      </c>
      <c r="H4" s="224" t="s">
        <v>991</v>
      </c>
      <c r="I4" s="47" t="s">
        <v>14</v>
      </c>
      <c r="J4" s="47">
        <v>12</v>
      </c>
      <c r="K4" s="398" t="s">
        <v>291</v>
      </c>
      <c r="L4" s="398" t="s">
        <v>366</v>
      </c>
      <c r="M4" s="398" t="s">
        <v>293</v>
      </c>
      <c r="N4" s="398" t="s">
        <v>423</v>
      </c>
      <c r="O4" s="398" t="s">
        <v>293</v>
      </c>
      <c r="P4" s="398" t="s">
        <v>294</v>
      </c>
      <c r="Q4" s="109">
        <v>12</v>
      </c>
      <c r="R4" s="92">
        <v>3</v>
      </c>
      <c r="S4" s="524"/>
      <c r="T4" s="524">
        <v>0</v>
      </c>
      <c r="U4" s="524"/>
      <c r="V4" s="524" t="s">
        <v>493</v>
      </c>
      <c r="W4" s="398" t="s">
        <v>255</v>
      </c>
      <c r="X4" s="274" t="s">
        <v>494</v>
      </c>
      <c r="Y4" s="92">
        <v>3</v>
      </c>
      <c r="Z4" s="90">
        <v>3</v>
      </c>
      <c r="AA4" s="33">
        <f>Z4/Y4</f>
        <v>1</v>
      </c>
      <c r="AB4" s="275"/>
      <c r="AC4" s="270"/>
      <c r="AD4" s="398" t="s">
        <v>255</v>
      </c>
      <c r="AE4" s="276" t="s">
        <v>663</v>
      </c>
      <c r="AF4" s="177">
        <v>5</v>
      </c>
      <c r="AG4" s="85">
        <v>2</v>
      </c>
      <c r="AH4" s="33">
        <f>AG4/AF4</f>
        <v>0.4</v>
      </c>
      <c r="AI4" s="554" t="s">
        <v>694</v>
      </c>
      <c r="AJ4" s="554" t="s">
        <v>695</v>
      </c>
      <c r="AK4" s="398" t="s">
        <v>255</v>
      </c>
      <c r="AL4" s="192" t="s">
        <v>727</v>
      </c>
      <c r="AM4" s="147">
        <v>7</v>
      </c>
      <c r="AN4" s="68">
        <v>2</v>
      </c>
      <c r="AO4" s="33">
        <f>AN4/AM4</f>
        <v>0.2857142857142857</v>
      </c>
      <c r="AP4" s="555" t="s">
        <v>780</v>
      </c>
      <c r="AQ4" s="555" t="s">
        <v>781</v>
      </c>
      <c r="AR4" s="398" t="s">
        <v>255</v>
      </c>
      <c r="AS4" s="163" t="s">
        <v>810</v>
      </c>
      <c r="AT4" s="171">
        <v>10</v>
      </c>
      <c r="AU4" s="125">
        <v>5</v>
      </c>
      <c r="AV4" s="33">
        <f>AU4/AT4</f>
        <v>0.5</v>
      </c>
      <c r="AW4" s="676">
        <v>25000000</v>
      </c>
      <c r="AX4" s="676">
        <v>23993333</v>
      </c>
      <c r="AY4" s="398" t="s">
        <v>255</v>
      </c>
      <c r="AZ4" s="277" t="s">
        <v>859</v>
      </c>
      <c r="BA4" s="147">
        <v>12</v>
      </c>
      <c r="BB4" s="125">
        <v>7</v>
      </c>
      <c r="BC4" s="33">
        <f>BB4/BA4</f>
        <v>0.58333333333333337</v>
      </c>
      <c r="BD4" s="554">
        <v>32000000</v>
      </c>
      <c r="BE4" s="554">
        <v>31440300</v>
      </c>
      <c r="BF4" s="398" t="s">
        <v>255</v>
      </c>
      <c r="BG4" s="277" t="s">
        <v>931</v>
      </c>
      <c r="BH4" s="147">
        <v>9</v>
      </c>
      <c r="BI4" s="68">
        <v>8</v>
      </c>
      <c r="BJ4" s="71">
        <f>(BI4/BH4)*1</f>
        <v>0.88888888888888884</v>
      </c>
      <c r="BK4" s="69" t="s">
        <v>503</v>
      </c>
      <c r="BL4" s="69">
        <v>6400000</v>
      </c>
      <c r="BM4" s="491" t="s">
        <v>255</v>
      </c>
      <c r="BN4" s="277" t="s">
        <v>504</v>
      </c>
      <c r="BO4" s="278">
        <v>9</v>
      </c>
      <c r="BP4" s="32">
        <v>8</v>
      </c>
      <c r="BQ4" s="33">
        <f>BP4/BO4</f>
        <v>0.88888888888888884</v>
      </c>
      <c r="BR4" s="279">
        <v>8655000</v>
      </c>
      <c r="BS4" s="270">
        <v>8655000</v>
      </c>
      <c r="BT4" s="398" t="s">
        <v>255</v>
      </c>
      <c r="BU4" s="280" t="s">
        <v>582</v>
      </c>
      <c r="BV4" s="68">
        <v>10</v>
      </c>
      <c r="BW4" s="32">
        <v>9</v>
      </c>
      <c r="BX4" s="33">
        <f>BW4/BV4</f>
        <v>0.9</v>
      </c>
      <c r="BY4" s="275">
        <f>34620000+26400000</f>
        <v>61020000</v>
      </c>
      <c r="BZ4" s="270">
        <v>28850000</v>
      </c>
      <c r="CA4" s="33">
        <f>BZ4/BY4</f>
        <v>0.47279580465421173</v>
      </c>
      <c r="CB4" s="224" t="s">
        <v>991</v>
      </c>
      <c r="CC4" s="200" t="s">
        <v>1042</v>
      </c>
      <c r="CD4" s="68">
        <v>12</v>
      </c>
      <c r="CE4" s="32">
        <v>9</v>
      </c>
      <c r="CF4" s="31">
        <f>CE4/CD4</f>
        <v>0.75</v>
      </c>
      <c r="CG4" s="270">
        <f>28850000+700000+714286+124337067+209114628</f>
        <v>363715981</v>
      </c>
      <c r="CH4" s="55">
        <f>34620000+26400000+700000+714286+40697760+169897310</f>
        <v>273029356</v>
      </c>
      <c r="CI4" s="31">
        <f>CH4/CG4</f>
        <v>0.75066637228678712</v>
      </c>
      <c r="CJ4" s="224" t="s">
        <v>991</v>
      </c>
      <c r="CK4" s="382" t="s">
        <v>1106</v>
      </c>
      <c r="CL4" s="381">
        <v>12</v>
      </c>
      <c r="CM4" s="204">
        <v>9</v>
      </c>
      <c r="CN4" s="732">
        <f>CM4/CL4</f>
        <v>0.75</v>
      </c>
    </row>
    <row r="5" spans="1:93" ht="174.75" customHeight="1" x14ac:dyDescent="0.25">
      <c r="A5" s="509"/>
      <c r="B5" s="498"/>
      <c r="C5" s="500"/>
      <c r="D5" s="496"/>
      <c r="E5" s="398"/>
      <c r="F5" s="47" t="s">
        <v>15</v>
      </c>
      <c r="G5" s="47" t="s">
        <v>424</v>
      </c>
      <c r="H5" s="85" t="s">
        <v>992</v>
      </c>
      <c r="I5" s="47">
        <v>0</v>
      </c>
      <c r="J5" s="47">
        <v>12</v>
      </c>
      <c r="K5" s="398"/>
      <c r="L5" s="398"/>
      <c r="M5" s="398"/>
      <c r="N5" s="398"/>
      <c r="O5" s="398"/>
      <c r="P5" s="398"/>
      <c r="Q5" s="109">
        <v>12</v>
      </c>
      <c r="R5" s="92">
        <v>0</v>
      </c>
      <c r="S5" s="524"/>
      <c r="T5" s="524"/>
      <c r="U5" s="524"/>
      <c r="V5" s="524"/>
      <c r="W5" s="398"/>
      <c r="X5" s="274" t="s">
        <v>495</v>
      </c>
      <c r="Y5" s="92">
        <v>0</v>
      </c>
      <c r="Z5" s="90">
        <v>0</v>
      </c>
      <c r="AA5" s="33">
        <v>1</v>
      </c>
      <c r="AB5" s="275"/>
      <c r="AC5" s="270"/>
      <c r="AD5" s="398"/>
      <c r="AE5" s="276" t="s">
        <v>664</v>
      </c>
      <c r="AF5" s="177">
        <v>4</v>
      </c>
      <c r="AG5" s="85">
        <v>2</v>
      </c>
      <c r="AH5" s="33">
        <v>1</v>
      </c>
      <c r="AI5" s="554"/>
      <c r="AJ5" s="554"/>
      <c r="AK5" s="398"/>
      <c r="AL5" s="192" t="s">
        <v>728</v>
      </c>
      <c r="AM5" s="147">
        <v>4</v>
      </c>
      <c r="AN5" s="68">
        <v>4</v>
      </c>
      <c r="AO5" s="33">
        <v>1</v>
      </c>
      <c r="AP5" s="555"/>
      <c r="AQ5" s="555"/>
      <c r="AR5" s="398"/>
      <c r="AS5" s="163" t="s">
        <v>811</v>
      </c>
      <c r="AT5" s="171">
        <v>4</v>
      </c>
      <c r="AU5" s="125">
        <v>8</v>
      </c>
      <c r="AV5" s="33">
        <v>1</v>
      </c>
      <c r="AW5" s="570"/>
      <c r="AX5" s="570"/>
      <c r="AY5" s="398"/>
      <c r="AZ5" s="163" t="s">
        <v>860</v>
      </c>
      <c r="BA5" s="147">
        <v>8</v>
      </c>
      <c r="BB5" s="125">
        <v>8</v>
      </c>
      <c r="BC5" s="33">
        <v>1</v>
      </c>
      <c r="BD5" s="554"/>
      <c r="BE5" s="554"/>
      <c r="BF5" s="398"/>
      <c r="BG5" s="163" t="s">
        <v>860</v>
      </c>
      <c r="BH5" s="147">
        <v>8</v>
      </c>
      <c r="BI5" s="68">
        <v>7</v>
      </c>
      <c r="BJ5" s="71">
        <f t="shared" ref="BJ5:BJ8" si="0">(BI5/BH5)*1</f>
        <v>0.875</v>
      </c>
      <c r="BK5" s="69" t="s">
        <v>505</v>
      </c>
      <c r="BL5" s="69" t="s">
        <v>506</v>
      </c>
      <c r="BM5" s="491"/>
      <c r="BN5" s="281" t="s">
        <v>507</v>
      </c>
      <c r="BO5" s="278">
        <v>12</v>
      </c>
      <c r="BP5" s="32">
        <v>12</v>
      </c>
      <c r="BQ5" s="33">
        <v>1</v>
      </c>
      <c r="BR5" s="270">
        <v>8655000</v>
      </c>
      <c r="BS5" s="270">
        <v>8655000</v>
      </c>
      <c r="BT5" s="398"/>
      <c r="BU5" s="282" t="s">
        <v>583</v>
      </c>
      <c r="BV5" s="68">
        <v>10</v>
      </c>
      <c r="BW5" s="32">
        <v>0</v>
      </c>
      <c r="BX5" s="33">
        <f>BW5/BV5</f>
        <v>0</v>
      </c>
      <c r="BY5" s="283">
        <v>34620000</v>
      </c>
      <c r="BZ5" s="270">
        <f>28850000+6600000</f>
        <v>35450000</v>
      </c>
      <c r="CA5" s="33">
        <v>1</v>
      </c>
      <c r="CB5" s="85" t="s">
        <v>992</v>
      </c>
      <c r="CC5" s="284" t="s">
        <v>1094</v>
      </c>
      <c r="CD5" s="68">
        <v>12</v>
      </c>
      <c r="CE5" s="32">
        <v>0</v>
      </c>
      <c r="CF5" s="31">
        <f>CE5/CD5</f>
        <v>0</v>
      </c>
      <c r="CG5" s="270">
        <f>28850000+6600000+124337067+209114628</f>
        <v>368901695</v>
      </c>
      <c r="CH5" s="376">
        <f>34620000+40697760+169897310</f>
        <v>245215070</v>
      </c>
      <c r="CI5" s="31">
        <f t="shared" ref="CI5:CI6" si="1">CH5/CG5</f>
        <v>0.66471657171431542</v>
      </c>
      <c r="CJ5" s="85" t="s">
        <v>992</v>
      </c>
      <c r="CK5" s="383" t="s">
        <v>1107</v>
      </c>
      <c r="CL5" s="47">
        <v>12</v>
      </c>
      <c r="CM5" s="32">
        <v>0</v>
      </c>
      <c r="CN5" s="31">
        <f>CM5/CL5</f>
        <v>0</v>
      </c>
    </row>
    <row r="6" spans="1:93" ht="185.25" customHeight="1" x14ac:dyDescent="0.25">
      <c r="A6" s="509"/>
      <c r="B6" s="498"/>
      <c r="C6" s="500"/>
      <c r="D6" s="496"/>
      <c r="E6" s="398"/>
      <c r="F6" s="47" t="s">
        <v>425</v>
      </c>
      <c r="G6" s="47" t="s">
        <v>16</v>
      </c>
      <c r="H6" s="85" t="s">
        <v>993</v>
      </c>
      <c r="I6" s="47" t="s">
        <v>426</v>
      </c>
      <c r="J6" s="61">
        <v>1</v>
      </c>
      <c r="K6" s="398"/>
      <c r="L6" s="398"/>
      <c r="M6" s="398"/>
      <c r="N6" s="398"/>
      <c r="O6" s="398"/>
      <c r="P6" s="398"/>
      <c r="Q6" s="110">
        <v>1</v>
      </c>
      <c r="R6" s="285">
        <v>0.01</v>
      </c>
      <c r="S6" s="524"/>
      <c r="T6" s="524"/>
      <c r="U6" s="524"/>
      <c r="V6" s="524"/>
      <c r="W6" s="398"/>
      <c r="X6" s="274" t="s">
        <v>496</v>
      </c>
      <c r="Y6" s="285">
        <v>0.01</v>
      </c>
      <c r="Z6" s="91">
        <v>0.05</v>
      </c>
      <c r="AA6" s="33">
        <f t="shared" ref="AA6:AA8" si="2">(Z6/Y6)*1</f>
        <v>5</v>
      </c>
      <c r="AB6" s="275"/>
      <c r="AC6" s="270"/>
      <c r="AD6" s="398"/>
      <c r="AE6" s="276" t="s">
        <v>664</v>
      </c>
      <c r="AF6" s="177">
        <v>5</v>
      </c>
      <c r="AG6" s="85">
        <v>5</v>
      </c>
      <c r="AH6" s="33">
        <f t="shared" ref="AH6:AH8" si="3">(AG6/AF6)*1</f>
        <v>1</v>
      </c>
      <c r="AI6" s="554"/>
      <c r="AJ6" s="554"/>
      <c r="AK6" s="398"/>
      <c r="AL6" s="192" t="s">
        <v>729</v>
      </c>
      <c r="AM6" s="164">
        <v>1</v>
      </c>
      <c r="AN6" s="118">
        <v>1</v>
      </c>
      <c r="AO6" s="33">
        <f t="shared" ref="AO6:AO8" si="4">(AN6/AM6)*1</f>
        <v>1</v>
      </c>
      <c r="AP6" s="555"/>
      <c r="AQ6" s="555"/>
      <c r="AR6" s="398"/>
      <c r="AS6" s="172" t="s">
        <v>812</v>
      </c>
      <c r="AT6" s="171">
        <v>100</v>
      </c>
      <c r="AU6" s="125">
        <v>100</v>
      </c>
      <c r="AV6" s="33">
        <f t="shared" ref="AV6:AV8" si="5">(AU6/AT6)*1</f>
        <v>1</v>
      </c>
      <c r="AW6" s="570"/>
      <c r="AX6" s="570"/>
      <c r="AY6" s="398"/>
      <c r="AZ6" s="172" t="s">
        <v>861</v>
      </c>
      <c r="BA6" s="164">
        <v>1</v>
      </c>
      <c r="BB6" s="286">
        <v>0.75</v>
      </c>
      <c r="BC6" s="33">
        <f t="shared" ref="BC6:BC8" si="6">(BB6/BA6)*1</f>
        <v>0.75</v>
      </c>
      <c r="BD6" s="554"/>
      <c r="BE6" s="554"/>
      <c r="BF6" s="398"/>
      <c r="BG6" s="110" t="s">
        <v>932</v>
      </c>
      <c r="BH6" s="179">
        <v>1</v>
      </c>
      <c r="BI6" s="71">
        <v>1</v>
      </c>
      <c r="BJ6" s="71">
        <f t="shared" si="0"/>
        <v>1</v>
      </c>
      <c r="BK6" s="14"/>
      <c r="BL6" s="69"/>
      <c r="BM6" s="491"/>
      <c r="BN6" s="287" t="s">
        <v>508</v>
      </c>
      <c r="BO6" s="288">
        <v>1</v>
      </c>
      <c r="BP6" s="33">
        <v>1</v>
      </c>
      <c r="BQ6" s="33">
        <f t="shared" ref="BQ6:BQ8" si="7">(BP6/BO6)*1</f>
        <v>1</v>
      </c>
      <c r="BR6" s="289">
        <v>8655000</v>
      </c>
      <c r="BS6" s="270">
        <v>8655000</v>
      </c>
      <c r="BT6" s="398"/>
      <c r="BU6" s="290" t="s">
        <v>584</v>
      </c>
      <c r="BV6" s="118">
        <v>1</v>
      </c>
      <c r="BW6" s="33">
        <v>1</v>
      </c>
      <c r="BX6" s="33">
        <f t="shared" ref="BX6:BX7" si="8">(BW6/BV6)*1</f>
        <v>1</v>
      </c>
      <c r="BY6" s="275">
        <v>34620000</v>
      </c>
      <c r="BZ6" s="270">
        <v>28850000</v>
      </c>
      <c r="CA6" s="33">
        <f>BZ6/BY6</f>
        <v>0.83333333333333337</v>
      </c>
      <c r="CB6" s="85" t="s">
        <v>993</v>
      </c>
      <c r="CC6" s="291" t="s">
        <v>1043</v>
      </c>
      <c r="CD6" s="292">
        <v>1</v>
      </c>
      <c r="CE6" s="33">
        <v>1</v>
      </c>
      <c r="CF6" s="34">
        <f t="shared" ref="CF6:CF7" si="9">(CE6/CD6)*1</f>
        <v>1</v>
      </c>
      <c r="CG6" s="270">
        <f>28850000+124337067</f>
        <v>153187067</v>
      </c>
      <c r="CH6" s="55">
        <f>34620000+40697760</f>
        <v>75317760</v>
      </c>
      <c r="CI6" s="31">
        <f t="shared" si="1"/>
        <v>0.49167179367694269</v>
      </c>
      <c r="CJ6" s="85" t="s">
        <v>993</v>
      </c>
      <c r="CK6" s="384" t="s">
        <v>1108</v>
      </c>
      <c r="CL6" s="61">
        <v>1</v>
      </c>
      <c r="CM6" s="33">
        <v>1</v>
      </c>
      <c r="CN6" s="34">
        <f>CM6/CL6</f>
        <v>1</v>
      </c>
    </row>
    <row r="7" spans="1:93" ht="64.5" customHeight="1" x14ac:dyDescent="0.25">
      <c r="A7" s="509"/>
      <c r="B7" s="498"/>
      <c r="C7" s="500"/>
      <c r="D7" s="496" t="s">
        <v>17</v>
      </c>
      <c r="E7" s="398" t="s">
        <v>18</v>
      </c>
      <c r="F7" s="47" t="s">
        <v>19</v>
      </c>
      <c r="G7" s="47" t="s">
        <v>427</v>
      </c>
      <c r="H7" s="85" t="s">
        <v>994</v>
      </c>
      <c r="I7" s="47">
        <v>0</v>
      </c>
      <c r="J7" s="47">
        <v>1</v>
      </c>
      <c r="K7" s="398"/>
      <c r="L7" s="398"/>
      <c r="M7" s="398"/>
      <c r="N7" s="398"/>
      <c r="O7" s="398"/>
      <c r="P7" s="398"/>
      <c r="Q7" s="293">
        <v>1</v>
      </c>
      <c r="R7" s="92">
        <v>1</v>
      </c>
      <c r="S7" s="524"/>
      <c r="T7" s="524"/>
      <c r="U7" s="524"/>
      <c r="V7" s="524"/>
      <c r="W7" s="398" t="s">
        <v>255</v>
      </c>
      <c r="X7" s="274" t="s">
        <v>497</v>
      </c>
      <c r="Y7" s="92">
        <v>1</v>
      </c>
      <c r="Z7" s="90">
        <v>1</v>
      </c>
      <c r="AA7" s="33">
        <f t="shared" si="2"/>
        <v>1</v>
      </c>
      <c r="AB7" s="521"/>
      <c r="AC7" s="521"/>
      <c r="AD7" s="398" t="s">
        <v>255</v>
      </c>
      <c r="AE7" s="276" t="s">
        <v>665</v>
      </c>
      <c r="AF7" s="177">
        <v>1</v>
      </c>
      <c r="AG7" s="85">
        <v>1</v>
      </c>
      <c r="AH7" s="33">
        <f t="shared" si="3"/>
        <v>1</v>
      </c>
      <c r="AI7" s="554" t="s">
        <v>694</v>
      </c>
      <c r="AJ7" s="554" t="s">
        <v>695</v>
      </c>
      <c r="AK7" s="398" t="s">
        <v>255</v>
      </c>
      <c r="AL7" s="192" t="s">
        <v>730</v>
      </c>
      <c r="AM7" s="147">
        <v>1</v>
      </c>
      <c r="AN7" s="68">
        <v>1</v>
      </c>
      <c r="AO7" s="33">
        <f t="shared" si="4"/>
        <v>1</v>
      </c>
      <c r="AP7" s="555" t="s">
        <v>782</v>
      </c>
      <c r="AQ7" s="555" t="s">
        <v>783</v>
      </c>
      <c r="AR7" s="398" t="s">
        <v>255</v>
      </c>
      <c r="AS7" s="163" t="s">
        <v>813</v>
      </c>
      <c r="AT7" s="171">
        <v>1</v>
      </c>
      <c r="AU7" s="125">
        <v>1</v>
      </c>
      <c r="AV7" s="33">
        <f t="shared" si="5"/>
        <v>1</v>
      </c>
      <c r="AW7" s="573">
        <v>25000000</v>
      </c>
      <c r="AX7" s="676">
        <v>23933333</v>
      </c>
      <c r="AY7" s="398" t="s">
        <v>255</v>
      </c>
      <c r="AZ7" s="163" t="s">
        <v>862</v>
      </c>
      <c r="BA7" s="147">
        <v>1</v>
      </c>
      <c r="BB7" s="125">
        <v>1</v>
      </c>
      <c r="BC7" s="33">
        <f t="shared" si="6"/>
        <v>1</v>
      </c>
      <c r="BD7" s="554"/>
      <c r="BE7" s="554"/>
      <c r="BF7" s="398" t="s">
        <v>255</v>
      </c>
      <c r="BG7" s="163" t="s">
        <v>933</v>
      </c>
      <c r="BH7" s="294">
        <v>1</v>
      </c>
      <c r="BI7" s="72">
        <v>1</v>
      </c>
      <c r="BJ7" s="71">
        <f t="shared" si="0"/>
        <v>1</v>
      </c>
      <c r="BK7" s="554"/>
      <c r="BL7" s="554"/>
      <c r="BM7" s="491" t="s">
        <v>255</v>
      </c>
      <c r="BN7" s="578" t="s">
        <v>509</v>
      </c>
      <c r="BO7" s="295">
        <v>1</v>
      </c>
      <c r="BP7" s="35">
        <v>1</v>
      </c>
      <c r="BQ7" s="33">
        <f t="shared" si="7"/>
        <v>1</v>
      </c>
      <c r="BR7" s="521">
        <v>8655000</v>
      </c>
      <c r="BS7" s="521">
        <v>8655000</v>
      </c>
      <c r="BT7" s="398" t="s">
        <v>255</v>
      </c>
      <c r="BU7" s="280" t="s">
        <v>585</v>
      </c>
      <c r="BV7" s="85">
        <v>1</v>
      </c>
      <c r="BW7" s="35">
        <v>1</v>
      </c>
      <c r="BX7" s="33">
        <f t="shared" si="8"/>
        <v>1</v>
      </c>
      <c r="BY7" s="403">
        <v>0</v>
      </c>
      <c r="BZ7" s="403">
        <v>0</v>
      </c>
      <c r="CA7" s="33">
        <v>0</v>
      </c>
      <c r="CB7" s="85" t="s">
        <v>994</v>
      </c>
      <c r="CC7" s="200" t="s">
        <v>1044</v>
      </c>
      <c r="CD7" s="68">
        <v>1</v>
      </c>
      <c r="CE7" s="35">
        <v>1</v>
      </c>
      <c r="CF7" s="34">
        <f t="shared" si="9"/>
        <v>1</v>
      </c>
      <c r="CG7" s="403">
        <f>714286+124337067+40000000</f>
        <v>165051353</v>
      </c>
      <c r="CH7" s="403">
        <f>714286+40697760+20000000</f>
        <v>61412046</v>
      </c>
      <c r="CI7" s="494">
        <f>CH7/CG7</f>
        <v>0.37207841610362319</v>
      </c>
      <c r="CJ7" s="85" t="s">
        <v>994</v>
      </c>
      <c r="CK7" s="385" t="s">
        <v>1109</v>
      </c>
      <c r="CL7" s="47">
        <v>1</v>
      </c>
      <c r="CM7" s="35">
        <v>1</v>
      </c>
      <c r="CN7" s="34">
        <f>CM7/CL7</f>
        <v>1</v>
      </c>
    </row>
    <row r="8" spans="1:93" ht="180.75" customHeight="1" x14ac:dyDescent="0.25">
      <c r="A8" s="509"/>
      <c r="B8" s="498"/>
      <c r="C8" s="500"/>
      <c r="D8" s="496"/>
      <c r="E8" s="398"/>
      <c r="F8" s="47" t="s">
        <v>20</v>
      </c>
      <c r="G8" s="47" t="s">
        <v>21</v>
      </c>
      <c r="H8" s="85" t="s">
        <v>991</v>
      </c>
      <c r="I8" s="47" t="s">
        <v>994</v>
      </c>
      <c r="J8" s="47">
        <v>12</v>
      </c>
      <c r="K8" s="398"/>
      <c r="L8" s="398"/>
      <c r="M8" s="398"/>
      <c r="N8" s="398"/>
      <c r="O8" s="398"/>
      <c r="P8" s="398"/>
      <c r="Q8" s="109">
        <v>12</v>
      </c>
      <c r="R8" s="660">
        <v>3</v>
      </c>
      <c r="S8" s="524"/>
      <c r="T8" s="524"/>
      <c r="U8" s="524"/>
      <c r="V8" s="524"/>
      <c r="W8" s="398"/>
      <c r="X8" s="529" t="s">
        <v>498</v>
      </c>
      <c r="Y8" s="660">
        <v>3</v>
      </c>
      <c r="Z8" s="90">
        <v>2</v>
      </c>
      <c r="AA8" s="33">
        <f t="shared" si="2"/>
        <v>0.66666666666666663</v>
      </c>
      <c r="AB8" s="521"/>
      <c r="AC8" s="521"/>
      <c r="AD8" s="398"/>
      <c r="AE8" s="276" t="s">
        <v>666</v>
      </c>
      <c r="AF8" s="177">
        <v>12</v>
      </c>
      <c r="AG8" s="85">
        <v>12</v>
      </c>
      <c r="AH8" s="33">
        <f t="shared" si="3"/>
        <v>1</v>
      </c>
      <c r="AI8" s="554"/>
      <c r="AJ8" s="554"/>
      <c r="AK8" s="398"/>
      <c r="AL8" s="192" t="s">
        <v>731</v>
      </c>
      <c r="AM8" s="147">
        <v>12</v>
      </c>
      <c r="AN8" s="68">
        <v>12</v>
      </c>
      <c r="AO8" s="33">
        <f t="shared" si="4"/>
        <v>1</v>
      </c>
      <c r="AP8" s="555"/>
      <c r="AQ8" s="555"/>
      <c r="AR8" s="398"/>
      <c r="AS8" s="163" t="s">
        <v>814</v>
      </c>
      <c r="AT8" s="171">
        <v>12</v>
      </c>
      <c r="AU8" s="125">
        <v>12</v>
      </c>
      <c r="AV8" s="33">
        <f t="shared" si="5"/>
        <v>1</v>
      </c>
      <c r="AW8" s="573"/>
      <c r="AX8" s="570"/>
      <c r="AY8" s="398"/>
      <c r="AZ8" s="163" t="s">
        <v>863</v>
      </c>
      <c r="BA8" s="147">
        <v>12</v>
      </c>
      <c r="BB8" s="125">
        <v>12</v>
      </c>
      <c r="BC8" s="33">
        <f t="shared" si="6"/>
        <v>1</v>
      </c>
      <c r="BD8" s="554"/>
      <c r="BE8" s="554"/>
      <c r="BF8" s="398"/>
      <c r="BG8" s="163" t="s">
        <v>863</v>
      </c>
      <c r="BH8" s="147">
        <v>12</v>
      </c>
      <c r="BI8" s="68">
        <v>11</v>
      </c>
      <c r="BJ8" s="71">
        <f t="shared" si="0"/>
        <v>0.91666666666666663</v>
      </c>
      <c r="BK8" s="554"/>
      <c r="BL8" s="554"/>
      <c r="BM8" s="491"/>
      <c r="BN8" s="578"/>
      <c r="BO8" s="278">
        <v>11</v>
      </c>
      <c r="BP8" s="32">
        <v>11</v>
      </c>
      <c r="BQ8" s="33">
        <f t="shared" si="7"/>
        <v>1</v>
      </c>
      <c r="BR8" s="521"/>
      <c r="BS8" s="521"/>
      <c r="BT8" s="398"/>
      <c r="BU8" s="280" t="s">
        <v>586</v>
      </c>
      <c r="BV8" s="68">
        <v>11</v>
      </c>
      <c r="BW8" s="32">
        <v>11</v>
      </c>
      <c r="BX8" s="33">
        <v>1</v>
      </c>
      <c r="BY8" s="405"/>
      <c r="BZ8" s="405"/>
      <c r="CA8" s="33">
        <v>0</v>
      </c>
      <c r="CB8" s="85" t="s">
        <v>991</v>
      </c>
      <c r="CC8" s="296" t="s">
        <v>1045</v>
      </c>
      <c r="CD8" s="68">
        <v>12</v>
      </c>
      <c r="CE8" s="32">
        <v>12</v>
      </c>
      <c r="CF8" s="34">
        <v>1</v>
      </c>
      <c r="CG8" s="405"/>
      <c r="CH8" s="405"/>
      <c r="CI8" s="495"/>
      <c r="CJ8" s="85" t="s">
        <v>991</v>
      </c>
      <c r="CK8" s="386" t="s">
        <v>1110</v>
      </c>
      <c r="CL8" s="47">
        <v>12</v>
      </c>
      <c r="CM8" s="32">
        <v>12</v>
      </c>
      <c r="CN8" s="239">
        <f>CM8/CL8</f>
        <v>1</v>
      </c>
    </row>
    <row r="9" spans="1:93" ht="47.25" customHeight="1" x14ac:dyDescent="0.25">
      <c r="A9" s="509"/>
      <c r="B9" s="498"/>
      <c r="C9" s="500"/>
      <c r="D9" s="496" t="s">
        <v>22</v>
      </c>
      <c r="E9" s="398" t="s">
        <v>23</v>
      </c>
      <c r="F9" s="464" t="s">
        <v>24</v>
      </c>
      <c r="G9" s="464" t="s">
        <v>25</v>
      </c>
      <c r="H9" s="491" t="s">
        <v>995</v>
      </c>
      <c r="I9" s="398">
        <v>0</v>
      </c>
      <c r="J9" s="432">
        <v>0.35</v>
      </c>
      <c r="K9" s="398" t="s">
        <v>295</v>
      </c>
      <c r="L9" s="398" t="s">
        <v>379</v>
      </c>
      <c r="M9" s="398" t="s">
        <v>367</v>
      </c>
      <c r="N9" s="398" t="s">
        <v>450</v>
      </c>
      <c r="O9" s="398" t="s">
        <v>368</v>
      </c>
      <c r="P9" s="398" t="s">
        <v>399</v>
      </c>
      <c r="Q9" s="527">
        <v>0.35</v>
      </c>
      <c r="R9" s="660"/>
      <c r="S9" s="525"/>
      <c r="T9" s="525"/>
      <c r="U9" s="525"/>
      <c r="V9" s="525"/>
      <c r="W9" s="398" t="s">
        <v>279</v>
      </c>
      <c r="X9" s="529"/>
      <c r="Y9" s="660"/>
      <c r="Z9" s="91">
        <v>0.03</v>
      </c>
      <c r="AA9" s="438">
        <v>0</v>
      </c>
      <c r="AB9" s="521"/>
      <c r="AC9" s="521"/>
      <c r="AD9" s="398" t="s">
        <v>279</v>
      </c>
      <c r="AE9" s="276" t="s">
        <v>667</v>
      </c>
      <c r="AF9" s="546">
        <v>0.13</v>
      </c>
      <c r="AG9" s="556">
        <v>0.13</v>
      </c>
      <c r="AH9" s="438">
        <v>0</v>
      </c>
      <c r="AI9" s="554" t="s">
        <v>696</v>
      </c>
      <c r="AJ9" s="554" t="s">
        <v>697</v>
      </c>
      <c r="AK9" s="398" t="s">
        <v>279</v>
      </c>
      <c r="AL9" s="557" t="s">
        <v>732</v>
      </c>
      <c r="AM9" s="558">
        <v>0.13</v>
      </c>
      <c r="AN9" s="456">
        <v>0</v>
      </c>
      <c r="AO9" s="438">
        <v>0</v>
      </c>
      <c r="AP9" s="554" t="s">
        <v>784</v>
      </c>
      <c r="AQ9" s="554" t="s">
        <v>785</v>
      </c>
      <c r="AR9" s="398" t="s">
        <v>279</v>
      </c>
      <c r="AS9" s="553" t="s">
        <v>815</v>
      </c>
      <c r="AT9" s="567">
        <v>0.15</v>
      </c>
      <c r="AU9" s="569">
        <v>0.15</v>
      </c>
      <c r="AV9" s="438">
        <v>0</v>
      </c>
      <c r="AW9" s="571" t="s">
        <v>855</v>
      </c>
      <c r="AX9" s="572" t="s">
        <v>856</v>
      </c>
      <c r="AY9" s="398" t="s">
        <v>279</v>
      </c>
      <c r="AZ9" s="553" t="s">
        <v>864</v>
      </c>
      <c r="BA9" s="545">
        <v>1</v>
      </c>
      <c r="BB9" s="491" t="s">
        <v>915</v>
      </c>
      <c r="BC9" s="438">
        <v>0</v>
      </c>
      <c r="BD9" s="554">
        <v>34750000</v>
      </c>
      <c r="BE9" s="554">
        <v>25081000</v>
      </c>
      <c r="BF9" s="398" t="s">
        <v>279</v>
      </c>
      <c r="BG9" s="557" t="s">
        <v>934</v>
      </c>
      <c r="BH9" s="593">
        <v>8.7499999999999994E-2</v>
      </c>
      <c r="BI9" s="491">
        <v>0</v>
      </c>
      <c r="BJ9" s="592">
        <v>0</v>
      </c>
      <c r="BK9" s="554"/>
      <c r="BL9" s="554"/>
      <c r="BM9" s="491" t="s">
        <v>279</v>
      </c>
      <c r="BN9" s="578" t="s">
        <v>510</v>
      </c>
      <c r="BO9" s="594">
        <v>8.7499999999999994E-2</v>
      </c>
      <c r="BP9" s="398">
        <v>0</v>
      </c>
      <c r="BQ9" s="438">
        <v>0</v>
      </c>
      <c r="BR9" s="521" t="s">
        <v>587</v>
      </c>
      <c r="BS9" s="521" t="s">
        <v>588</v>
      </c>
      <c r="BT9" s="398" t="s">
        <v>279</v>
      </c>
      <c r="BU9" s="532" t="s">
        <v>589</v>
      </c>
      <c r="BV9" s="456" t="s">
        <v>978</v>
      </c>
      <c r="BW9" s="398">
        <v>0</v>
      </c>
      <c r="BX9" s="438">
        <v>0</v>
      </c>
      <c r="BY9" s="403">
        <v>0</v>
      </c>
      <c r="BZ9" s="403">
        <v>0</v>
      </c>
      <c r="CA9" s="629">
        <v>0</v>
      </c>
      <c r="CB9" s="491" t="s">
        <v>995</v>
      </c>
      <c r="CC9" s="625" t="s">
        <v>1079</v>
      </c>
      <c r="CD9" s="456" t="s">
        <v>978</v>
      </c>
      <c r="CE9" s="464">
        <v>0</v>
      </c>
      <c r="CF9" s="462">
        <v>0</v>
      </c>
      <c r="CG9" s="421">
        <v>0</v>
      </c>
      <c r="CH9" s="421">
        <v>0</v>
      </c>
      <c r="CI9" s="451">
        <v>0</v>
      </c>
      <c r="CJ9" s="491" t="s">
        <v>995</v>
      </c>
      <c r="CK9" s="454" t="s">
        <v>1111</v>
      </c>
      <c r="CL9" s="432">
        <v>0.35</v>
      </c>
      <c r="CM9" s="712">
        <v>0</v>
      </c>
      <c r="CN9" s="462">
        <v>0</v>
      </c>
    </row>
    <row r="10" spans="1:93" ht="57.75" customHeight="1" x14ac:dyDescent="0.25">
      <c r="A10" s="509"/>
      <c r="B10" s="498"/>
      <c r="C10" s="500"/>
      <c r="D10" s="496"/>
      <c r="E10" s="398"/>
      <c r="F10" s="464"/>
      <c r="G10" s="464"/>
      <c r="H10" s="491"/>
      <c r="I10" s="398"/>
      <c r="J10" s="432"/>
      <c r="K10" s="398"/>
      <c r="L10" s="398"/>
      <c r="M10" s="398"/>
      <c r="N10" s="398"/>
      <c r="O10" s="398"/>
      <c r="P10" s="398"/>
      <c r="Q10" s="527"/>
      <c r="R10" s="92">
        <v>0</v>
      </c>
      <c r="S10" s="530"/>
      <c r="T10" s="530"/>
      <c r="U10" s="530"/>
      <c r="V10" s="530"/>
      <c r="W10" s="398"/>
      <c r="X10" s="274"/>
      <c r="Y10" s="92">
        <v>0</v>
      </c>
      <c r="Z10" s="90"/>
      <c r="AA10" s="438"/>
      <c r="AB10" s="521"/>
      <c r="AC10" s="521"/>
      <c r="AD10" s="398"/>
      <c r="AE10" s="276" t="s">
        <v>668</v>
      </c>
      <c r="AF10" s="546"/>
      <c r="AG10" s="556"/>
      <c r="AH10" s="438"/>
      <c r="AI10" s="554"/>
      <c r="AJ10" s="554"/>
      <c r="AK10" s="398"/>
      <c r="AL10" s="557"/>
      <c r="AM10" s="559"/>
      <c r="AN10" s="456"/>
      <c r="AO10" s="438"/>
      <c r="AP10" s="555" t="s">
        <v>786</v>
      </c>
      <c r="AQ10" s="555" t="s">
        <v>787</v>
      </c>
      <c r="AR10" s="398"/>
      <c r="AS10" s="553" t="s">
        <v>816</v>
      </c>
      <c r="AT10" s="568"/>
      <c r="AU10" s="570"/>
      <c r="AV10" s="438"/>
      <c r="AW10" s="570"/>
      <c r="AX10" s="573"/>
      <c r="AY10" s="398"/>
      <c r="AZ10" s="553" t="s">
        <v>816</v>
      </c>
      <c r="BA10" s="545"/>
      <c r="BB10" s="491"/>
      <c r="BC10" s="438"/>
      <c r="BD10" s="554"/>
      <c r="BE10" s="554"/>
      <c r="BF10" s="398"/>
      <c r="BG10" s="557"/>
      <c r="BH10" s="593"/>
      <c r="BI10" s="491"/>
      <c r="BJ10" s="592"/>
      <c r="BK10" s="554"/>
      <c r="BL10" s="554"/>
      <c r="BM10" s="491"/>
      <c r="BN10" s="578"/>
      <c r="BO10" s="594"/>
      <c r="BP10" s="398"/>
      <c r="BQ10" s="438"/>
      <c r="BR10" s="521"/>
      <c r="BS10" s="521"/>
      <c r="BT10" s="398"/>
      <c r="BU10" s="532"/>
      <c r="BV10" s="456"/>
      <c r="BW10" s="398"/>
      <c r="BX10" s="438"/>
      <c r="BY10" s="404"/>
      <c r="BZ10" s="404"/>
      <c r="CA10" s="631"/>
      <c r="CB10" s="491"/>
      <c r="CC10" s="632"/>
      <c r="CD10" s="456"/>
      <c r="CE10" s="464"/>
      <c r="CF10" s="462"/>
      <c r="CG10" s="442"/>
      <c r="CH10" s="442"/>
      <c r="CI10" s="489"/>
      <c r="CJ10" s="491"/>
      <c r="CK10" s="435"/>
      <c r="CL10" s="432"/>
      <c r="CM10" s="713"/>
      <c r="CN10" s="462"/>
    </row>
    <row r="11" spans="1:93" ht="52.5" customHeight="1" thickBot="1" x14ac:dyDescent="0.3">
      <c r="A11" s="509"/>
      <c r="B11" s="498"/>
      <c r="C11" s="500"/>
      <c r="D11" s="496"/>
      <c r="E11" s="398"/>
      <c r="F11" s="464"/>
      <c r="G11" s="464"/>
      <c r="H11" s="492"/>
      <c r="I11" s="398"/>
      <c r="J11" s="432"/>
      <c r="K11" s="398"/>
      <c r="L11" s="398"/>
      <c r="M11" s="398"/>
      <c r="N11" s="398"/>
      <c r="O11" s="398"/>
      <c r="P11" s="398"/>
      <c r="Q11" s="527"/>
      <c r="R11" s="92" t="s">
        <v>41</v>
      </c>
      <c r="S11" s="525"/>
      <c r="T11" s="525"/>
      <c r="U11" s="525"/>
      <c r="V11" s="525"/>
      <c r="W11" s="398"/>
      <c r="X11" s="274"/>
      <c r="Y11" s="92" t="s">
        <v>41</v>
      </c>
      <c r="Z11" s="90" t="s">
        <v>37</v>
      </c>
      <c r="AA11" s="438"/>
      <c r="AB11" s="521"/>
      <c r="AC11" s="521"/>
      <c r="AD11" s="398"/>
      <c r="AE11" s="276" t="s">
        <v>668</v>
      </c>
      <c r="AF11" s="546"/>
      <c r="AG11" s="556"/>
      <c r="AH11" s="438"/>
      <c r="AI11" s="554"/>
      <c r="AJ11" s="554"/>
      <c r="AK11" s="398"/>
      <c r="AL11" s="557"/>
      <c r="AM11" s="559"/>
      <c r="AN11" s="456"/>
      <c r="AO11" s="438"/>
      <c r="AP11" s="555" t="s">
        <v>786</v>
      </c>
      <c r="AQ11" s="555" t="s">
        <v>787</v>
      </c>
      <c r="AR11" s="398"/>
      <c r="AS11" s="553" t="s">
        <v>816</v>
      </c>
      <c r="AT11" s="568"/>
      <c r="AU11" s="570"/>
      <c r="AV11" s="438"/>
      <c r="AW11" s="570"/>
      <c r="AX11" s="573"/>
      <c r="AY11" s="398"/>
      <c r="AZ11" s="553" t="s">
        <v>816</v>
      </c>
      <c r="BA11" s="545"/>
      <c r="BB11" s="491"/>
      <c r="BC11" s="438"/>
      <c r="BD11" s="554"/>
      <c r="BE11" s="554"/>
      <c r="BF11" s="398"/>
      <c r="BG11" s="557"/>
      <c r="BH11" s="593"/>
      <c r="BI11" s="491"/>
      <c r="BJ11" s="592"/>
      <c r="BK11" s="554"/>
      <c r="BL11" s="554"/>
      <c r="BM11" s="491"/>
      <c r="BN11" s="578"/>
      <c r="BO11" s="594"/>
      <c r="BP11" s="398"/>
      <c r="BQ11" s="438"/>
      <c r="BR11" s="521"/>
      <c r="BS11" s="521"/>
      <c r="BT11" s="398"/>
      <c r="BU11" s="532"/>
      <c r="BV11" s="456"/>
      <c r="BW11" s="398"/>
      <c r="BX11" s="438"/>
      <c r="BY11" s="404"/>
      <c r="BZ11" s="404"/>
      <c r="CA11" s="721"/>
      <c r="CB11" s="492"/>
      <c r="CC11" s="633"/>
      <c r="CD11" s="456"/>
      <c r="CE11" s="464"/>
      <c r="CF11" s="462"/>
      <c r="CG11" s="442"/>
      <c r="CH11" s="442"/>
      <c r="CI11" s="490"/>
      <c r="CJ11" s="492"/>
      <c r="CK11" s="493"/>
      <c r="CL11" s="432"/>
      <c r="CM11" s="714"/>
      <c r="CN11" s="462"/>
    </row>
    <row r="12" spans="1:93" ht="165.75" customHeight="1" x14ac:dyDescent="0.25">
      <c r="A12" s="507" t="s">
        <v>26</v>
      </c>
      <c r="B12" s="398" t="s">
        <v>27</v>
      </c>
      <c r="C12" s="505" t="s">
        <v>28</v>
      </c>
      <c r="D12" s="111" t="s">
        <v>29</v>
      </c>
      <c r="E12" s="47" t="s">
        <v>30</v>
      </c>
      <c r="F12" s="47" t="s">
        <v>31</v>
      </c>
      <c r="G12" s="47" t="s">
        <v>32</v>
      </c>
      <c r="H12" s="224" t="s">
        <v>996</v>
      </c>
      <c r="I12" s="47" t="s">
        <v>33</v>
      </c>
      <c r="J12" s="47" t="s">
        <v>34</v>
      </c>
      <c r="K12" s="47" t="s">
        <v>295</v>
      </c>
      <c r="L12" s="47" t="s">
        <v>380</v>
      </c>
      <c r="M12" s="47" t="s">
        <v>296</v>
      </c>
      <c r="N12" s="47" t="s">
        <v>428</v>
      </c>
      <c r="O12" s="47" t="s">
        <v>297</v>
      </c>
      <c r="P12" s="47" t="s">
        <v>398</v>
      </c>
      <c r="Q12" s="109" t="s">
        <v>34</v>
      </c>
      <c r="R12" s="285" t="s">
        <v>41</v>
      </c>
      <c r="S12" s="525"/>
      <c r="T12" s="525"/>
      <c r="U12" s="525"/>
      <c r="V12" s="525"/>
      <c r="W12" s="398" t="s">
        <v>278</v>
      </c>
      <c r="X12" s="297"/>
      <c r="Y12" s="285" t="s">
        <v>41</v>
      </c>
      <c r="Z12" s="91" t="s">
        <v>37</v>
      </c>
      <c r="AA12" s="256">
        <v>0.77</v>
      </c>
      <c r="AB12" s="270"/>
      <c r="AC12" s="270"/>
      <c r="AD12" s="398" t="s">
        <v>278</v>
      </c>
      <c r="AE12" s="298" t="s">
        <v>669</v>
      </c>
      <c r="AF12" s="299">
        <v>0.125</v>
      </c>
      <c r="AG12" s="292">
        <v>0.22</v>
      </c>
      <c r="AH12" s="256">
        <v>0.64449999999999996</v>
      </c>
      <c r="AI12" s="554" t="s">
        <v>698</v>
      </c>
      <c r="AJ12" s="554" t="s">
        <v>699</v>
      </c>
      <c r="AK12" s="398" t="s">
        <v>278</v>
      </c>
      <c r="AL12" s="192" t="s">
        <v>733</v>
      </c>
      <c r="AM12" s="300">
        <v>0.12</v>
      </c>
      <c r="AN12" s="301">
        <v>0.22</v>
      </c>
      <c r="AO12" s="256">
        <v>0.77</v>
      </c>
      <c r="AP12" s="554" t="s">
        <v>788</v>
      </c>
      <c r="AQ12" s="554" t="s">
        <v>789</v>
      </c>
      <c r="AR12" s="398" t="s">
        <v>278</v>
      </c>
      <c r="AS12" s="665" t="s">
        <v>817</v>
      </c>
      <c r="AT12" s="302">
        <v>0.11700000000000001</v>
      </c>
      <c r="AU12" s="303">
        <v>0.18</v>
      </c>
      <c r="AV12" s="256">
        <v>0.64449999999999996</v>
      </c>
      <c r="AW12" s="181" t="s">
        <v>856</v>
      </c>
      <c r="AX12" s="181" t="s">
        <v>856</v>
      </c>
      <c r="AY12" s="398" t="s">
        <v>278</v>
      </c>
      <c r="AZ12" s="304" t="s">
        <v>865</v>
      </c>
      <c r="BA12" s="299">
        <v>0.17499999999999999</v>
      </c>
      <c r="BB12" s="292">
        <v>0.21</v>
      </c>
      <c r="BC12" s="256">
        <v>0.77</v>
      </c>
      <c r="BD12" s="554" t="s">
        <v>921</v>
      </c>
      <c r="BE12" s="554" t="s">
        <v>922</v>
      </c>
      <c r="BF12" s="398" t="s">
        <v>278</v>
      </c>
      <c r="BG12" s="305" t="s">
        <v>935</v>
      </c>
      <c r="BH12" s="299" t="s">
        <v>403</v>
      </c>
      <c r="BI12" s="263">
        <v>35.299999999999997</v>
      </c>
      <c r="BJ12" s="14">
        <v>0</v>
      </c>
      <c r="BK12" s="69"/>
      <c r="BL12" s="69"/>
      <c r="BM12" s="491" t="s">
        <v>278</v>
      </c>
      <c r="BN12" s="281" t="s">
        <v>511</v>
      </c>
      <c r="BO12" s="306" t="s">
        <v>403</v>
      </c>
      <c r="BP12" s="307" t="s">
        <v>421</v>
      </c>
      <c r="BQ12" s="256">
        <v>0.64449999999999996</v>
      </c>
      <c r="BR12" s="270">
        <v>0</v>
      </c>
      <c r="BS12" s="270">
        <v>0</v>
      </c>
      <c r="BT12" s="398" t="s">
        <v>278</v>
      </c>
      <c r="BU12" s="308" t="s">
        <v>590</v>
      </c>
      <c r="BV12" s="118">
        <v>0.13</v>
      </c>
      <c r="BW12" s="307" t="s">
        <v>463</v>
      </c>
      <c r="BX12" s="256">
        <v>0.4</v>
      </c>
      <c r="BY12" s="270">
        <f>8380975+175942526+66232642475</f>
        <v>66416965976</v>
      </c>
      <c r="BZ12" s="270">
        <f>6285731+
140457526+66232642475</f>
        <v>66379385732</v>
      </c>
      <c r="CA12" s="309">
        <f>BZ12/BY12</f>
        <v>0.9994341770442573</v>
      </c>
      <c r="CB12" s="224" t="s">
        <v>996</v>
      </c>
      <c r="CC12" s="310" t="s">
        <v>1080</v>
      </c>
      <c r="CD12" s="68" t="s">
        <v>1101</v>
      </c>
      <c r="CE12" s="38">
        <v>0.20499999999999999</v>
      </c>
      <c r="CF12" s="264">
        <v>0.33300000000000002</v>
      </c>
      <c r="CG12" s="55">
        <f>358000000+8380975+175942526+66232642475+240328965+358000000+1724800+11200000+737000000</f>
        <v>68123219741</v>
      </c>
      <c r="CH12" s="55">
        <f>6285731+358000000+1724800+11200000+
140457526+66232642475+387567781+588301852</f>
        <v>67726180165</v>
      </c>
      <c r="CI12" s="231">
        <f>CH12/CG12</f>
        <v>0.99417174382670814</v>
      </c>
      <c r="CJ12" s="224" t="s">
        <v>996</v>
      </c>
      <c r="CK12" s="387" t="s">
        <v>1112</v>
      </c>
      <c r="CL12" s="47" t="s">
        <v>34</v>
      </c>
      <c r="CM12" s="378">
        <v>0.20499999999999999</v>
      </c>
      <c r="CN12" s="264">
        <v>0.3</v>
      </c>
    </row>
    <row r="13" spans="1:93" s="2" customFormat="1" ht="201.75" customHeight="1" x14ac:dyDescent="0.25">
      <c r="A13" s="507"/>
      <c r="B13" s="398"/>
      <c r="C13" s="505"/>
      <c r="D13" s="112" t="s">
        <v>35</v>
      </c>
      <c r="E13" s="57" t="s">
        <v>36</v>
      </c>
      <c r="F13" s="57" t="s">
        <v>429</v>
      </c>
      <c r="G13" s="57" t="s">
        <v>430</v>
      </c>
      <c r="H13" s="85" t="s">
        <v>997</v>
      </c>
      <c r="I13" s="57" t="s">
        <v>37</v>
      </c>
      <c r="J13" s="47">
        <f>100*10*3</f>
        <v>3000</v>
      </c>
      <c r="K13" s="47" t="s">
        <v>295</v>
      </c>
      <c r="L13" s="47" t="s">
        <v>451</v>
      </c>
      <c r="M13" s="47" t="s">
        <v>369</v>
      </c>
      <c r="N13" s="47" t="s">
        <v>393</v>
      </c>
      <c r="O13" s="47" t="s">
        <v>370</v>
      </c>
      <c r="P13" s="47" t="s">
        <v>394</v>
      </c>
      <c r="Q13" s="109">
        <f>100*10*3</f>
        <v>3000</v>
      </c>
      <c r="R13" s="92" t="s">
        <v>41</v>
      </c>
      <c r="S13" s="525"/>
      <c r="T13" s="525"/>
      <c r="U13" s="525"/>
      <c r="V13" s="525"/>
      <c r="W13" s="398"/>
      <c r="X13" s="297"/>
      <c r="Y13" s="92" t="s">
        <v>41</v>
      </c>
      <c r="Z13" s="90" t="s">
        <v>37</v>
      </c>
      <c r="AA13" s="256">
        <v>0.33</v>
      </c>
      <c r="AB13" s="270"/>
      <c r="AC13" s="270"/>
      <c r="AD13" s="398"/>
      <c r="AE13" s="298" t="s">
        <v>670</v>
      </c>
      <c r="AF13" s="177">
        <v>300</v>
      </c>
      <c r="AG13" s="85">
        <v>714</v>
      </c>
      <c r="AH13" s="256">
        <v>0.33</v>
      </c>
      <c r="AI13" s="554"/>
      <c r="AJ13" s="554"/>
      <c r="AK13" s="398"/>
      <c r="AL13" s="192" t="s">
        <v>734</v>
      </c>
      <c r="AM13" s="147">
        <v>300</v>
      </c>
      <c r="AN13" s="68">
        <v>65</v>
      </c>
      <c r="AO13" s="256">
        <v>0.33</v>
      </c>
      <c r="AP13" s="555"/>
      <c r="AQ13" s="555"/>
      <c r="AR13" s="398"/>
      <c r="AS13" s="665"/>
      <c r="AT13" s="311">
        <v>3</v>
      </c>
      <c r="AU13" s="312">
        <v>3</v>
      </c>
      <c r="AV13" s="256">
        <v>0.33</v>
      </c>
      <c r="AW13" s="181" t="s">
        <v>856</v>
      </c>
      <c r="AX13" s="181" t="s">
        <v>856</v>
      </c>
      <c r="AY13" s="398"/>
      <c r="AZ13" s="313" t="s">
        <v>866</v>
      </c>
      <c r="BA13" s="177">
        <v>3</v>
      </c>
      <c r="BB13" s="85" t="s">
        <v>916</v>
      </c>
      <c r="BC13" s="256">
        <v>0.33</v>
      </c>
      <c r="BD13" s="554"/>
      <c r="BE13" s="554"/>
      <c r="BF13" s="398"/>
      <c r="BG13" s="305" t="s">
        <v>936</v>
      </c>
      <c r="BH13" s="177">
        <v>0</v>
      </c>
      <c r="BI13" s="85">
        <v>0</v>
      </c>
      <c r="BJ13" s="14">
        <v>1</v>
      </c>
      <c r="BK13" s="69"/>
      <c r="BL13" s="69"/>
      <c r="BM13" s="491"/>
      <c r="BN13" s="277" t="s">
        <v>512</v>
      </c>
      <c r="BO13" s="111">
        <v>0</v>
      </c>
      <c r="BP13" s="47">
        <v>0</v>
      </c>
      <c r="BQ13" s="256">
        <v>1</v>
      </c>
      <c r="BR13" s="270">
        <v>225000000</v>
      </c>
      <c r="BS13" s="270" t="s">
        <v>591</v>
      </c>
      <c r="BT13" s="398"/>
      <c r="BU13" s="280" t="s">
        <v>592</v>
      </c>
      <c r="BV13" s="68">
        <v>205</v>
      </c>
      <c r="BW13" s="47">
        <v>193</v>
      </c>
      <c r="BX13" s="256">
        <v>0.94099999999999995</v>
      </c>
      <c r="BY13" s="270">
        <f>8380975
+264860887+
1463333+3690000</f>
        <v>278395195</v>
      </c>
      <c r="BZ13" s="275">
        <f>3331245+196405887+630000+3960000</f>
        <v>204327132</v>
      </c>
      <c r="CA13" s="256">
        <f>BZ13/BY13</f>
        <v>0.73394633122170083</v>
      </c>
      <c r="CB13" s="85" t="s">
        <v>997</v>
      </c>
      <c r="CC13" s="200" t="s">
        <v>1093</v>
      </c>
      <c r="CD13" s="68">
        <v>205</v>
      </c>
      <c r="CE13" s="380">
        <f>193+8+19</f>
        <v>220</v>
      </c>
      <c r="CF13" s="56">
        <v>1</v>
      </c>
      <c r="CG13" s="55">
        <f>8380975+1724800+18000000
+264860887+
1463333+3690000+40000000+18000000</f>
        <v>356119995</v>
      </c>
      <c r="CH13" s="55">
        <f>3331245+196405887+630000+3960000+1724800+8000000+5400000+13500000</f>
        <v>232951932</v>
      </c>
      <c r="CI13" s="56">
        <f>CH13/CG13</f>
        <v>0.65413887248875202</v>
      </c>
      <c r="CJ13" s="85" t="s">
        <v>997</v>
      </c>
      <c r="CK13" s="382" t="s">
        <v>1113</v>
      </c>
      <c r="CL13" s="57">
        <f>100*10*3</f>
        <v>3000</v>
      </c>
      <c r="CM13" s="215">
        <f>981.5+8+201+19</f>
        <v>1209.5</v>
      </c>
      <c r="CN13" s="257">
        <f>CM13/CL13</f>
        <v>0.40316666666666667</v>
      </c>
      <c r="CO13" s="131"/>
    </row>
    <row r="14" spans="1:93" ht="93.75" customHeight="1" x14ac:dyDescent="0.25">
      <c r="A14" s="507"/>
      <c r="B14" s="398"/>
      <c r="C14" s="505"/>
      <c r="D14" s="496" t="s">
        <v>38</v>
      </c>
      <c r="E14" s="398" t="s">
        <v>39</v>
      </c>
      <c r="F14" s="398" t="s">
        <v>434</v>
      </c>
      <c r="G14" s="398" t="s">
        <v>40</v>
      </c>
      <c r="H14" s="407" t="s">
        <v>998</v>
      </c>
      <c r="I14" s="464" t="s">
        <v>37</v>
      </c>
      <c r="J14" s="398" t="s">
        <v>41</v>
      </c>
      <c r="K14" s="398" t="s">
        <v>291</v>
      </c>
      <c r="L14" s="398" t="s">
        <v>381</v>
      </c>
      <c r="M14" s="398" t="s">
        <v>371</v>
      </c>
      <c r="N14" s="398" t="s">
        <v>386</v>
      </c>
      <c r="O14" s="398" t="s">
        <v>372</v>
      </c>
      <c r="P14" s="398" t="s">
        <v>395</v>
      </c>
      <c r="Q14" s="528" t="s">
        <v>41</v>
      </c>
      <c r="R14" s="92" t="s">
        <v>41</v>
      </c>
      <c r="S14" s="525"/>
      <c r="T14" s="525"/>
      <c r="U14" s="525"/>
      <c r="V14" s="525"/>
      <c r="W14" s="398"/>
      <c r="X14" s="297"/>
      <c r="Y14" s="92" t="s">
        <v>41</v>
      </c>
      <c r="Z14" s="90" t="s">
        <v>37</v>
      </c>
      <c r="AA14" s="438">
        <v>0</v>
      </c>
      <c r="AB14" s="526"/>
      <c r="AC14" s="526"/>
      <c r="AD14" s="398"/>
      <c r="AE14" s="298" t="s">
        <v>670</v>
      </c>
      <c r="AF14" s="314">
        <v>0.06</v>
      </c>
      <c r="AG14" s="292">
        <v>0.06</v>
      </c>
      <c r="AH14" s="438">
        <v>0</v>
      </c>
      <c r="AI14" s="554"/>
      <c r="AJ14" s="554"/>
      <c r="AK14" s="398"/>
      <c r="AL14" s="172" t="s">
        <v>735</v>
      </c>
      <c r="AM14" s="164">
        <v>0.06</v>
      </c>
      <c r="AN14" s="68">
        <v>0</v>
      </c>
      <c r="AO14" s="438">
        <v>0</v>
      </c>
      <c r="AP14" s="555"/>
      <c r="AQ14" s="555"/>
      <c r="AR14" s="398"/>
      <c r="AS14" s="665"/>
      <c r="AT14" s="315">
        <v>0.06</v>
      </c>
      <c r="AU14" s="286">
        <v>0.04</v>
      </c>
      <c r="AV14" s="438">
        <v>0</v>
      </c>
      <c r="AW14" s="181" t="s">
        <v>856</v>
      </c>
      <c r="AX14" s="181" t="s">
        <v>856</v>
      </c>
      <c r="AY14" s="398"/>
      <c r="AZ14" s="316" t="s">
        <v>867</v>
      </c>
      <c r="BA14" s="545">
        <v>12</v>
      </c>
      <c r="BB14" s="491" t="s">
        <v>917</v>
      </c>
      <c r="BC14" s="438">
        <v>0</v>
      </c>
      <c r="BD14" s="554"/>
      <c r="BE14" s="554"/>
      <c r="BF14" s="398"/>
      <c r="BG14" s="577" t="s">
        <v>937</v>
      </c>
      <c r="BH14" s="546">
        <v>0.1</v>
      </c>
      <c r="BI14" s="491">
        <v>0</v>
      </c>
      <c r="BJ14" s="592">
        <v>0</v>
      </c>
      <c r="BK14" s="554"/>
      <c r="BL14" s="554"/>
      <c r="BM14" s="491"/>
      <c r="BN14" s="578" t="s">
        <v>513</v>
      </c>
      <c r="BO14" s="541">
        <v>0.1</v>
      </c>
      <c r="BP14" s="398">
        <v>0</v>
      </c>
      <c r="BQ14" s="438">
        <v>0</v>
      </c>
      <c r="BR14" s="526" t="s">
        <v>593</v>
      </c>
      <c r="BS14" s="526" t="s">
        <v>594</v>
      </c>
      <c r="BT14" s="398"/>
      <c r="BU14" s="532" t="s">
        <v>595</v>
      </c>
      <c r="BV14" s="455">
        <v>0.1</v>
      </c>
      <c r="BW14" s="398">
        <v>0</v>
      </c>
      <c r="BX14" s="438">
        <v>0</v>
      </c>
      <c r="BY14" s="623">
        <v>30000000</v>
      </c>
      <c r="BZ14" s="623">
        <v>30000000</v>
      </c>
      <c r="CA14" s="629">
        <f>BZ14/BY14</f>
        <v>1</v>
      </c>
      <c r="CB14" s="407" t="s">
        <v>998</v>
      </c>
      <c r="CC14" s="625" t="s">
        <v>1046</v>
      </c>
      <c r="CD14" s="455">
        <v>0.1</v>
      </c>
      <c r="CE14" s="464">
        <v>0</v>
      </c>
      <c r="CF14" s="462">
        <v>0</v>
      </c>
      <c r="CG14" s="702">
        <v>1546483714</v>
      </c>
      <c r="CH14" s="704">
        <f>30000000+1250120000</f>
        <v>1280120000</v>
      </c>
      <c r="CI14" s="451">
        <f>CH14/CG14</f>
        <v>0.82776170768003321</v>
      </c>
      <c r="CJ14" s="407" t="s">
        <v>998</v>
      </c>
      <c r="CK14" s="410" t="s">
        <v>1114</v>
      </c>
      <c r="CL14" s="464">
        <v>0</v>
      </c>
      <c r="CM14" s="712">
        <v>0</v>
      </c>
      <c r="CN14" s="462">
        <v>0</v>
      </c>
    </row>
    <row r="15" spans="1:93" ht="73.5" customHeight="1" x14ac:dyDescent="0.25">
      <c r="A15" s="507"/>
      <c r="B15" s="398"/>
      <c r="C15" s="505"/>
      <c r="D15" s="496"/>
      <c r="E15" s="398"/>
      <c r="F15" s="398"/>
      <c r="G15" s="398"/>
      <c r="H15" s="428"/>
      <c r="I15" s="464"/>
      <c r="J15" s="398"/>
      <c r="K15" s="398"/>
      <c r="L15" s="398"/>
      <c r="M15" s="398"/>
      <c r="N15" s="398"/>
      <c r="O15" s="398"/>
      <c r="P15" s="398"/>
      <c r="Q15" s="528"/>
      <c r="R15" s="92" t="s">
        <v>41</v>
      </c>
      <c r="S15" s="525"/>
      <c r="T15" s="525"/>
      <c r="U15" s="525"/>
      <c r="V15" s="525"/>
      <c r="W15" s="398"/>
      <c r="X15" s="297"/>
      <c r="Y15" s="92" t="s">
        <v>41</v>
      </c>
      <c r="Z15" s="90" t="s">
        <v>37</v>
      </c>
      <c r="AA15" s="438"/>
      <c r="AB15" s="526"/>
      <c r="AC15" s="526"/>
      <c r="AD15" s="398"/>
      <c r="AE15" s="298" t="s">
        <v>670</v>
      </c>
      <c r="AF15" s="177" t="s">
        <v>691</v>
      </c>
      <c r="AG15" s="85" t="s">
        <v>691</v>
      </c>
      <c r="AH15" s="438"/>
      <c r="AI15" s="69" t="s">
        <v>700</v>
      </c>
      <c r="AJ15" s="69" t="s">
        <v>700</v>
      </c>
      <c r="AK15" s="398"/>
      <c r="AL15" s="553" t="s">
        <v>736</v>
      </c>
      <c r="AM15" s="177" t="s">
        <v>691</v>
      </c>
      <c r="AN15" s="85" t="s">
        <v>691</v>
      </c>
      <c r="AO15" s="438"/>
      <c r="AP15" s="69" t="s">
        <v>700</v>
      </c>
      <c r="AQ15" s="69" t="s">
        <v>700</v>
      </c>
      <c r="AR15" s="398"/>
      <c r="AS15" s="557" t="s">
        <v>818</v>
      </c>
      <c r="AT15" s="317">
        <v>649</v>
      </c>
      <c r="AU15" s="125">
        <v>649</v>
      </c>
      <c r="AV15" s="438"/>
      <c r="AW15" s="181" t="s">
        <v>856</v>
      </c>
      <c r="AX15" s="181" t="s">
        <v>856</v>
      </c>
      <c r="AY15" s="398"/>
      <c r="AZ15" s="681" t="s">
        <v>868</v>
      </c>
      <c r="BA15" s="545"/>
      <c r="BB15" s="491"/>
      <c r="BC15" s="438"/>
      <c r="BD15" s="554"/>
      <c r="BE15" s="554"/>
      <c r="BF15" s="398"/>
      <c r="BG15" s="577"/>
      <c r="BH15" s="545"/>
      <c r="BI15" s="491"/>
      <c r="BJ15" s="592"/>
      <c r="BK15" s="554"/>
      <c r="BL15" s="554"/>
      <c r="BM15" s="491"/>
      <c r="BN15" s="578"/>
      <c r="BO15" s="496"/>
      <c r="BP15" s="398"/>
      <c r="BQ15" s="438"/>
      <c r="BR15" s="526"/>
      <c r="BS15" s="526"/>
      <c r="BT15" s="398"/>
      <c r="BU15" s="532"/>
      <c r="BV15" s="456"/>
      <c r="BW15" s="398"/>
      <c r="BX15" s="438"/>
      <c r="BY15" s="624"/>
      <c r="BZ15" s="624"/>
      <c r="CA15" s="630"/>
      <c r="CB15" s="428"/>
      <c r="CC15" s="626"/>
      <c r="CD15" s="456"/>
      <c r="CE15" s="464"/>
      <c r="CF15" s="462"/>
      <c r="CG15" s="703"/>
      <c r="CH15" s="705"/>
      <c r="CI15" s="452"/>
      <c r="CJ15" s="428"/>
      <c r="CK15" s="443"/>
      <c r="CL15" s="464"/>
      <c r="CM15" s="715"/>
      <c r="CN15" s="462"/>
    </row>
    <row r="16" spans="1:93" ht="107.25" customHeight="1" x14ac:dyDescent="0.25">
      <c r="A16" s="507"/>
      <c r="B16" s="398"/>
      <c r="C16" s="505"/>
      <c r="D16" s="111" t="s">
        <v>42</v>
      </c>
      <c r="E16" s="57" t="s">
        <v>43</v>
      </c>
      <c r="F16" s="57" t="s">
        <v>44</v>
      </c>
      <c r="G16" s="57" t="s">
        <v>45</v>
      </c>
      <c r="H16" s="85" t="s">
        <v>999</v>
      </c>
      <c r="I16" s="59">
        <v>0.8</v>
      </c>
      <c r="J16" s="47" t="s">
        <v>435</v>
      </c>
      <c r="K16" s="398" t="s">
        <v>295</v>
      </c>
      <c r="L16" s="398" t="s">
        <v>298</v>
      </c>
      <c r="M16" s="398">
        <v>3602018</v>
      </c>
      <c r="N16" s="398" t="s">
        <v>299</v>
      </c>
      <c r="O16" s="398">
        <v>360201800</v>
      </c>
      <c r="P16" s="398" t="s">
        <v>300</v>
      </c>
      <c r="Q16" s="109" t="s">
        <v>435</v>
      </c>
      <c r="R16" s="92" t="s">
        <v>41</v>
      </c>
      <c r="S16" s="525"/>
      <c r="T16" s="525"/>
      <c r="U16" s="525"/>
      <c r="V16" s="525"/>
      <c r="W16" s="398" t="s">
        <v>452</v>
      </c>
      <c r="X16" s="297"/>
      <c r="Y16" s="92" t="s">
        <v>41</v>
      </c>
      <c r="Z16" s="90" t="s">
        <v>37</v>
      </c>
      <c r="AA16" s="256" t="e">
        <f>Z16/Y16</f>
        <v>#VALUE!</v>
      </c>
      <c r="AB16" s="521"/>
      <c r="AC16" s="521"/>
      <c r="AD16" s="398" t="s">
        <v>452</v>
      </c>
      <c r="AE16" s="298" t="s">
        <v>670</v>
      </c>
      <c r="AF16" s="177" t="s">
        <v>691</v>
      </c>
      <c r="AG16" s="85" t="s">
        <v>691</v>
      </c>
      <c r="AH16" s="256" t="e">
        <f>AG16/AF16</f>
        <v>#VALUE!</v>
      </c>
      <c r="AI16" s="69" t="s">
        <v>700</v>
      </c>
      <c r="AJ16" s="69" t="s">
        <v>700</v>
      </c>
      <c r="AK16" s="398" t="s">
        <v>452</v>
      </c>
      <c r="AL16" s="553"/>
      <c r="AM16" s="177" t="s">
        <v>691</v>
      </c>
      <c r="AN16" s="85" t="s">
        <v>691</v>
      </c>
      <c r="AO16" s="256" t="e">
        <f>AN16/AM16</f>
        <v>#VALUE!</v>
      </c>
      <c r="AP16" s="69" t="s">
        <v>700</v>
      </c>
      <c r="AQ16" s="69" t="s">
        <v>700</v>
      </c>
      <c r="AR16" s="398" t="s">
        <v>452</v>
      </c>
      <c r="AS16" s="557"/>
      <c r="AT16" s="171">
        <v>155</v>
      </c>
      <c r="AU16" s="125">
        <v>155</v>
      </c>
      <c r="AV16" s="256">
        <f>AU16/AT16</f>
        <v>1</v>
      </c>
      <c r="AW16" s="181" t="s">
        <v>856</v>
      </c>
      <c r="AX16" s="181" t="s">
        <v>856</v>
      </c>
      <c r="AY16" s="398" t="s">
        <v>452</v>
      </c>
      <c r="AZ16" s="681"/>
      <c r="BA16" s="177">
        <v>253</v>
      </c>
      <c r="BB16" s="85">
        <v>253</v>
      </c>
      <c r="BC16" s="256">
        <f>BB16/BA16</f>
        <v>1</v>
      </c>
      <c r="BD16" s="554">
        <v>150000000</v>
      </c>
      <c r="BE16" s="554">
        <v>150000000</v>
      </c>
      <c r="BF16" s="398" t="s">
        <v>452</v>
      </c>
      <c r="BG16" s="574" t="s">
        <v>938</v>
      </c>
      <c r="BH16" s="177">
        <v>1741</v>
      </c>
      <c r="BI16" s="85">
        <v>1741</v>
      </c>
      <c r="BJ16" s="14">
        <v>1</v>
      </c>
      <c r="BK16" s="554"/>
      <c r="BL16" s="554"/>
      <c r="BM16" s="491" t="s">
        <v>514</v>
      </c>
      <c r="BN16" s="574" t="s">
        <v>515</v>
      </c>
      <c r="BO16" s="111">
        <v>1741</v>
      </c>
      <c r="BP16" s="47">
        <v>1523</v>
      </c>
      <c r="BQ16" s="256">
        <f>BP16/BO16</f>
        <v>0.87478460654796097</v>
      </c>
      <c r="BR16" s="521"/>
      <c r="BS16" s="521"/>
      <c r="BT16" s="398" t="s">
        <v>452</v>
      </c>
      <c r="BU16" s="595" t="s">
        <v>596</v>
      </c>
      <c r="BV16" s="68">
        <v>1741</v>
      </c>
      <c r="BW16" s="47">
        <v>1925</v>
      </c>
      <c r="BX16" s="256">
        <v>1</v>
      </c>
      <c r="BY16" s="403">
        <v>0</v>
      </c>
      <c r="BZ16" s="403">
        <v>0</v>
      </c>
      <c r="CA16" s="267">
        <v>0</v>
      </c>
      <c r="CB16" s="85" t="s">
        <v>999</v>
      </c>
      <c r="CC16" s="627" t="s">
        <v>1047</v>
      </c>
      <c r="CD16" s="68">
        <v>1741</v>
      </c>
      <c r="CE16" s="57">
        <v>1925</v>
      </c>
      <c r="CF16" s="221">
        <v>1</v>
      </c>
      <c r="CG16" s="421">
        <v>0</v>
      </c>
      <c r="CH16" s="421">
        <v>0</v>
      </c>
      <c r="CI16" s="206">
        <v>0</v>
      </c>
      <c r="CJ16" s="85" t="s">
        <v>999</v>
      </c>
      <c r="CK16" s="466" t="s">
        <v>1115</v>
      </c>
      <c r="CL16" s="47" t="s">
        <v>435</v>
      </c>
      <c r="CM16" s="205">
        <v>5959</v>
      </c>
      <c r="CN16" s="60">
        <v>1</v>
      </c>
    </row>
    <row r="17" spans="1:92" ht="71.25" customHeight="1" x14ac:dyDescent="0.25">
      <c r="A17" s="507"/>
      <c r="B17" s="398"/>
      <c r="C17" s="505"/>
      <c r="D17" s="111" t="s">
        <v>46</v>
      </c>
      <c r="E17" s="57" t="s">
        <v>47</v>
      </c>
      <c r="F17" s="57" t="s">
        <v>48</v>
      </c>
      <c r="G17" s="57" t="s">
        <v>45</v>
      </c>
      <c r="H17" s="85" t="s">
        <v>999</v>
      </c>
      <c r="I17" s="57" t="s">
        <v>37</v>
      </c>
      <c r="J17" s="47" t="s">
        <v>435</v>
      </c>
      <c r="K17" s="398"/>
      <c r="L17" s="398"/>
      <c r="M17" s="398"/>
      <c r="N17" s="398"/>
      <c r="O17" s="398"/>
      <c r="P17" s="398"/>
      <c r="Q17" s="109" t="s">
        <v>435</v>
      </c>
      <c r="R17" s="285" t="s">
        <v>41</v>
      </c>
      <c r="S17" s="525"/>
      <c r="T17" s="525"/>
      <c r="U17" s="525"/>
      <c r="V17" s="525"/>
      <c r="W17" s="398"/>
      <c r="X17" s="297"/>
      <c r="Y17" s="285" t="s">
        <v>41</v>
      </c>
      <c r="Z17" s="91">
        <v>0.01</v>
      </c>
      <c r="AA17" s="256" t="e">
        <f>Z17/Y17</f>
        <v>#VALUE!</v>
      </c>
      <c r="AB17" s="521"/>
      <c r="AC17" s="521"/>
      <c r="AD17" s="398"/>
      <c r="AE17" s="298" t="s">
        <v>671</v>
      </c>
      <c r="AF17" s="299">
        <v>4.0000000000000001E-3</v>
      </c>
      <c r="AG17" s="292">
        <v>4.0000000000000001E-3</v>
      </c>
      <c r="AH17" s="256">
        <f>AG17/AF17</f>
        <v>1</v>
      </c>
      <c r="AI17" s="554">
        <v>16500000</v>
      </c>
      <c r="AJ17" s="554">
        <v>16500000</v>
      </c>
      <c r="AK17" s="398"/>
      <c r="AL17" s="553" t="s">
        <v>737</v>
      </c>
      <c r="AM17" s="318">
        <v>4.0000000000000001E-3</v>
      </c>
      <c r="AN17" s="319" t="s">
        <v>41</v>
      </c>
      <c r="AO17" s="256" t="e">
        <f>AN17/AM17</f>
        <v>#VALUE!</v>
      </c>
      <c r="AP17" s="555" t="s">
        <v>790</v>
      </c>
      <c r="AQ17" s="555" t="s">
        <v>700</v>
      </c>
      <c r="AR17" s="398"/>
      <c r="AS17" s="666" t="s">
        <v>819</v>
      </c>
      <c r="AT17" s="320">
        <v>4.0000000000000001E-3</v>
      </c>
      <c r="AU17" s="321">
        <v>3.5000000000000001E-3</v>
      </c>
      <c r="AV17" s="256">
        <f>AU17/AT17</f>
        <v>0.875</v>
      </c>
      <c r="AW17" s="573" t="s">
        <v>856</v>
      </c>
      <c r="AX17" s="573" t="s">
        <v>856</v>
      </c>
      <c r="AY17" s="398"/>
      <c r="AZ17" s="576" t="s">
        <v>869</v>
      </c>
      <c r="BA17" s="177">
        <v>253</v>
      </c>
      <c r="BB17" s="85">
        <v>253</v>
      </c>
      <c r="BC17" s="256">
        <f>BB17/BA17</f>
        <v>1</v>
      </c>
      <c r="BD17" s="554"/>
      <c r="BE17" s="554"/>
      <c r="BF17" s="398"/>
      <c r="BG17" s="574"/>
      <c r="BH17" s="177">
        <v>1741</v>
      </c>
      <c r="BI17" s="85">
        <v>1741</v>
      </c>
      <c r="BJ17" s="14">
        <v>1</v>
      </c>
      <c r="BK17" s="554"/>
      <c r="BL17" s="554"/>
      <c r="BM17" s="491"/>
      <c r="BN17" s="574"/>
      <c r="BO17" s="111">
        <v>1741</v>
      </c>
      <c r="BP17" s="47">
        <v>1523</v>
      </c>
      <c r="BQ17" s="256">
        <f>BP17/BO17</f>
        <v>0.87478460654796097</v>
      </c>
      <c r="BR17" s="521"/>
      <c r="BS17" s="521"/>
      <c r="BT17" s="398"/>
      <c r="BU17" s="595"/>
      <c r="BV17" s="68">
        <v>1741</v>
      </c>
      <c r="BW17" s="47">
        <v>1925</v>
      </c>
      <c r="BX17" s="256">
        <v>1</v>
      </c>
      <c r="BY17" s="405"/>
      <c r="BZ17" s="405"/>
      <c r="CA17" s="267">
        <v>0</v>
      </c>
      <c r="CB17" s="85" t="s">
        <v>999</v>
      </c>
      <c r="CC17" s="628"/>
      <c r="CD17" s="68">
        <v>1741</v>
      </c>
      <c r="CE17" s="57">
        <v>1925</v>
      </c>
      <c r="CF17" s="221">
        <v>1</v>
      </c>
      <c r="CG17" s="422"/>
      <c r="CH17" s="422"/>
      <c r="CI17" s="206">
        <v>0</v>
      </c>
      <c r="CJ17" s="85" t="s">
        <v>999</v>
      </c>
      <c r="CK17" s="468"/>
      <c r="CL17" s="47" t="s">
        <v>435</v>
      </c>
      <c r="CM17" s="205">
        <v>5959</v>
      </c>
      <c r="CN17" s="221">
        <v>1</v>
      </c>
    </row>
    <row r="18" spans="1:92" ht="86.25" customHeight="1" x14ac:dyDescent="0.25">
      <c r="A18" s="507"/>
      <c r="B18" s="398"/>
      <c r="C18" s="505"/>
      <c r="D18" s="496" t="s">
        <v>49</v>
      </c>
      <c r="E18" s="464" t="s">
        <v>50</v>
      </c>
      <c r="F18" s="57" t="s">
        <v>51</v>
      </c>
      <c r="G18" s="57" t="s">
        <v>52</v>
      </c>
      <c r="H18" s="85" t="s">
        <v>1000</v>
      </c>
      <c r="I18" s="57" t="s">
        <v>53</v>
      </c>
      <c r="J18" s="47" t="s">
        <v>54</v>
      </c>
      <c r="K18" s="398" t="s">
        <v>436</v>
      </c>
      <c r="L18" s="398" t="s">
        <v>382</v>
      </c>
      <c r="M18" s="398" t="s">
        <v>301</v>
      </c>
      <c r="N18" s="398" t="s">
        <v>437</v>
      </c>
      <c r="O18" s="398" t="s">
        <v>302</v>
      </c>
      <c r="P18" s="398" t="s">
        <v>396</v>
      </c>
      <c r="Q18" s="109" t="s">
        <v>54</v>
      </c>
      <c r="R18" s="285" t="s">
        <v>41</v>
      </c>
      <c r="S18" s="525"/>
      <c r="T18" s="525"/>
      <c r="U18" s="525"/>
      <c r="V18" s="525"/>
      <c r="W18" s="398" t="s">
        <v>280</v>
      </c>
      <c r="X18" s="297"/>
      <c r="Y18" s="285" t="s">
        <v>41</v>
      </c>
      <c r="Z18" s="91">
        <v>0.05</v>
      </c>
      <c r="AA18" s="256">
        <v>1</v>
      </c>
      <c r="AB18" s="547"/>
      <c r="AC18" s="547"/>
      <c r="AD18" s="398" t="s">
        <v>280</v>
      </c>
      <c r="AE18" s="298" t="s">
        <v>670</v>
      </c>
      <c r="AF18" s="596">
        <v>7.0000000000000001E-3</v>
      </c>
      <c r="AG18" s="564">
        <v>0.109</v>
      </c>
      <c r="AH18" s="256">
        <v>1</v>
      </c>
      <c r="AI18" s="554"/>
      <c r="AJ18" s="554"/>
      <c r="AK18" s="398" t="s">
        <v>280</v>
      </c>
      <c r="AL18" s="553"/>
      <c r="AM18" s="560">
        <v>7.0000000000000001E-3</v>
      </c>
      <c r="AN18" s="561" t="s">
        <v>41</v>
      </c>
      <c r="AO18" s="256">
        <v>1</v>
      </c>
      <c r="AP18" s="555"/>
      <c r="AQ18" s="555"/>
      <c r="AR18" s="398" t="s">
        <v>280</v>
      </c>
      <c r="AS18" s="666"/>
      <c r="AT18" s="669">
        <v>0.1</v>
      </c>
      <c r="AU18" s="670">
        <v>0.08</v>
      </c>
      <c r="AV18" s="256">
        <v>1</v>
      </c>
      <c r="AW18" s="573"/>
      <c r="AX18" s="573"/>
      <c r="AY18" s="398" t="s">
        <v>280</v>
      </c>
      <c r="AZ18" s="576"/>
      <c r="BA18" s="299">
        <v>4.0000000000000001E-3</v>
      </c>
      <c r="BB18" s="1">
        <v>4.3999999999999997E-2</v>
      </c>
      <c r="BC18" s="256">
        <v>1</v>
      </c>
      <c r="BD18" s="575">
        <v>115272000</v>
      </c>
      <c r="BE18" s="575">
        <v>57636000</v>
      </c>
      <c r="BF18" s="398" t="s">
        <v>280</v>
      </c>
      <c r="BG18" s="576" t="str">
        <f>'[1]Metas y Proyectos'!$T$21</f>
        <v xml:space="preserve">Como parte del proceso de implementación de la estrategia de prevención de y atención de la erradicación del abuso, explotación sexual comercial, trabajo infantil y peores formas de trabajo y, actividades delictivas se desarrolló jornada de prevención de violencia intrafamiliar y prevención del trabajo infantil en el municipio de Génova con personas víctimas del conflicto armado beneficiando 33 adultos. También, se apoyó la realización del primer Comité Interinstitucional para la Erradicación del Trabajo Infantil (CIETI) en el departamento, así como el acompañamiento a los CIETI de los municipios de Salento y Circasia.  
De otro lado, se encuentra en proceso precontractual la contratación de mínima cuantía con el objeto: “Prestar servicios a la secretaría de Familia, con la realización de talleres y capacitaciones en búsqueda de fortalecer la estrategia de prevención y atención de la erradicación del abuso, explotación sexual comercial, trabajo infantil y peores formas de trabajo, y actividades delictivas, en cumplimiento de la implementación de la política pública de primera infancia, infancia y adolescencia en el departamento del Quindío”. </v>
      </c>
      <c r="BH18" s="596" t="s">
        <v>401</v>
      </c>
      <c r="BI18" s="1">
        <v>0.03</v>
      </c>
      <c r="BJ18" s="14">
        <v>1</v>
      </c>
      <c r="BK18" s="597" t="s">
        <v>516</v>
      </c>
      <c r="BL18" s="597">
        <v>1980000</v>
      </c>
      <c r="BM18" s="491" t="s">
        <v>280</v>
      </c>
      <c r="BN18" s="598" t="s">
        <v>517</v>
      </c>
      <c r="BO18" s="600" t="s">
        <v>401</v>
      </c>
      <c r="BP18" s="36">
        <v>0.03</v>
      </c>
      <c r="BQ18" s="256">
        <v>1</v>
      </c>
      <c r="BR18" s="547" t="s">
        <v>465</v>
      </c>
      <c r="BS18" s="547" t="s">
        <v>466</v>
      </c>
      <c r="BT18" s="398" t="s">
        <v>280</v>
      </c>
      <c r="BU18" s="601" t="s">
        <v>597</v>
      </c>
      <c r="BV18" s="322" t="s">
        <v>979</v>
      </c>
      <c r="BW18" s="36">
        <v>0.03</v>
      </c>
      <c r="BX18" s="256">
        <v>1</v>
      </c>
      <c r="BY18" s="638">
        <f>163000000+
31500000</f>
        <v>194500000</v>
      </c>
      <c r="BZ18" s="638">
        <f>163000000+63000000</f>
        <v>226000000</v>
      </c>
      <c r="CA18" s="631">
        <v>1</v>
      </c>
      <c r="CB18" s="85" t="s">
        <v>1000</v>
      </c>
      <c r="CC18" s="641" t="s">
        <v>1048</v>
      </c>
      <c r="CD18" s="68" t="s">
        <v>1102</v>
      </c>
      <c r="CE18" s="37">
        <v>0.03</v>
      </c>
      <c r="CF18" s="40">
        <v>1</v>
      </c>
      <c r="CG18" s="638">
        <f>163000000+63000000+121344300+13571428+141093371</f>
        <v>502009099</v>
      </c>
      <c r="CH18" s="421">
        <f>163000000+13571428+119492679+
31500000+33093900</f>
        <v>360658007</v>
      </c>
      <c r="CI18" s="472">
        <f>CH18/CG18</f>
        <v>0.7184292231324676</v>
      </c>
      <c r="CJ18" s="85" t="s">
        <v>1000</v>
      </c>
      <c r="CK18" s="476" t="s">
        <v>1116</v>
      </c>
      <c r="CL18" s="47" t="s">
        <v>54</v>
      </c>
      <c r="CM18" s="37">
        <v>0.03</v>
      </c>
      <c r="CN18" s="232">
        <v>1</v>
      </c>
    </row>
    <row r="19" spans="1:92" ht="93.75" customHeight="1" x14ac:dyDescent="0.25">
      <c r="A19" s="507"/>
      <c r="B19" s="398"/>
      <c r="C19" s="505"/>
      <c r="D19" s="496"/>
      <c r="E19" s="464"/>
      <c r="F19" s="464" t="s">
        <v>55</v>
      </c>
      <c r="G19" s="464" t="s">
        <v>52</v>
      </c>
      <c r="H19" s="407" t="s">
        <v>1001</v>
      </c>
      <c r="I19" s="464" t="s">
        <v>56</v>
      </c>
      <c r="J19" s="398" t="s">
        <v>57</v>
      </c>
      <c r="K19" s="398"/>
      <c r="L19" s="398"/>
      <c r="M19" s="398"/>
      <c r="N19" s="398"/>
      <c r="O19" s="398"/>
      <c r="P19" s="398"/>
      <c r="Q19" s="528" t="s">
        <v>57</v>
      </c>
      <c r="R19" s="92" t="s">
        <v>41</v>
      </c>
      <c r="S19" s="525"/>
      <c r="T19" s="525"/>
      <c r="U19" s="525"/>
      <c r="V19" s="525"/>
      <c r="W19" s="398"/>
      <c r="X19" s="274"/>
      <c r="Y19" s="92" t="s">
        <v>41</v>
      </c>
      <c r="Z19" s="90">
        <v>1</v>
      </c>
      <c r="AA19" s="438">
        <v>0.97219999999999995</v>
      </c>
      <c r="AB19" s="547"/>
      <c r="AC19" s="547"/>
      <c r="AD19" s="398"/>
      <c r="AE19" s="276" t="s">
        <v>672</v>
      </c>
      <c r="AF19" s="596"/>
      <c r="AG19" s="564"/>
      <c r="AH19" s="438">
        <v>0.97219999999999995</v>
      </c>
      <c r="AI19" s="554"/>
      <c r="AJ19" s="554"/>
      <c r="AK19" s="398"/>
      <c r="AL19" s="553"/>
      <c r="AM19" s="560"/>
      <c r="AN19" s="561"/>
      <c r="AO19" s="438">
        <v>0.97219999999999995</v>
      </c>
      <c r="AP19" s="555"/>
      <c r="AQ19" s="555"/>
      <c r="AR19" s="398"/>
      <c r="AS19" s="666"/>
      <c r="AT19" s="669"/>
      <c r="AU19" s="670"/>
      <c r="AV19" s="438">
        <v>0.97219999999999995</v>
      </c>
      <c r="AW19" s="573"/>
      <c r="AX19" s="573"/>
      <c r="AY19" s="398"/>
      <c r="AZ19" s="576"/>
      <c r="BA19" s="596">
        <v>7.0000000000000001E-3</v>
      </c>
      <c r="BB19" s="564">
        <v>8.6999999999999994E-2</v>
      </c>
      <c r="BC19" s="438">
        <v>0.97219999999999995</v>
      </c>
      <c r="BD19" s="575"/>
      <c r="BE19" s="575"/>
      <c r="BF19" s="398"/>
      <c r="BG19" s="576"/>
      <c r="BH19" s="596"/>
      <c r="BI19" s="564" t="s">
        <v>412</v>
      </c>
      <c r="BJ19" s="592">
        <v>0.97219999999999995</v>
      </c>
      <c r="BK19" s="597"/>
      <c r="BL19" s="597"/>
      <c r="BM19" s="491"/>
      <c r="BN19" s="599"/>
      <c r="BO19" s="600"/>
      <c r="BP19" s="444" t="s">
        <v>412</v>
      </c>
      <c r="BQ19" s="438">
        <v>0.97219999999999995</v>
      </c>
      <c r="BR19" s="547"/>
      <c r="BS19" s="547"/>
      <c r="BT19" s="398"/>
      <c r="BU19" s="601"/>
      <c r="BV19" s="474">
        <v>7.0000000000000007E-2</v>
      </c>
      <c r="BW19" s="444" t="s">
        <v>412</v>
      </c>
      <c r="BX19" s="438">
        <v>0.97219999999999995</v>
      </c>
      <c r="BY19" s="639"/>
      <c r="BZ19" s="639"/>
      <c r="CA19" s="631"/>
      <c r="CB19" s="407" t="s">
        <v>1001</v>
      </c>
      <c r="CC19" s="642"/>
      <c r="CD19" s="474">
        <v>7.0000000000000007E-2</v>
      </c>
      <c r="CE19" s="463" t="s">
        <v>412</v>
      </c>
      <c r="CF19" s="462">
        <v>1</v>
      </c>
      <c r="CG19" s="639"/>
      <c r="CH19" s="442"/>
      <c r="CI19" s="472"/>
      <c r="CJ19" s="407" t="s">
        <v>1001</v>
      </c>
      <c r="CK19" s="477"/>
      <c r="CL19" s="398" t="s">
        <v>57</v>
      </c>
      <c r="CM19" s="469" t="s">
        <v>412</v>
      </c>
      <c r="CN19" s="701">
        <v>1</v>
      </c>
    </row>
    <row r="20" spans="1:92" ht="67.5" customHeight="1" x14ac:dyDescent="0.25">
      <c r="A20" s="507"/>
      <c r="B20" s="398"/>
      <c r="C20" s="505"/>
      <c r="D20" s="496"/>
      <c r="E20" s="464"/>
      <c r="F20" s="464"/>
      <c r="G20" s="464"/>
      <c r="H20" s="428"/>
      <c r="I20" s="464"/>
      <c r="J20" s="398"/>
      <c r="K20" s="398"/>
      <c r="L20" s="398"/>
      <c r="M20" s="398"/>
      <c r="N20" s="398"/>
      <c r="O20" s="398"/>
      <c r="P20" s="398"/>
      <c r="Q20" s="528"/>
      <c r="R20" s="92" t="s">
        <v>41</v>
      </c>
      <c r="S20" s="530"/>
      <c r="T20" s="530"/>
      <c r="U20" s="530"/>
      <c r="V20" s="530"/>
      <c r="W20" s="398"/>
      <c r="X20" s="529"/>
      <c r="Y20" s="92" t="s">
        <v>41</v>
      </c>
      <c r="Z20" s="90" t="s">
        <v>661</v>
      </c>
      <c r="AA20" s="438"/>
      <c r="AB20" s="547"/>
      <c r="AC20" s="547"/>
      <c r="AD20" s="398"/>
      <c r="AE20" s="535" t="s">
        <v>673</v>
      </c>
      <c r="AF20" s="546">
        <v>0.04</v>
      </c>
      <c r="AG20" s="556">
        <v>0.04</v>
      </c>
      <c r="AH20" s="438"/>
      <c r="AI20" s="554">
        <v>10000000</v>
      </c>
      <c r="AJ20" s="554">
        <v>10000000</v>
      </c>
      <c r="AK20" s="398"/>
      <c r="AL20" s="553" t="s">
        <v>738</v>
      </c>
      <c r="AM20" s="558">
        <v>0.05</v>
      </c>
      <c r="AN20" s="455">
        <v>0.05</v>
      </c>
      <c r="AO20" s="438"/>
      <c r="AP20" s="554" t="s">
        <v>791</v>
      </c>
      <c r="AQ20" s="554" t="s">
        <v>792</v>
      </c>
      <c r="AR20" s="398"/>
      <c r="AS20" s="557" t="s">
        <v>820</v>
      </c>
      <c r="AT20" s="567">
        <v>0.06</v>
      </c>
      <c r="AU20" s="569">
        <v>0.06</v>
      </c>
      <c r="AV20" s="438"/>
      <c r="AW20" s="572" t="s">
        <v>856</v>
      </c>
      <c r="AX20" s="572" t="s">
        <v>856</v>
      </c>
      <c r="AY20" s="398"/>
      <c r="AZ20" s="686" t="s">
        <v>870</v>
      </c>
      <c r="BA20" s="596"/>
      <c r="BB20" s="564"/>
      <c r="BC20" s="438"/>
      <c r="BD20" s="575"/>
      <c r="BE20" s="575"/>
      <c r="BF20" s="398"/>
      <c r="BG20" s="576"/>
      <c r="BH20" s="596"/>
      <c r="BI20" s="564"/>
      <c r="BJ20" s="592"/>
      <c r="BK20" s="597"/>
      <c r="BL20" s="597"/>
      <c r="BM20" s="491"/>
      <c r="BN20" s="599"/>
      <c r="BO20" s="600"/>
      <c r="BP20" s="444"/>
      <c r="BQ20" s="438"/>
      <c r="BR20" s="547"/>
      <c r="BS20" s="547"/>
      <c r="BT20" s="398"/>
      <c r="BU20" s="601"/>
      <c r="BV20" s="475"/>
      <c r="BW20" s="444"/>
      <c r="BX20" s="438"/>
      <c r="BY20" s="640"/>
      <c r="BZ20" s="640"/>
      <c r="CA20" s="630"/>
      <c r="CB20" s="428"/>
      <c r="CC20" s="643"/>
      <c r="CD20" s="475"/>
      <c r="CE20" s="463"/>
      <c r="CF20" s="462"/>
      <c r="CG20" s="640"/>
      <c r="CH20" s="422"/>
      <c r="CI20" s="473"/>
      <c r="CJ20" s="428"/>
      <c r="CK20" s="478"/>
      <c r="CL20" s="398"/>
      <c r="CM20" s="470"/>
      <c r="CN20" s="701"/>
    </row>
    <row r="21" spans="1:92" ht="15" customHeight="1" x14ac:dyDescent="0.25">
      <c r="A21" s="507"/>
      <c r="B21" s="398"/>
      <c r="C21" s="505"/>
      <c r="D21" s="496" t="s">
        <v>58</v>
      </c>
      <c r="E21" s="464" t="s">
        <v>59</v>
      </c>
      <c r="F21" s="464" t="s">
        <v>453</v>
      </c>
      <c r="G21" s="464" t="s">
        <v>60</v>
      </c>
      <c r="H21" s="407" t="s">
        <v>1002</v>
      </c>
      <c r="I21" s="464" t="s">
        <v>37</v>
      </c>
      <c r="J21" s="432">
        <v>0.1</v>
      </c>
      <c r="K21" s="398" t="s">
        <v>291</v>
      </c>
      <c r="L21" s="398" t="s">
        <v>303</v>
      </c>
      <c r="M21" s="398">
        <v>4103059</v>
      </c>
      <c r="N21" s="398" t="s">
        <v>304</v>
      </c>
      <c r="O21" s="398">
        <v>410305900</v>
      </c>
      <c r="P21" s="398" t="s">
        <v>305</v>
      </c>
      <c r="Q21" s="527">
        <v>0.1</v>
      </c>
      <c r="R21" s="92" t="s">
        <v>41</v>
      </c>
      <c r="S21" s="525"/>
      <c r="T21" s="525"/>
      <c r="U21" s="525"/>
      <c r="V21" s="525"/>
      <c r="W21" s="398" t="s">
        <v>458</v>
      </c>
      <c r="X21" s="529"/>
      <c r="Y21" s="92" t="s">
        <v>41</v>
      </c>
      <c r="Z21" s="90" t="s">
        <v>661</v>
      </c>
      <c r="AA21" s="438">
        <v>1</v>
      </c>
      <c r="AB21" s="521"/>
      <c r="AC21" s="521"/>
      <c r="AD21" s="398" t="s">
        <v>458</v>
      </c>
      <c r="AE21" s="535"/>
      <c r="AF21" s="546"/>
      <c r="AG21" s="556"/>
      <c r="AH21" s="438">
        <v>1</v>
      </c>
      <c r="AI21" s="554"/>
      <c r="AJ21" s="554"/>
      <c r="AK21" s="398" t="s">
        <v>458</v>
      </c>
      <c r="AL21" s="553"/>
      <c r="AM21" s="558"/>
      <c r="AN21" s="456"/>
      <c r="AO21" s="438">
        <v>1</v>
      </c>
      <c r="AP21" s="554"/>
      <c r="AQ21" s="554"/>
      <c r="AR21" s="398" t="s">
        <v>458</v>
      </c>
      <c r="AS21" s="557"/>
      <c r="AT21" s="567"/>
      <c r="AU21" s="569"/>
      <c r="AV21" s="438">
        <v>1</v>
      </c>
      <c r="AW21" s="572"/>
      <c r="AX21" s="572"/>
      <c r="AY21" s="398" t="s">
        <v>458</v>
      </c>
      <c r="AZ21" s="686"/>
      <c r="BA21" s="545">
        <v>200</v>
      </c>
      <c r="BB21" s="491">
        <v>200</v>
      </c>
      <c r="BC21" s="438">
        <v>1</v>
      </c>
      <c r="BD21" s="554">
        <v>30000000</v>
      </c>
      <c r="BE21" s="554">
        <v>15245000</v>
      </c>
      <c r="BF21" s="398" t="s">
        <v>458</v>
      </c>
      <c r="BG21" s="553" t="s">
        <v>939</v>
      </c>
      <c r="BH21" s="546">
        <v>0</v>
      </c>
      <c r="BI21" s="491">
        <v>0</v>
      </c>
      <c r="BJ21" s="592">
        <v>1</v>
      </c>
      <c r="BK21" s="554"/>
      <c r="BL21" s="554"/>
      <c r="BM21" s="491" t="s">
        <v>518</v>
      </c>
      <c r="BN21" s="574" t="s">
        <v>519</v>
      </c>
      <c r="BO21" s="602">
        <v>10</v>
      </c>
      <c r="BP21" s="398">
        <v>55</v>
      </c>
      <c r="BQ21" s="438">
        <v>1</v>
      </c>
      <c r="BR21" s="521" t="s">
        <v>467</v>
      </c>
      <c r="BS21" s="521" t="s">
        <v>598</v>
      </c>
      <c r="BT21" s="398" t="s">
        <v>458</v>
      </c>
      <c r="BU21" s="595" t="s">
        <v>599</v>
      </c>
      <c r="BV21" s="561">
        <v>0.1336</v>
      </c>
      <c r="BW21" s="444">
        <v>0.1336</v>
      </c>
      <c r="BX21" s="438">
        <v>1</v>
      </c>
      <c r="BY21" s="644">
        <f>70000000+45000000+
363237526+363237526+264860887+163000000</f>
        <v>1269335939</v>
      </c>
      <c r="BZ21" s="645">
        <f>34620000+
30000000+
7000000+171202526+264860887+163000000</f>
        <v>670683413</v>
      </c>
      <c r="CA21" s="629">
        <v>1</v>
      </c>
      <c r="CB21" s="407" t="s">
        <v>1002</v>
      </c>
      <c r="CC21" s="627" t="s">
        <v>1081</v>
      </c>
      <c r="CD21" s="455">
        <v>0.03</v>
      </c>
      <c r="CE21" s="463">
        <v>0.1336</v>
      </c>
      <c r="CF21" s="399">
        <v>1</v>
      </c>
      <c r="CG21" s="465">
        <f>121344300+70000000+45000000+5000000+646800+500000+
363237526+363237526+264860887+163000000+104655000+5000000</f>
        <v>1506482039</v>
      </c>
      <c r="CH21" s="448">
        <f>121344300+34620000+1250000+646800+2500000+
30000000+
7000000+171202526+264860887+163000000+62836666+2500000</f>
        <v>861761179</v>
      </c>
      <c r="CI21" s="393">
        <v>1</v>
      </c>
      <c r="CJ21" s="407" t="s">
        <v>1002</v>
      </c>
      <c r="CK21" s="466" t="s">
        <v>1117</v>
      </c>
      <c r="CL21" s="432">
        <v>0.1</v>
      </c>
      <c r="CM21" s="469">
        <v>0.1336</v>
      </c>
      <c r="CN21" s="393">
        <v>1</v>
      </c>
    </row>
    <row r="22" spans="1:92" ht="16.5" x14ac:dyDescent="0.25">
      <c r="A22" s="507"/>
      <c r="B22" s="398"/>
      <c r="C22" s="505"/>
      <c r="D22" s="496"/>
      <c r="E22" s="464"/>
      <c r="F22" s="464"/>
      <c r="G22" s="464"/>
      <c r="H22" s="408"/>
      <c r="I22" s="464"/>
      <c r="J22" s="432"/>
      <c r="K22" s="398"/>
      <c r="L22" s="398"/>
      <c r="M22" s="398"/>
      <c r="N22" s="398"/>
      <c r="O22" s="398"/>
      <c r="P22" s="398"/>
      <c r="Q22" s="527"/>
      <c r="R22" s="92" t="s">
        <v>41</v>
      </c>
      <c r="S22" s="525"/>
      <c r="T22" s="525"/>
      <c r="U22" s="525"/>
      <c r="V22" s="525"/>
      <c r="W22" s="398"/>
      <c r="X22" s="274"/>
      <c r="Y22" s="92" t="s">
        <v>41</v>
      </c>
      <c r="Z22" s="90" t="s">
        <v>661</v>
      </c>
      <c r="AA22" s="438"/>
      <c r="AB22" s="521"/>
      <c r="AC22" s="521"/>
      <c r="AD22" s="398"/>
      <c r="AE22" s="276" t="s">
        <v>674</v>
      </c>
      <c r="AF22" s="546"/>
      <c r="AG22" s="556"/>
      <c r="AH22" s="438"/>
      <c r="AI22" s="554"/>
      <c r="AJ22" s="554"/>
      <c r="AK22" s="398"/>
      <c r="AL22" s="553"/>
      <c r="AM22" s="558"/>
      <c r="AN22" s="456"/>
      <c r="AO22" s="438"/>
      <c r="AP22" s="554"/>
      <c r="AQ22" s="554"/>
      <c r="AR22" s="398"/>
      <c r="AS22" s="557"/>
      <c r="AT22" s="568">
        <v>400</v>
      </c>
      <c r="AU22" s="570">
        <v>437</v>
      </c>
      <c r="AV22" s="438"/>
      <c r="AW22" s="573" t="s">
        <v>856</v>
      </c>
      <c r="AX22" s="573" t="s">
        <v>856</v>
      </c>
      <c r="AY22" s="398"/>
      <c r="AZ22" s="681" t="s">
        <v>871</v>
      </c>
      <c r="BA22" s="545"/>
      <c r="BB22" s="491"/>
      <c r="BC22" s="438"/>
      <c r="BD22" s="554"/>
      <c r="BE22" s="554"/>
      <c r="BF22" s="398"/>
      <c r="BG22" s="553"/>
      <c r="BH22" s="545"/>
      <c r="BI22" s="491"/>
      <c r="BJ22" s="592"/>
      <c r="BK22" s="554"/>
      <c r="BL22" s="554"/>
      <c r="BM22" s="491"/>
      <c r="BN22" s="574"/>
      <c r="BO22" s="602"/>
      <c r="BP22" s="398"/>
      <c r="BQ22" s="438"/>
      <c r="BR22" s="521"/>
      <c r="BS22" s="521"/>
      <c r="BT22" s="398"/>
      <c r="BU22" s="595"/>
      <c r="BV22" s="561"/>
      <c r="BW22" s="398"/>
      <c r="BX22" s="438"/>
      <c r="BY22" s="644"/>
      <c r="BZ22" s="645"/>
      <c r="CA22" s="631"/>
      <c r="CB22" s="408"/>
      <c r="CC22" s="646"/>
      <c r="CD22" s="456"/>
      <c r="CE22" s="464"/>
      <c r="CF22" s="399"/>
      <c r="CG22" s="465"/>
      <c r="CH22" s="448"/>
      <c r="CI22" s="394"/>
      <c r="CJ22" s="408"/>
      <c r="CK22" s="467"/>
      <c r="CL22" s="432"/>
      <c r="CM22" s="713"/>
      <c r="CN22" s="394"/>
    </row>
    <row r="23" spans="1:92" ht="51.75" customHeight="1" x14ac:dyDescent="0.25">
      <c r="A23" s="507"/>
      <c r="B23" s="398"/>
      <c r="C23" s="505"/>
      <c r="D23" s="496"/>
      <c r="E23" s="464"/>
      <c r="F23" s="464"/>
      <c r="G23" s="464"/>
      <c r="H23" s="408"/>
      <c r="I23" s="464"/>
      <c r="J23" s="432"/>
      <c r="K23" s="398"/>
      <c r="L23" s="398"/>
      <c r="M23" s="398"/>
      <c r="N23" s="398"/>
      <c r="O23" s="398"/>
      <c r="P23" s="398"/>
      <c r="Q23" s="527"/>
      <c r="R23" s="92" t="s">
        <v>41</v>
      </c>
      <c r="S23" s="525"/>
      <c r="T23" s="525"/>
      <c r="U23" s="525"/>
      <c r="V23" s="525"/>
      <c r="W23" s="398"/>
      <c r="X23" s="274"/>
      <c r="Y23" s="92" t="s">
        <v>41</v>
      </c>
      <c r="Z23" s="90" t="s">
        <v>661</v>
      </c>
      <c r="AA23" s="438"/>
      <c r="AB23" s="521"/>
      <c r="AC23" s="521"/>
      <c r="AD23" s="398"/>
      <c r="AE23" s="276" t="s">
        <v>675</v>
      </c>
      <c r="AF23" s="546"/>
      <c r="AG23" s="556"/>
      <c r="AH23" s="438"/>
      <c r="AI23" s="554"/>
      <c r="AJ23" s="554"/>
      <c r="AK23" s="398"/>
      <c r="AL23" s="553"/>
      <c r="AM23" s="558"/>
      <c r="AN23" s="456"/>
      <c r="AO23" s="438"/>
      <c r="AP23" s="554"/>
      <c r="AQ23" s="554"/>
      <c r="AR23" s="398"/>
      <c r="AS23" s="557"/>
      <c r="AT23" s="568"/>
      <c r="AU23" s="570"/>
      <c r="AV23" s="438"/>
      <c r="AW23" s="573"/>
      <c r="AX23" s="573"/>
      <c r="AY23" s="398"/>
      <c r="AZ23" s="681"/>
      <c r="BA23" s="545"/>
      <c r="BB23" s="491"/>
      <c r="BC23" s="438"/>
      <c r="BD23" s="554"/>
      <c r="BE23" s="554"/>
      <c r="BF23" s="398"/>
      <c r="BG23" s="553"/>
      <c r="BH23" s="545"/>
      <c r="BI23" s="491"/>
      <c r="BJ23" s="592"/>
      <c r="BK23" s="554"/>
      <c r="BL23" s="554"/>
      <c r="BM23" s="491"/>
      <c r="BN23" s="574"/>
      <c r="BO23" s="602"/>
      <c r="BP23" s="398"/>
      <c r="BQ23" s="438"/>
      <c r="BR23" s="521"/>
      <c r="BS23" s="521"/>
      <c r="BT23" s="398"/>
      <c r="BU23" s="595"/>
      <c r="BV23" s="561"/>
      <c r="BW23" s="398"/>
      <c r="BX23" s="438"/>
      <c r="BY23" s="644"/>
      <c r="BZ23" s="645"/>
      <c r="CA23" s="631"/>
      <c r="CB23" s="408"/>
      <c r="CC23" s="646"/>
      <c r="CD23" s="456"/>
      <c r="CE23" s="464"/>
      <c r="CF23" s="399"/>
      <c r="CG23" s="465"/>
      <c r="CH23" s="448"/>
      <c r="CI23" s="394"/>
      <c r="CJ23" s="408"/>
      <c r="CK23" s="467"/>
      <c r="CL23" s="432"/>
      <c r="CM23" s="713"/>
      <c r="CN23" s="394"/>
    </row>
    <row r="24" spans="1:92" ht="121.5" customHeight="1" x14ac:dyDescent="0.25">
      <c r="A24" s="507"/>
      <c r="B24" s="398"/>
      <c r="C24" s="505"/>
      <c r="D24" s="496"/>
      <c r="E24" s="464"/>
      <c r="F24" s="464"/>
      <c r="G24" s="464"/>
      <c r="H24" s="428"/>
      <c r="I24" s="464"/>
      <c r="J24" s="432"/>
      <c r="K24" s="398"/>
      <c r="L24" s="398"/>
      <c r="M24" s="398"/>
      <c r="N24" s="398"/>
      <c r="O24" s="398"/>
      <c r="P24" s="398"/>
      <c r="Q24" s="527"/>
      <c r="R24" s="92" t="s">
        <v>41</v>
      </c>
      <c r="S24" s="525"/>
      <c r="T24" s="525"/>
      <c r="U24" s="525"/>
      <c r="V24" s="525"/>
      <c r="W24" s="398"/>
      <c r="X24" s="274"/>
      <c r="Y24" s="92" t="s">
        <v>41</v>
      </c>
      <c r="Z24" s="90" t="s">
        <v>661</v>
      </c>
      <c r="AA24" s="438"/>
      <c r="AB24" s="521"/>
      <c r="AC24" s="521"/>
      <c r="AD24" s="398"/>
      <c r="AE24" s="276" t="s">
        <v>676</v>
      </c>
      <c r="AF24" s="314">
        <v>0.15</v>
      </c>
      <c r="AG24" s="292">
        <v>0.15</v>
      </c>
      <c r="AH24" s="438"/>
      <c r="AI24" s="69">
        <v>2338933220</v>
      </c>
      <c r="AJ24" s="69">
        <v>2338933220</v>
      </c>
      <c r="AK24" s="398"/>
      <c r="AL24" s="323" t="s">
        <v>739</v>
      </c>
      <c r="AM24" s="164">
        <v>0.23</v>
      </c>
      <c r="AN24" s="118" t="s">
        <v>700</v>
      </c>
      <c r="AO24" s="438"/>
      <c r="AP24" s="182">
        <f>27500000+48300000</f>
        <v>75800000</v>
      </c>
      <c r="AQ24" s="182">
        <v>17340000</v>
      </c>
      <c r="AR24" s="398"/>
      <c r="AS24" s="172" t="s">
        <v>821</v>
      </c>
      <c r="AT24" s="315">
        <v>0.28000000000000003</v>
      </c>
      <c r="AU24" s="125">
        <v>0.25</v>
      </c>
      <c r="AV24" s="438"/>
      <c r="AW24" s="181" t="s">
        <v>856</v>
      </c>
      <c r="AX24" s="181" t="s">
        <v>856</v>
      </c>
      <c r="AY24" s="398"/>
      <c r="AZ24" s="324" t="s">
        <v>872</v>
      </c>
      <c r="BA24" s="545"/>
      <c r="BB24" s="491"/>
      <c r="BC24" s="438"/>
      <c r="BD24" s="554"/>
      <c r="BE24" s="554"/>
      <c r="BF24" s="398"/>
      <c r="BG24" s="553"/>
      <c r="BH24" s="545"/>
      <c r="BI24" s="491"/>
      <c r="BJ24" s="592"/>
      <c r="BK24" s="554"/>
      <c r="BL24" s="554"/>
      <c r="BM24" s="491"/>
      <c r="BN24" s="574"/>
      <c r="BO24" s="602"/>
      <c r="BP24" s="398"/>
      <c r="BQ24" s="438"/>
      <c r="BR24" s="521"/>
      <c r="BS24" s="521"/>
      <c r="BT24" s="398"/>
      <c r="BU24" s="595"/>
      <c r="BV24" s="561"/>
      <c r="BW24" s="398"/>
      <c r="BX24" s="438"/>
      <c r="BY24" s="644"/>
      <c r="BZ24" s="645"/>
      <c r="CA24" s="630"/>
      <c r="CB24" s="428"/>
      <c r="CC24" s="628"/>
      <c r="CD24" s="456"/>
      <c r="CE24" s="464"/>
      <c r="CF24" s="399"/>
      <c r="CG24" s="465"/>
      <c r="CH24" s="448"/>
      <c r="CI24" s="406"/>
      <c r="CJ24" s="428"/>
      <c r="CK24" s="468"/>
      <c r="CL24" s="432"/>
      <c r="CM24" s="715"/>
      <c r="CN24" s="406"/>
    </row>
    <row r="25" spans="1:92" ht="179.45" customHeight="1" x14ac:dyDescent="0.25">
      <c r="A25" s="507"/>
      <c r="B25" s="398"/>
      <c r="C25" s="505"/>
      <c r="D25" s="111" t="s">
        <v>61</v>
      </c>
      <c r="E25" s="57" t="s">
        <v>62</v>
      </c>
      <c r="F25" s="57" t="s">
        <v>63</v>
      </c>
      <c r="G25" s="57" t="s">
        <v>438</v>
      </c>
      <c r="H25" s="85" t="s">
        <v>1003</v>
      </c>
      <c r="I25" s="57" t="s">
        <v>37</v>
      </c>
      <c r="J25" s="61">
        <v>0.6</v>
      </c>
      <c r="K25" s="47" t="s">
        <v>295</v>
      </c>
      <c r="L25" s="47" t="s">
        <v>383</v>
      </c>
      <c r="M25" s="47" t="s">
        <v>373</v>
      </c>
      <c r="N25" s="47" t="s">
        <v>387</v>
      </c>
      <c r="O25" s="47" t="s">
        <v>374</v>
      </c>
      <c r="P25" s="47" t="s">
        <v>389</v>
      </c>
      <c r="Q25" s="110">
        <v>0.6</v>
      </c>
      <c r="R25" s="92" t="s">
        <v>41</v>
      </c>
      <c r="S25" s="525"/>
      <c r="T25" s="525"/>
      <c r="U25" s="525"/>
      <c r="V25" s="525"/>
      <c r="W25" s="47" t="s">
        <v>256</v>
      </c>
      <c r="X25" s="274"/>
      <c r="Y25" s="92" t="s">
        <v>41</v>
      </c>
      <c r="Z25" s="90" t="s">
        <v>661</v>
      </c>
      <c r="AA25" s="256">
        <v>0.5</v>
      </c>
      <c r="AB25" s="270"/>
      <c r="AC25" s="270"/>
      <c r="AD25" s="47" t="s">
        <v>256</v>
      </c>
      <c r="AE25" s="276" t="s">
        <v>677</v>
      </c>
      <c r="AF25" s="177">
        <v>1</v>
      </c>
      <c r="AG25" s="85">
        <v>1</v>
      </c>
      <c r="AH25" s="256">
        <v>0.5</v>
      </c>
      <c r="AI25" s="69">
        <v>54450000</v>
      </c>
      <c r="AJ25" s="69">
        <v>54450000</v>
      </c>
      <c r="AK25" s="47" t="s">
        <v>256</v>
      </c>
      <c r="AL25" s="192" t="s">
        <v>740</v>
      </c>
      <c r="AM25" s="147">
        <v>4</v>
      </c>
      <c r="AN25" s="68">
        <v>4</v>
      </c>
      <c r="AO25" s="256">
        <v>0.5</v>
      </c>
      <c r="AP25" s="182">
        <f>33000000+20140000</f>
        <v>53140000</v>
      </c>
      <c r="AQ25" s="182">
        <v>31540000</v>
      </c>
      <c r="AR25" s="47" t="s">
        <v>256</v>
      </c>
      <c r="AS25" s="163" t="s">
        <v>822</v>
      </c>
      <c r="AT25" s="171">
        <v>5</v>
      </c>
      <c r="AU25" s="125">
        <v>4.05</v>
      </c>
      <c r="AV25" s="256">
        <v>0.5</v>
      </c>
      <c r="AW25" s="181" t="s">
        <v>856</v>
      </c>
      <c r="AX25" s="181" t="s">
        <v>856</v>
      </c>
      <c r="AY25" s="47" t="s">
        <v>256</v>
      </c>
      <c r="AZ25" s="324" t="s">
        <v>873</v>
      </c>
      <c r="BA25" s="177">
        <v>3</v>
      </c>
      <c r="BB25" s="85" t="s">
        <v>164</v>
      </c>
      <c r="BC25" s="256">
        <v>0.5</v>
      </c>
      <c r="BD25" s="69">
        <v>28800000</v>
      </c>
      <c r="BE25" s="69">
        <v>25081000</v>
      </c>
      <c r="BF25" s="47" t="s">
        <v>256</v>
      </c>
      <c r="BG25" s="323" t="s">
        <v>940</v>
      </c>
      <c r="BH25" s="314">
        <v>0.1</v>
      </c>
      <c r="BI25" s="292">
        <v>0.05</v>
      </c>
      <c r="BJ25" s="14">
        <v>0.5</v>
      </c>
      <c r="BK25" s="69"/>
      <c r="BL25" s="69"/>
      <c r="BM25" s="85" t="s">
        <v>256</v>
      </c>
      <c r="BN25" s="287" t="s">
        <v>520</v>
      </c>
      <c r="BO25" s="325">
        <v>0.1</v>
      </c>
      <c r="BP25" s="61">
        <v>0.05</v>
      </c>
      <c r="BQ25" s="256">
        <v>0.5</v>
      </c>
      <c r="BR25" s="270" t="s">
        <v>600</v>
      </c>
      <c r="BS25" s="270" t="s">
        <v>601</v>
      </c>
      <c r="BT25" s="47" t="s">
        <v>256</v>
      </c>
      <c r="BU25" s="290" t="s">
        <v>602</v>
      </c>
      <c r="BV25" s="118">
        <v>0.5</v>
      </c>
      <c r="BW25" s="61">
        <v>0.58099999999999996</v>
      </c>
      <c r="BX25" s="256">
        <v>1</v>
      </c>
      <c r="BY25" s="272">
        <f>918000000+79914452</f>
        <v>997914452</v>
      </c>
      <c r="BZ25" s="272">
        <v>79914452</v>
      </c>
      <c r="CA25" s="256">
        <f>BZ25/BY25</f>
        <v>8.0081465740712607E-2</v>
      </c>
      <c r="CB25" s="85" t="s">
        <v>1003</v>
      </c>
      <c r="CC25" s="291" t="s">
        <v>1082</v>
      </c>
      <c r="CD25" s="118">
        <v>0.1</v>
      </c>
      <c r="CE25" s="59">
        <v>0.58099999999999996</v>
      </c>
      <c r="CF25" s="60">
        <v>1</v>
      </c>
      <c r="CG25" s="241">
        <f>918000000+79914452+5000000+60000000</f>
        <v>1062914452</v>
      </c>
      <c r="CH25" s="241">
        <f>79914452+60000000</f>
        <v>139914452</v>
      </c>
      <c r="CI25" s="60">
        <f>CH25/CG25</f>
        <v>0.1316328437690675</v>
      </c>
      <c r="CJ25" s="85" t="s">
        <v>1003</v>
      </c>
      <c r="CK25" s="388" t="s">
        <v>1118</v>
      </c>
      <c r="CL25" s="59">
        <v>0.6</v>
      </c>
      <c r="CM25" s="59">
        <v>0.58099999999999996</v>
      </c>
      <c r="CN25" s="60">
        <f>CM25/CL25</f>
        <v>0.96833333333333327</v>
      </c>
    </row>
    <row r="26" spans="1:92" ht="173.45" customHeight="1" x14ac:dyDescent="0.25">
      <c r="A26" s="507"/>
      <c r="B26" s="398"/>
      <c r="C26" s="505"/>
      <c r="D26" s="111" t="s">
        <v>64</v>
      </c>
      <c r="E26" s="47" t="s">
        <v>456</v>
      </c>
      <c r="F26" s="47" t="s">
        <v>65</v>
      </c>
      <c r="G26" s="47" t="s">
        <v>66</v>
      </c>
      <c r="H26" s="85" t="s">
        <v>1004</v>
      </c>
      <c r="I26" s="47">
        <v>1</v>
      </c>
      <c r="J26" s="47">
        <v>5</v>
      </c>
      <c r="K26" s="47" t="s">
        <v>295</v>
      </c>
      <c r="L26" s="47" t="s">
        <v>306</v>
      </c>
      <c r="M26" s="47">
        <v>3502017</v>
      </c>
      <c r="N26" s="47" t="s">
        <v>307</v>
      </c>
      <c r="O26" s="47">
        <v>350201701</v>
      </c>
      <c r="P26" s="47" t="s">
        <v>308</v>
      </c>
      <c r="Q26" s="109">
        <v>5</v>
      </c>
      <c r="R26" s="92" t="s">
        <v>41</v>
      </c>
      <c r="S26" s="525"/>
      <c r="T26" s="525"/>
      <c r="U26" s="525"/>
      <c r="V26" s="525"/>
      <c r="W26" s="47" t="s">
        <v>281</v>
      </c>
      <c r="X26" s="297"/>
      <c r="Y26" s="92" t="s">
        <v>41</v>
      </c>
      <c r="Z26" s="90" t="s">
        <v>661</v>
      </c>
      <c r="AA26" s="256" t="e">
        <f>(Z26/Y26)*1</f>
        <v>#VALUE!</v>
      </c>
      <c r="AB26" s="270"/>
      <c r="AC26" s="270"/>
      <c r="AD26" s="47" t="s">
        <v>281</v>
      </c>
      <c r="AE26" s="298" t="s">
        <v>670</v>
      </c>
      <c r="AF26" s="314">
        <v>0.85</v>
      </c>
      <c r="AG26" s="292">
        <v>0.63</v>
      </c>
      <c r="AH26" s="256">
        <f>(AG26/AF26)*1</f>
        <v>0.74117647058823533</v>
      </c>
      <c r="AI26" s="554">
        <v>7595374483</v>
      </c>
      <c r="AJ26" s="554">
        <v>4950478143</v>
      </c>
      <c r="AK26" s="47" t="s">
        <v>281</v>
      </c>
      <c r="AL26" s="192" t="s">
        <v>741</v>
      </c>
      <c r="AM26" s="177" t="s">
        <v>777</v>
      </c>
      <c r="AN26" s="292">
        <v>0.63</v>
      </c>
      <c r="AO26" s="256" t="e">
        <f>(AN26/AM26)*1</f>
        <v>#VALUE!</v>
      </c>
      <c r="AP26" s="554">
        <v>16187350279</v>
      </c>
      <c r="AQ26" s="554">
        <v>13135040761</v>
      </c>
      <c r="AR26" s="47" t="s">
        <v>281</v>
      </c>
      <c r="AS26" s="557" t="s">
        <v>823</v>
      </c>
      <c r="AT26" s="567">
        <v>0.85</v>
      </c>
      <c r="AU26" s="671">
        <v>0.69599999999999995</v>
      </c>
      <c r="AV26" s="256">
        <f>(AU26/AT26)*1</f>
        <v>0.81882352941176462</v>
      </c>
      <c r="AW26" s="573" t="s">
        <v>856</v>
      </c>
      <c r="AX26" s="573" t="s">
        <v>856</v>
      </c>
      <c r="AY26" s="47" t="s">
        <v>281</v>
      </c>
      <c r="AZ26" s="681" t="s">
        <v>874</v>
      </c>
      <c r="BA26" s="177">
        <v>1</v>
      </c>
      <c r="BB26" s="85" t="s">
        <v>918</v>
      </c>
      <c r="BC26" s="256" t="e">
        <f>(BB26/BA26)*1</f>
        <v>#VALUE!</v>
      </c>
      <c r="BD26" s="69">
        <v>70900000</v>
      </c>
      <c r="BE26" s="69">
        <v>27980000</v>
      </c>
      <c r="BF26" s="47" t="s">
        <v>281</v>
      </c>
      <c r="BG26" s="281" t="s">
        <v>941</v>
      </c>
      <c r="BH26" s="177">
        <v>1</v>
      </c>
      <c r="BI26" s="85">
        <v>0</v>
      </c>
      <c r="BJ26" s="14">
        <f>(BI26/BH26)*1</f>
        <v>0</v>
      </c>
      <c r="BK26" s="69"/>
      <c r="BL26" s="69"/>
      <c r="BM26" s="85" t="s">
        <v>281</v>
      </c>
      <c r="BN26" s="326" t="s">
        <v>521</v>
      </c>
      <c r="BO26" s="111">
        <v>1</v>
      </c>
      <c r="BP26" s="47">
        <v>0</v>
      </c>
      <c r="BQ26" s="256">
        <f>(BP26/BO26)*1</f>
        <v>0</v>
      </c>
      <c r="BR26" s="270">
        <v>0</v>
      </c>
      <c r="BS26" s="270">
        <v>0</v>
      </c>
      <c r="BT26" s="47" t="s">
        <v>281</v>
      </c>
      <c r="BU26" s="282" t="s">
        <v>603</v>
      </c>
      <c r="BV26" s="68">
        <v>1</v>
      </c>
      <c r="BW26" s="47">
        <v>1</v>
      </c>
      <c r="BX26" s="256">
        <f>(BW26/BV26)*1</f>
        <v>1</v>
      </c>
      <c r="BY26" s="272">
        <v>0</v>
      </c>
      <c r="BZ26" s="272">
        <v>0</v>
      </c>
      <c r="CA26" s="268">
        <v>0</v>
      </c>
      <c r="CB26" s="85" t="s">
        <v>1004</v>
      </c>
      <c r="CC26" s="327" t="s">
        <v>1091</v>
      </c>
      <c r="CD26" s="68">
        <v>1</v>
      </c>
      <c r="CE26" s="57">
        <v>1</v>
      </c>
      <c r="CF26" s="54">
        <f>(CE26/CD26)*1</f>
        <v>1</v>
      </c>
      <c r="CG26" s="241">
        <v>0</v>
      </c>
      <c r="CH26" s="241">
        <v>0</v>
      </c>
      <c r="CI26" s="209">
        <v>0</v>
      </c>
      <c r="CJ26" s="85" t="s">
        <v>1004</v>
      </c>
      <c r="CK26" s="386" t="s">
        <v>1119</v>
      </c>
      <c r="CL26" s="47">
        <v>5</v>
      </c>
      <c r="CM26" s="211">
        <v>1</v>
      </c>
      <c r="CN26" s="258">
        <f>CM26/CL26</f>
        <v>0.2</v>
      </c>
    </row>
    <row r="27" spans="1:92" ht="68.25" customHeight="1" x14ac:dyDescent="0.25">
      <c r="A27" s="507"/>
      <c r="B27" s="398" t="s">
        <v>67</v>
      </c>
      <c r="C27" s="505" t="s">
        <v>68</v>
      </c>
      <c r="D27" s="496" t="s">
        <v>69</v>
      </c>
      <c r="E27" s="398" t="s">
        <v>70</v>
      </c>
      <c r="F27" s="47" t="s">
        <v>71</v>
      </c>
      <c r="G27" s="47" t="s">
        <v>72</v>
      </c>
      <c r="H27" s="222" t="s">
        <v>1005</v>
      </c>
      <c r="I27" s="183" t="s">
        <v>73</v>
      </c>
      <c r="J27" s="47" t="s">
        <v>74</v>
      </c>
      <c r="K27" s="398" t="s">
        <v>291</v>
      </c>
      <c r="L27" s="398" t="s">
        <v>309</v>
      </c>
      <c r="M27" s="398" t="s">
        <v>376</v>
      </c>
      <c r="N27" s="398" t="s">
        <v>375</v>
      </c>
      <c r="O27" s="398" t="s">
        <v>377</v>
      </c>
      <c r="P27" s="398" t="s">
        <v>378</v>
      </c>
      <c r="Q27" s="109" t="s">
        <v>74</v>
      </c>
      <c r="R27" s="92" t="s">
        <v>41</v>
      </c>
      <c r="S27" s="530"/>
      <c r="T27" s="530"/>
      <c r="U27" s="530"/>
      <c r="V27" s="530"/>
      <c r="W27" s="398" t="s">
        <v>257</v>
      </c>
      <c r="X27" s="529"/>
      <c r="Y27" s="92" t="s">
        <v>41</v>
      </c>
      <c r="Z27" s="90" t="s">
        <v>661</v>
      </c>
      <c r="AA27" s="256" t="e">
        <f>Z27/Y27</f>
        <v>#VALUE!</v>
      </c>
      <c r="AB27" s="521"/>
      <c r="AC27" s="521"/>
      <c r="AD27" s="398" t="s">
        <v>257</v>
      </c>
      <c r="AE27" s="535" t="s">
        <v>678</v>
      </c>
      <c r="AF27" s="546">
        <v>0.5</v>
      </c>
      <c r="AG27" s="556">
        <v>0.41</v>
      </c>
      <c r="AH27" s="256">
        <f>AG27/AF27</f>
        <v>0.82</v>
      </c>
      <c r="AI27" s="554"/>
      <c r="AJ27" s="554"/>
      <c r="AK27" s="398" t="s">
        <v>257</v>
      </c>
      <c r="AL27" s="557" t="s">
        <v>742</v>
      </c>
      <c r="AM27" s="545" t="s">
        <v>83</v>
      </c>
      <c r="AN27" s="556">
        <v>0.41</v>
      </c>
      <c r="AO27" s="256" t="e">
        <f>AN27/AM27</f>
        <v>#VALUE!</v>
      </c>
      <c r="AP27" s="554"/>
      <c r="AQ27" s="554"/>
      <c r="AR27" s="398" t="s">
        <v>257</v>
      </c>
      <c r="AS27" s="557"/>
      <c r="AT27" s="567"/>
      <c r="AU27" s="671"/>
      <c r="AV27" s="256" t="e">
        <f>AU27/AT27</f>
        <v>#DIV/0!</v>
      </c>
      <c r="AW27" s="573"/>
      <c r="AX27" s="573"/>
      <c r="AY27" s="398" t="s">
        <v>257</v>
      </c>
      <c r="AZ27" s="681"/>
      <c r="BA27" s="314">
        <v>0.85</v>
      </c>
      <c r="BB27" s="292">
        <v>0.66</v>
      </c>
      <c r="BC27" s="256">
        <f>BB27/BA27</f>
        <v>0.77647058823529413</v>
      </c>
      <c r="BD27" s="554" t="s">
        <v>923</v>
      </c>
      <c r="BE27" s="554" t="s">
        <v>924</v>
      </c>
      <c r="BF27" s="398" t="s">
        <v>257</v>
      </c>
      <c r="BG27" s="557" t="s">
        <v>942</v>
      </c>
      <c r="BH27" s="299">
        <v>0.86699999999999999</v>
      </c>
      <c r="BI27" s="328">
        <v>0.85680000000000001</v>
      </c>
      <c r="BJ27" s="14">
        <f>BI27/BH27</f>
        <v>0.9882352941176471</v>
      </c>
      <c r="BK27" s="554"/>
      <c r="BL27" s="69"/>
      <c r="BM27" s="491" t="s">
        <v>257</v>
      </c>
      <c r="BN27" s="277" t="s">
        <v>522</v>
      </c>
      <c r="BO27" s="306">
        <v>0.878</v>
      </c>
      <c r="BP27" s="36">
        <v>0.76090000000000002</v>
      </c>
      <c r="BQ27" s="256">
        <f>BP27/BO27</f>
        <v>0.86662870159453309</v>
      </c>
      <c r="BR27" s="521">
        <v>0</v>
      </c>
      <c r="BS27" s="521">
        <v>0</v>
      </c>
      <c r="BT27" s="398" t="s">
        <v>257</v>
      </c>
      <c r="BU27" s="280" t="s">
        <v>604</v>
      </c>
      <c r="BV27" s="501">
        <v>0.89900000000000002</v>
      </c>
      <c r="BW27" s="503">
        <v>0.63339999999999996</v>
      </c>
      <c r="BX27" s="256">
        <v>0</v>
      </c>
      <c r="BY27" s="521">
        <f>918000000+359582746+698802400+12000000</f>
        <v>1988385146</v>
      </c>
      <c r="BZ27" s="403">
        <f>107874824+209640720+12000000</f>
        <v>329515544</v>
      </c>
      <c r="CA27" s="629">
        <f>BZ27/BY27</f>
        <v>0.16572017984688767</v>
      </c>
      <c r="CB27" s="222" t="s">
        <v>1005</v>
      </c>
      <c r="CC27" s="200" t="s">
        <v>1049</v>
      </c>
      <c r="CD27" s="429">
        <v>0.9</v>
      </c>
      <c r="CE27" s="469">
        <v>0.63339999999999996</v>
      </c>
      <c r="CF27" s="393">
        <v>0</v>
      </c>
      <c r="CG27" s="427">
        <f>918000000+359582746+698802400+12000000+714286</f>
        <v>1989099432</v>
      </c>
      <c r="CH27" s="421">
        <f>107874824+209640720+12000000+714286</f>
        <v>330229830</v>
      </c>
      <c r="CI27" s="471">
        <f>CH27/CG27</f>
        <v>0.16601976989554537</v>
      </c>
      <c r="CJ27" s="222" t="s">
        <v>1005</v>
      </c>
      <c r="CK27" s="382" t="s">
        <v>1153</v>
      </c>
      <c r="CL27" s="694">
        <v>0.9</v>
      </c>
      <c r="CM27" s="469">
        <v>0.63339999999999996</v>
      </c>
      <c r="CN27" s="393">
        <v>0</v>
      </c>
    </row>
    <row r="28" spans="1:92" ht="15" customHeight="1" x14ac:dyDescent="0.25">
      <c r="A28" s="507"/>
      <c r="B28" s="398"/>
      <c r="C28" s="505"/>
      <c r="D28" s="496"/>
      <c r="E28" s="398"/>
      <c r="F28" s="398" t="s">
        <v>75</v>
      </c>
      <c r="G28" s="398" t="s">
        <v>72</v>
      </c>
      <c r="H28" s="407" t="s">
        <v>1005</v>
      </c>
      <c r="I28" s="459" t="s">
        <v>76</v>
      </c>
      <c r="J28" s="398" t="s">
        <v>77</v>
      </c>
      <c r="K28" s="398"/>
      <c r="L28" s="398"/>
      <c r="M28" s="398"/>
      <c r="N28" s="398"/>
      <c r="O28" s="398"/>
      <c r="P28" s="398"/>
      <c r="Q28" s="528" t="s">
        <v>77</v>
      </c>
      <c r="R28" s="92" t="s">
        <v>41</v>
      </c>
      <c r="S28" s="525"/>
      <c r="T28" s="525"/>
      <c r="U28" s="525"/>
      <c r="V28" s="525"/>
      <c r="W28" s="398"/>
      <c r="X28" s="529"/>
      <c r="Y28" s="92" t="s">
        <v>41</v>
      </c>
      <c r="Z28" s="90" t="s">
        <v>661</v>
      </c>
      <c r="AA28" s="438" t="e">
        <f>Z28/Y28</f>
        <v>#VALUE!</v>
      </c>
      <c r="AB28" s="521"/>
      <c r="AC28" s="521"/>
      <c r="AD28" s="398"/>
      <c r="AE28" s="535"/>
      <c r="AF28" s="546"/>
      <c r="AG28" s="556"/>
      <c r="AH28" s="438" t="e">
        <f>AG28/AF28</f>
        <v>#DIV/0!</v>
      </c>
      <c r="AI28" s="554"/>
      <c r="AJ28" s="554"/>
      <c r="AK28" s="398"/>
      <c r="AL28" s="557"/>
      <c r="AM28" s="545"/>
      <c r="AN28" s="491"/>
      <c r="AO28" s="438" t="e">
        <f>AN28/AM28</f>
        <v>#DIV/0!</v>
      </c>
      <c r="AP28" s="554"/>
      <c r="AQ28" s="554"/>
      <c r="AR28" s="398"/>
      <c r="AS28" s="557"/>
      <c r="AT28" s="173">
        <v>0.5</v>
      </c>
      <c r="AU28" s="329">
        <v>0.61519999999999997</v>
      </c>
      <c r="AV28" s="438">
        <f>AU28/AT28</f>
        <v>1.2303999999999999</v>
      </c>
      <c r="AW28" s="181" t="s">
        <v>856</v>
      </c>
      <c r="AX28" s="181" t="s">
        <v>856</v>
      </c>
      <c r="AY28" s="398"/>
      <c r="AZ28" s="175" t="s">
        <v>875</v>
      </c>
      <c r="BA28" s="546">
        <v>0.55000000000000004</v>
      </c>
      <c r="BB28" s="556">
        <v>0.42</v>
      </c>
      <c r="BC28" s="438">
        <f>BB28/BA28</f>
        <v>0.76363636363636356</v>
      </c>
      <c r="BD28" s="554"/>
      <c r="BE28" s="554"/>
      <c r="BF28" s="398"/>
      <c r="BG28" s="557"/>
      <c r="BH28" s="546">
        <v>0.52</v>
      </c>
      <c r="BI28" s="556">
        <v>0.5091</v>
      </c>
      <c r="BJ28" s="592">
        <f>BI28/BH28*1</f>
        <v>0.97903846153846152</v>
      </c>
      <c r="BK28" s="554"/>
      <c r="BL28" s="69"/>
      <c r="BM28" s="491"/>
      <c r="BN28" s="578" t="s">
        <v>523</v>
      </c>
      <c r="BO28" s="541">
        <v>0.52</v>
      </c>
      <c r="BP28" s="444">
        <v>0.41539999999999999</v>
      </c>
      <c r="BQ28" s="438">
        <f>BP28/BO28</f>
        <v>0.79884615384615376</v>
      </c>
      <c r="BR28" s="521"/>
      <c r="BS28" s="521"/>
      <c r="BT28" s="398"/>
      <c r="BU28" s="532" t="s">
        <v>605</v>
      </c>
      <c r="BV28" s="502"/>
      <c r="BW28" s="504"/>
      <c r="BX28" s="438">
        <v>0</v>
      </c>
      <c r="BY28" s="521"/>
      <c r="BZ28" s="404"/>
      <c r="CA28" s="631"/>
      <c r="CB28" s="407" t="s">
        <v>1005</v>
      </c>
      <c r="CC28" s="625" t="s">
        <v>1050</v>
      </c>
      <c r="CD28" s="437"/>
      <c r="CE28" s="470"/>
      <c r="CF28" s="406"/>
      <c r="CG28" s="427"/>
      <c r="CH28" s="442"/>
      <c r="CI28" s="472"/>
      <c r="CJ28" s="407" t="s">
        <v>1005</v>
      </c>
      <c r="CK28" s="410" t="s">
        <v>1154</v>
      </c>
      <c r="CL28" s="695"/>
      <c r="CM28" s="470"/>
      <c r="CN28" s="394"/>
    </row>
    <row r="29" spans="1:92" ht="95.25" customHeight="1" x14ac:dyDescent="0.25">
      <c r="A29" s="507"/>
      <c r="B29" s="398"/>
      <c r="C29" s="505"/>
      <c r="D29" s="496"/>
      <c r="E29" s="398"/>
      <c r="F29" s="398"/>
      <c r="G29" s="398"/>
      <c r="H29" s="428"/>
      <c r="I29" s="459"/>
      <c r="J29" s="398"/>
      <c r="K29" s="398"/>
      <c r="L29" s="398"/>
      <c r="M29" s="398"/>
      <c r="N29" s="398"/>
      <c r="O29" s="398"/>
      <c r="P29" s="398"/>
      <c r="Q29" s="528"/>
      <c r="R29" s="92" t="s">
        <v>41</v>
      </c>
      <c r="S29" s="525"/>
      <c r="T29" s="525"/>
      <c r="U29" s="525"/>
      <c r="V29" s="525"/>
      <c r="W29" s="398"/>
      <c r="X29" s="529"/>
      <c r="Y29" s="92" t="s">
        <v>41</v>
      </c>
      <c r="Z29" s="90" t="s">
        <v>661</v>
      </c>
      <c r="AA29" s="438"/>
      <c r="AB29" s="521"/>
      <c r="AC29" s="521"/>
      <c r="AD29" s="398"/>
      <c r="AE29" s="535" t="s">
        <v>679</v>
      </c>
      <c r="AF29" s="177">
        <v>5</v>
      </c>
      <c r="AG29" s="85">
        <v>5</v>
      </c>
      <c r="AH29" s="438"/>
      <c r="AI29" s="69" t="s">
        <v>701</v>
      </c>
      <c r="AJ29" s="69" t="s">
        <v>702</v>
      </c>
      <c r="AK29" s="398"/>
      <c r="AL29" s="192" t="s">
        <v>743</v>
      </c>
      <c r="AM29" s="147">
        <v>6</v>
      </c>
      <c r="AN29" s="68">
        <v>3</v>
      </c>
      <c r="AO29" s="438"/>
      <c r="AP29" s="119">
        <v>1186000000</v>
      </c>
      <c r="AQ29" s="330">
        <v>976986480</v>
      </c>
      <c r="AR29" s="398"/>
      <c r="AS29" s="163" t="s">
        <v>824</v>
      </c>
      <c r="AT29" s="568">
        <v>7</v>
      </c>
      <c r="AU29" s="570">
        <v>9</v>
      </c>
      <c r="AV29" s="438"/>
      <c r="AW29" s="572" t="s">
        <v>856</v>
      </c>
      <c r="AX29" s="525" t="s">
        <v>856</v>
      </c>
      <c r="AY29" s="398"/>
      <c r="AZ29" s="687" t="s">
        <v>876</v>
      </c>
      <c r="BA29" s="545"/>
      <c r="BB29" s="491"/>
      <c r="BC29" s="438"/>
      <c r="BD29" s="554"/>
      <c r="BE29" s="554"/>
      <c r="BF29" s="398"/>
      <c r="BG29" s="557"/>
      <c r="BH29" s="546"/>
      <c r="BI29" s="556"/>
      <c r="BJ29" s="592"/>
      <c r="BK29" s="554"/>
      <c r="BL29" s="69"/>
      <c r="BM29" s="491"/>
      <c r="BN29" s="578"/>
      <c r="BO29" s="541"/>
      <c r="BP29" s="444"/>
      <c r="BQ29" s="438"/>
      <c r="BR29" s="521"/>
      <c r="BS29" s="521"/>
      <c r="BT29" s="398"/>
      <c r="BU29" s="532"/>
      <c r="BV29" s="71">
        <v>0.53400000000000003</v>
      </c>
      <c r="BW29" s="256">
        <v>0.36549999999999999</v>
      </c>
      <c r="BX29" s="438"/>
      <c r="BY29" s="521"/>
      <c r="BZ29" s="405"/>
      <c r="CA29" s="630"/>
      <c r="CB29" s="428"/>
      <c r="CC29" s="626"/>
      <c r="CD29" s="68" t="s">
        <v>1103</v>
      </c>
      <c r="CE29" s="56">
        <v>0.36549999999999999</v>
      </c>
      <c r="CF29" s="221">
        <v>0</v>
      </c>
      <c r="CG29" s="427"/>
      <c r="CH29" s="422"/>
      <c r="CI29" s="473"/>
      <c r="CJ29" s="428"/>
      <c r="CK29" s="443"/>
      <c r="CL29" s="245">
        <v>0.55000000000000004</v>
      </c>
      <c r="CM29" s="56">
        <v>0.36549999999999999</v>
      </c>
      <c r="CN29" s="227">
        <v>0</v>
      </c>
    </row>
    <row r="30" spans="1:92" ht="89.25" customHeight="1" x14ac:dyDescent="0.25">
      <c r="A30" s="507"/>
      <c r="B30" s="398"/>
      <c r="C30" s="505"/>
      <c r="D30" s="496" t="s">
        <v>78</v>
      </c>
      <c r="E30" s="47" t="s">
        <v>79</v>
      </c>
      <c r="F30" s="47" t="s">
        <v>439</v>
      </c>
      <c r="G30" s="47" t="s">
        <v>72</v>
      </c>
      <c r="H30" s="85" t="s">
        <v>1005</v>
      </c>
      <c r="I30" s="47">
        <v>4</v>
      </c>
      <c r="J30" s="47">
        <v>8</v>
      </c>
      <c r="K30" s="47" t="s">
        <v>291</v>
      </c>
      <c r="L30" s="47" t="s">
        <v>309</v>
      </c>
      <c r="M30" s="47">
        <v>2201030</v>
      </c>
      <c r="N30" s="47" t="s">
        <v>310</v>
      </c>
      <c r="O30" s="47">
        <v>220103000</v>
      </c>
      <c r="P30" s="47" t="s">
        <v>311</v>
      </c>
      <c r="Q30" s="109">
        <v>8</v>
      </c>
      <c r="R30" s="92" t="s">
        <v>41</v>
      </c>
      <c r="S30" s="525"/>
      <c r="T30" s="525"/>
      <c r="U30" s="525"/>
      <c r="V30" s="525"/>
      <c r="W30" s="47" t="s">
        <v>258</v>
      </c>
      <c r="X30" s="529"/>
      <c r="Y30" s="92" t="s">
        <v>41</v>
      </c>
      <c r="Z30" s="90" t="s">
        <v>661</v>
      </c>
      <c r="AA30" s="256" t="e">
        <f>(Z30/Y30)*1</f>
        <v>#VALUE!</v>
      </c>
      <c r="AB30" s="270"/>
      <c r="AC30" s="270"/>
      <c r="AD30" s="47" t="s">
        <v>258</v>
      </c>
      <c r="AE30" s="535"/>
      <c r="AF30" s="314">
        <v>0.4</v>
      </c>
      <c r="AG30" s="292">
        <v>0.19</v>
      </c>
      <c r="AH30" s="256">
        <f>(AG30/AF30)*1</f>
        <v>0.47499999999999998</v>
      </c>
      <c r="AI30" s="554">
        <v>130000000</v>
      </c>
      <c r="AJ30" s="554">
        <v>988000</v>
      </c>
      <c r="AK30" s="47" t="s">
        <v>258</v>
      </c>
      <c r="AL30" s="192" t="s">
        <v>744</v>
      </c>
      <c r="AM30" s="177" t="s">
        <v>778</v>
      </c>
      <c r="AN30" s="85" t="s">
        <v>41</v>
      </c>
      <c r="AO30" s="256" t="e">
        <f>(AN30/AM30)*1</f>
        <v>#VALUE!</v>
      </c>
      <c r="AP30" s="554" t="s">
        <v>793</v>
      </c>
      <c r="AQ30" s="554">
        <v>67600000</v>
      </c>
      <c r="AR30" s="47" t="s">
        <v>258</v>
      </c>
      <c r="AS30" s="557" t="s">
        <v>825</v>
      </c>
      <c r="AT30" s="568"/>
      <c r="AU30" s="570"/>
      <c r="AV30" s="256" t="e">
        <f>(AU30/AT30)*1</f>
        <v>#DIV/0!</v>
      </c>
      <c r="AW30" s="572"/>
      <c r="AX30" s="525"/>
      <c r="AY30" s="47" t="s">
        <v>258</v>
      </c>
      <c r="AZ30" s="686"/>
      <c r="BA30" s="177">
        <v>8</v>
      </c>
      <c r="BB30" s="85">
        <v>8</v>
      </c>
      <c r="BC30" s="256">
        <f>(BB30/BA30)*1</f>
        <v>1</v>
      </c>
      <c r="BD30" s="69" t="s">
        <v>925</v>
      </c>
      <c r="BE30" s="69" t="s">
        <v>926</v>
      </c>
      <c r="BF30" s="47" t="s">
        <v>258</v>
      </c>
      <c r="BG30" s="192" t="s">
        <v>943</v>
      </c>
      <c r="BH30" s="154">
        <v>8</v>
      </c>
      <c r="BI30" s="85">
        <v>8</v>
      </c>
      <c r="BJ30" s="14">
        <f>(BI30/BH30)*1</f>
        <v>1</v>
      </c>
      <c r="BK30" s="69"/>
      <c r="BL30" s="69"/>
      <c r="BM30" s="85" t="s">
        <v>258</v>
      </c>
      <c r="BN30" s="331" t="s">
        <v>524</v>
      </c>
      <c r="BO30" s="95">
        <v>8</v>
      </c>
      <c r="BP30" s="47">
        <v>8</v>
      </c>
      <c r="BQ30" s="256">
        <f>(BP30/BO30)*1</f>
        <v>1</v>
      </c>
      <c r="BR30" s="270"/>
      <c r="BS30" s="270"/>
      <c r="BT30" s="47" t="s">
        <v>258</v>
      </c>
      <c r="BU30" s="332" t="s">
        <v>606</v>
      </c>
      <c r="BV30" s="243">
        <v>8</v>
      </c>
      <c r="BW30" s="188">
        <v>4</v>
      </c>
      <c r="BX30" s="256">
        <f>(BW30/BV30)*1</f>
        <v>0.5</v>
      </c>
      <c r="BY30" s="270">
        <v>0</v>
      </c>
      <c r="BZ30" s="270">
        <v>0</v>
      </c>
      <c r="CA30" s="256">
        <v>0</v>
      </c>
      <c r="CB30" s="85" t="s">
        <v>1005</v>
      </c>
      <c r="CC30" s="116" t="s">
        <v>1092</v>
      </c>
      <c r="CD30" s="243">
        <v>8</v>
      </c>
      <c r="CE30" s="262">
        <v>4</v>
      </c>
      <c r="CF30" s="54">
        <f>(CE30/CD30)*1</f>
        <v>0.5</v>
      </c>
      <c r="CG30" s="55">
        <v>0</v>
      </c>
      <c r="CH30" s="55">
        <v>0</v>
      </c>
      <c r="CI30" s="54">
        <v>0</v>
      </c>
      <c r="CJ30" s="85" t="s">
        <v>1005</v>
      </c>
      <c r="CK30" s="385" t="s">
        <v>1120</v>
      </c>
      <c r="CL30" s="47">
        <v>8</v>
      </c>
      <c r="CM30" s="57">
        <v>4</v>
      </c>
      <c r="CN30" s="60">
        <f>CM30/CL30</f>
        <v>0.5</v>
      </c>
    </row>
    <row r="31" spans="1:92" ht="195.75" customHeight="1" x14ac:dyDescent="0.25">
      <c r="A31" s="507"/>
      <c r="B31" s="398"/>
      <c r="C31" s="505"/>
      <c r="D31" s="496"/>
      <c r="E31" s="47" t="s">
        <v>454</v>
      </c>
      <c r="F31" s="47" t="s">
        <v>80</v>
      </c>
      <c r="G31" s="47" t="s">
        <v>81</v>
      </c>
      <c r="H31" s="85" t="s">
        <v>1006</v>
      </c>
      <c r="I31" s="36" t="s">
        <v>82</v>
      </c>
      <c r="J31" s="47" t="s">
        <v>83</v>
      </c>
      <c r="K31" s="47" t="s">
        <v>291</v>
      </c>
      <c r="L31" s="47" t="s">
        <v>312</v>
      </c>
      <c r="M31" s="47" t="s">
        <v>293</v>
      </c>
      <c r="N31" s="47" t="s">
        <v>313</v>
      </c>
      <c r="O31" s="47" t="s">
        <v>293</v>
      </c>
      <c r="P31" s="47" t="s">
        <v>314</v>
      </c>
      <c r="Q31" s="109" t="s">
        <v>83</v>
      </c>
      <c r="R31" s="92" t="s">
        <v>41</v>
      </c>
      <c r="S31" s="525"/>
      <c r="T31" s="525"/>
      <c r="U31" s="525"/>
      <c r="V31" s="525"/>
      <c r="W31" s="398" t="s">
        <v>259</v>
      </c>
      <c r="X31" s="297"/>
      <c r="Y31" s="92" t="s">
        <v>41</v>
      </c>
      <c r="Z31" s="90" t="s">
        <v>661</v>
      </c>
      <c r="AA31" s="256">
        <v>1</v>
      </c>
      <c r="AB31" s="270"/>
      <c r="AC31" s="270"/>
      <c r="AD31" s="398" t="s">
        <v>259</v>
      </c>
      <c r="AE31" s="298" t="s">
        <v>680</v>
      </c>
      <c r="AF31" s="314">
        <v>0.5</v>
      </c>
      <c r="AG31" s="85" t="s">
        <v>41</v>
      </c>
      <c r="AH31" s="256">
        <v>1</v>
      </c>
      <c r="AI31" s="554"/>
      <c r="AJ31" s="554"/>
      <c r="AK31" s="398" t="s">
        <v>259</v>
      </c>
      <c r="AL31" s="557" t="s">
        <v>745</v>
      </c>
      <c r="AM31" s="314">
        <v>0.5</v>
      </c>
      <c r="AN31" s="292" t="s">
        <v>41</v>
      </c>
      <c r="AO31" s="256">
        <v>1</v>
      </c>
      <c r="AP31" s="554"/>
      <c r="AQ31" s="554"/>
      <c r="AR31" s="398" t="s">
        <v>259</v>
      </c>
      <c r="AS31" s="557"/>
      <c r="AT31" s="315">
        <v>0.24</v>
      </c>
      <c r="AU31" s="286">
        <v>0.44</v>
      </c>
      <c r="AV31" s="256">
        <v>1</v>
      </c>
      <c r="AW31" s="181" t="s">
        <v>856</v>
      </c>
      <c r="AX31" s="181" t="s">
        <v>856</v>
      </c>
      <c r="AY31" s="398" t="s">
        <v>259</v>
      </c>
      <c r="AZ31" s="174" t="s">
        <v>877</v>
      </c>
      <c r="BA31" s="177"/>
      <c r="BB31" s="85"/>
      <c r="BC31" s="256">
        <v>1</v>
      </c>
      <c r="BD31" s="554" t="s">
        <v>927</v>
      </c>
      <c r="BE31" s="554" t="s">
        <v>927</v>
      </c>
      <c r="BF31" s="398" t="s">
        <v>259</v>
      </c>
      <c r="BG31" s="192" t="s">
        <v>944</v>
      </c>
      <c r="BH31" s="333">
        <v>0.4415</v>
      </c>
      <c r="BI31" s="334">
        <v>0.47299999999999998</v>
      </c>
      <c r="BJ31" s="14">
        <v>1</v>
      </c>
      <c r="BK31" s="69" t="s">
        <v>525</v>
      </c>
      <c r="BL31" s="69" t="s">
        <v>526</v>
      </c>
      <c r="BM31" s="491" t="s">
        <v>259</v>
      </c>
      <c r="BN31" s="331" t="s">
        <v>527</v>
      </c>
      <c r="BO31" s="335">
        <v>0.46100000000000002</v>
      </c>
      <c r="BP31" s="266">
        <v>0.47299999999999998</v>
      </c>
      <c r="BQ31" s="256">
        <v>1</v>
      </c>
      <c r="BR31" s="270" t="s">
        <v>468</v>
      </c>
      <c r="BS31" s="270" t="s">
        <v>469</v>
      </c>
      <c r="BT31" s="398" t="s">
        <v>259</v>
      </c>
      <c r="BU31" s="332" t="s">
        <v>607</v>
      </c>
      <c r="BV31" s="118" t="s">
        <v>980</v>
      </c>
      <c r="BW31" s="266">
        <v>0.47299999999999998</v>
      </c>
      <c r="BX31" s="256">
        <v>0.93</v>
      </c>
      <c r="BY31" s="270">
        <f>918000000+
3690000</f>
        <v>921690000</v>
      </c>
      <c r="BZ31" s="271">
        <v>3960000</v>
      </c>
      <c r="CA31" s="256">
        <f>BZ31/BY31</f>
        <v>4.296455424274973E-3</v>
      </c>
      <c r="CB31" s="85" t="s">
        <v>1006</v>
      </c>
      <c r="CC31" s="625" t="s">
        <v>1095</v>
      </c>
      <c r="CD31" s="118">
        <v>0.5</v>
      </c>
      <c r="CE31" s="266">
        <v>0.47299999999999998</v>
      </c>
      <c r="CF31" s="259">
        <v>0.86</v>
      </c>
      <c r="CG31" s="55">
        <f>918000000+
3690000+1700000</f>
        <v>923390000</v>
      </c>
      <c r="CH31" s="240">
        <f>3960000+1700000</f>
        <v>5660000</v>
      </c>
      <c r="CI31" s="54">
        <f>CH31/CG31</f>
        <v>6.1295877148333858E-3</v>
      </c>
      <c r="CJ31" s="85" t="s">
        <v>1006</v>
      </c>
      <c r="CK31" s="454" t="s">
        <v>1155</v>
      </c>
      <c r="CL31" s="47" t="s">
        <v>83</v>
      </c>
      <c r="CM31" s="266">
        <v>0.47299999999999998</v>
      </c>
      <c r="CN31" s="259">
        <v>0.86</v>
      </c>
    </row>
    <row r="32" spans="1:92" ht="108" customHeight="1" x14ac:dyDescent="0.25">
      <c r="A32" s="507"/>
      <c r="B32" s="398"/>
      <c r="C32" s="505"/>
      <c r="D32" s="496" t="s">
        <v>84</v>
      </c>
      <c r="E32" s="47" t="s">
        <v>85</v>
      </c>
      <c r="F32" s="47" t="s">
        <v>86</v>
      </c>
      <c r="G32" s="47" t="s">
        <v>81</v>
      </c>
      <c r="H32" s="85" t="s">
        <v>1006</v>
      </c>
      <c r="I32" s="36" t="s">
        <v>87</v>
      </c>
      <c r="J32" s="47" t="s">
        <v>88</v>
      </c>
      <c r="K32" s="398" t="s">
        <v>291</v>
      </c>
      <c r="L32" s="398" t="s">
        <v>309</v>
      </c>
      <c r="M32" s="398">
        <v>2201033</v>
      </c>
      <c r="N32" s="398" t="s">
        <v>315</v>
      </c>
      <c r="O32" s="398">
        <v>220103300</v>
      </c>
      <c r="P32" s="398" t="s">
        <v>316</v>
      </c>
      <c r="Q32" s="109" t="s">
        <v>88</v>
      </c>
      <c r="R32" s="92" t="s">
        <v>41</v>
      </c>
      <c r="S32" s="525"/>
      <c r="T32" s="525"/>
      <c r="U32" s="525"/>
      <c r="V32" s="525"/>
      <c r="W32" s="398"/>
      <c r="X32" s="529"/>
      <c r="Y32" s="92" t="s">
        <v>41</v>
      </c>
      <c r="Z32" s="90" t="s">
        <v>661</v>
      </c>
      <c r="AA32" s="256">
        <v>0.86550000000000005</v>
      </c>
      <c r="AB32" s="270"/>
      <c r="AC32" s="270"/>
      <c r="AD32" s="398"/>
      <c r="AE32" s="535" t="s">
        <v>681</v>
      </c>
      <c r="AF32" s="314">
        <v>0.1</v>
      </c>
      <c r="AG32" s="1">
        <v>8.7999999999999995E-2</v>
      </c>
      <c r="AH32" s="256">
        <v>0.86550000000000005</v>
      </c>
      <c r="AI32" s="554"/>
      <c r="AJ32" s="554"/>
      <c r="AK32" s="398"/>
      <c r="AL32" s="557"/>
      <c r="AM32" s="164">
        <v>0.09</v>
      </c>
      <c r="AN32" s="118" t="s">
        <v>41</v>
      </c>
      <c r="AO32" s="256">
        <v>0.86550000000000005</v>
      </c>
      <c r="AP32" s="554"/>
      <c r="AQ32" s="554"/>
      <c r="AR32" s="398"/>
      <c r="AS32" s="557"/>
      <c r="AT32" s="315">
        <v>0.48</v>
      </c>
      <c r="AU32" s="286">
        <v>0.42</v>
      </c>
      <c r="AV32" s="256">
        <v>0.86550000000000005</v>
      </c>
      <c r="AW32" s="181" t="s">
        <v>856</v>
      </c>
      <c r="AX32" s="181" t="s">
        <v>856</v>
      </c>
      <c r="AY32" s="398"/>
      <c r="AZ32" s="336" t="s">
        <v>878</v>
      </c>
      <c r="BA32" s="314"/>
      <c r="BB32" s="85"/>
      <c r="BC32" s="256">
        <v>0.86550000000000005</v>
      </c>
      <c r="BD32" s="554"/>
      <c r="BE32" s="554"/>
      <c r="BF32" s="398"/>
      <c r="BG32" s="277" t="s">
        <v>945</v>
      </c>
      <c r="BH32" s="337">
        <v>0.47</v>
      </c>
      <c r="BI32" s="338">
        <v>0.54300000000000004</v>
      </c>
      <c r="BJ32" s="14">
        <v>0</v>
      </c>
      <c r="BK32" s="69">
        <v>71030094</v>
      </c>
      <c r="BL32" s="69">
        <v>56824075</v>
      </c>
      <c r="BM32" s="491"/>
      <c r="BN32" s="277" t="s">
        <v>528</v>
      </c>
      <c r="BO32" s="339">
        <v>0.46800000000000003</v>
      </c>
      <c r="BP32" s="183">
        <v>0.54300000000000004</v>
      </c>
      <c r="BQ32" s="256">
        <v>0.86550000000000005</v>
      </c>
      <c r="BR32" s="270">
        <v>0</v>
      </c>
      <c r="BS32" s="270">
        <v>0</v>
      </c>
      <c r="BT32" s="398"/>
      <c r="BU32" s="280" t="s">
        <v>608</v>
      </c>
      <c r="BV32" s="319" t="s">
        <v>981</v>
      </c>
      <c r="BW32" s="183">
        <v>0.54300000000000004</v>
      </c>
      <c r="BX32" s="256">
        <v>0</v>
      </c>
      <c r="BY32" s="270">
        <v>0</v>
      </c>
      <c r="BZ32" s="270">
        <v>0</v>
      </c>
      <c r="CA32" s="256">
        <v>0</v>
      </c>
      <c r="CB32" s="85" t="s">
        <v>1006</v>
      </c>
      <c r="CC32" s="626"/>
      <c r="CD32" s="292">
        <v>0.45</v>
      </c>
      <c r="CE32" s="58">
        <v>0.54300000000000004</v>
      </c>
      <c r="CF32" s="54">
        <v>0</v>
      </c>
      <c r="CG32" s="55">
        <v>0</v>
      </c>
      <c r="CH32" s="55">
        <v>0</v>
      </c>
      <c r="CI32" s="54">
        <v>0</v>
      </c>
      <c r="CJ32" s="85" t="s">
        <v>1006</v>
      </c>
      <c r="CK32" s="436"/>
      <c r="CL32" s="47" t="s">
        <v>88</v>
      </c>
      <c r="CM32" s="58">
        <v>0.54300000000000004</v>
      </c>
      <c r="CN32" s="60">
        <v>0</v>
      </c>
    </row>
    <row r="33" spans="1:92" ht="183" customHeight="1" x14ac:dyDescent="0.25">
      <c r="A33" s="507"/>
      <c r="B33" s="398"/>
      <c r="C33" s="505"/>
      <c r="D33" s="496"/>
      <c r="E33" s="47" t="s">
        <v>89</v>
      </c>
      <c r="F33" s="47" t="s">
        <v>90</v>
      </c>
      <c r="G33" s="47" t="s">
        <v>81</v>
      </c>
      <c r="H33" s="85" t="s">
        <v>1006</v>
      </c>
      <c r="I33" s="36" t="s">
        <v>91</v>
      </c>
      <c r="J33" s="47" t="s">
        <v>92</v>
      </c>
      <c r="K33" s="398"/>
      <c r="L33" s="398"/>
      <c r="M33" s="398"/>
      <c r="N33" s="398"/>
      <c r="O33" s="398"/>
      <c r="P33" s="398"/>
      <c r="Q33" s="109" t="s">
        <v>92</v>
      </c>
      <c r="R33" s="92" t="s">
        <v>41</v>
      </c>
      <c r="S33" s="525"/>
      <c r="T33" s="525"/>
      <c r="U33" s="525"/>
      <c r="V33" s="525"/>
      <c r="W33" s="398"/>
      <c r="X33" s="529"/>
      <c r="Y33" s="92" t="s">
        <v>41</v>
      </c>
      <c r="Z33" s="90" t="s">
        <v>661</v>
      </c>
      <c r="AA33" s="256">
        <v>1</v>
      </c>
      <c r="AB33" s="270"/>
      <c r="AC33" s="270"/>
      <c r="AD33" s="398"/>
      <c r="AE33" s="535"/>
      <c r="AF33" s="314">
        <v>0.55000000000000004</v>
      </c>
      <c r="AG33" s="292">
        <v>0.51</v>
      </c>
      <c r="AH33" s="256">
        <v>1</v>
      </c>
      <c r="AI33" s="554"/>
      <c r="AJ33" s="554"/>
      <c r="AK33" s="398"/>
      <c r="AL33" s="163" t="s">
        <v>746</v>
      </c>
      <c r="AM33" s="314">
        <v>0.57999999999999996</v>
      </c>
      <c r="AN33" s="292" t="s">
        <v>41</v>
      </c>
      <c r="AO33" s="256">
        <v>1</v>
      </c>
      <c r="AP33" s="554"/>
      <c r="AQ33" s="554"/>
      <c r="AR33" s="398"/>
      <c r="AS33" s="557"/>
      <c r="AT33" s="315">
        <v>0.08</v>
      </c>
      <c r="AU33" s="321">
        <v>8.5000000000000006E-2</v>
      </c>
      <c r="AV33" s="256">
        <v>1</v>
      </c>
      <c r="AW33" s="181" t="s">
        <v>856</v>
      </c>
      <c r="AX33" s="181" t="s">
        <v>856</v>
      </c>
      <c r="AY33" s="398"/>
      <c r="AZ33" s="174" t="s">
        <v>879</v>
      </c>
      <c r="BA33" s="314">
        <v>7.0000000000000007E-2</v>
      </c>
      <c r="BB33" s="1" t="s">
        <v>919</v>
      </c>
      <c r="BC33" s="256">
        <v>1</v>
      </c>
      <c r="BD33" s="554"/>
      <c r="BE33" s="554"/>
      <c r="BF33" s="398"/>
      <c r="BG33" s="277" t="s">
        <v>946</v>
      </c>
      <c r="BH33" s="337">
        <v>8.6800000000000002E-2</v>
      </c>
      <c r="BI33" s="338">
        <v>8.7900000000000006E-2</v>
      </c>
      <c r="BJ33" s="14">
        <v>1</v>
      </c>
      <c r="BK33" s="69" t="s">
        <v>529</v>
      </c>
      <c r="BL33" s="69" t="s">
        <v>529</v>
      </c>
      <c r="BM33" s="491"/>
      <c r="BN33" s="277" t="s">
        <v>530</v>
      </c>
      <c r="BO33" s="339">
        <v>8.1199999999999994E-2</v>
      </c>
      <c r="BP33" s="183">
        <v>8.7900000000000006E-2</v>
      </c>
      <c r="BQ33" s="256">
        <v>1</v>
      </c>
      <c r="BR33" s="270">
        <v>0</v>
      </c>
      <c r="BS33" s="270">
        <v>0</v>
      </c>
      <c r="BT33" s="398"/>
      <c r="BU33" s="280" t="s">
        <v>609</v>
      </c>
      <c r="BV33" s="319" t="s">
        <v>982</v>
      </c>
      <c r="BW33" s="183">
        <v>8.7900000000000006E-2</v>
      </c>
      <c r="BX33" s="256">
        <v>0.75</v>
      </c>
      <c r="BY33" s="270">
        <f>359582000+90000000</f>
        <v>449582000</v>
      </c>
      <c r="BZ33" s="270">
        <f>107874824+90000000</f>
        <v>197874824</v>
      </c>
      <c r="CA33" s="256">
        <f>BZ33/BY33</f>
        <v>0.44013066359418301</v>
      </c>
      <c r="CB33" s="85" t="s">
        <v>1006</v>
      </c>
      <c r="CC33" s="200" t="s">
        <v>1051</v>
      </c>
      <c r="CD33" s="118">
        <v>7.0000000000000007E-2</v>
      </c>
      <c r="CE33" s="183">
        <v>8.7900000000000006E-2</v>
      </c>
      <c r="CF33" s="54">
        <v>0.68</v>
      </c>
      <c r="CG33" s="55">
        <f>359582000+90000000+1700000</f>
        <v>451282000</v>
      </c>
      <c r="CH33" s="55">
        <f>107874824+90000000+1700000</f>
        <v>199574824</v>
      </c>
      <c r="CI33" s="54">
        <f>CH33/CG33</f>
        <v>0.4422397170726951</v>
      </c>
      <c r="CJ33" s="85" t="s">
        <v>1006</v>
      </c>
      <c r="CK33" s="382" t="s">
        <v>1156</v>
      </c>
      <c r="CL33" s="47" t="s">
        <v>92</v>
      </c>
      <c r="CM33" s="183">
        <v>8.7900000000000006E-2</v>
      </c>
      <c r="CN33" s="60">
        <v>0.68</v>
      </c>
    </row>
    <row r="34" spans="1:92" ht="116.25" customHeight="1" x14ac:dyDescent="0.25">
      <c r="A34" s="507"/>
      <c r="B34" s="398"/>
      <c r="C34" s="505"/>
      <c r="D34" s="111" t="s">
        <v>93</v>
      </c>
      <c r="E34" s="47" t="s">
        <v>94</v>
      </c>
      <c r="F34" s="47" t="s">
        <v>95</v>
      </c>
      <c r="G34" s="47" t="s">
        <v>81</v>
      </c>
      <c r="H34" s="85" t="s">
        <v>1006</v>
      </c>
      <c r="I34" s="36" t="s">
        <v>96</v>
      </c>
      <c r="J34" s="47" t="s">
        <v>97</v>
      </c>
      <c r="K34" s="47" t="s">
        <v>291</v>
      </c>
      <c r="L34" s="47" t="s">
        <v>312</v>
      </c>
      <c r="M34" s="47" t="s">
        <v>293</v>
      </c>
      <c r="N34" s="47" t="s">
        <v>313</v>
      </c>
      <c r="O34" s="47" t="s">
        <v>293</v>
      </c>
      <c r="P34" s="47" t="s">
        <v>314</v>
      </c>
      <c r="Q34" s="109" t="s">
        <v>97</v>
      </c>
      <c r="R34" s="92" t="s">
        <v>41</v>
      </c>
      <c r="S34" s="525"/>
      <c r="T34" s="525"/>
      <c r="U34" s="525"/>
      <c r="V34" s="525"/>
      <c r="W34" s="398"/>
      <c r="X34" s="529"/>
      <c r="Y34" s="92" t="s">
        <v>41</v>
      </c>
      <c r="Z34" s="90" t="s">
        <v>661</v>
      </c>
      <c r="AA34" s="256" t="e">
        <f>Z34/Y34</f>
        <v>#VALUE!</v>
      </c>
      <c r="AB34" s="270"/>
      <c r="AC34" s="270"/>
      <c r="AD34" s="398"/>
      <c r="AE34" s="535"/>
      <c r="AF34" s="314">
        <v>0.7</v>
      </c>
      <c r="AG34" s="292">
        <v>0.5</v>
      </c>
      <c r="AH34" s="256">
        <f>AG34/AF34</f>
        <v>0.7142857142857143</v>
      </c>
      <c r="AI34" s="69" t="s">
        <v>703</v>
      </c>
      <c r="AJ34" s="69" t="s">
        <v>704</v>
      </c>
      <c r="AK34" s="398"/>
      <c r="AL34" s="192" t="s">
        <v>747</v>
      </c>
      <c r="AM34" s="164">
        <v>0.7</v>
      </c>
      <c r="AN34" s="118">
        <v>0.5</v>
      </c>
      <c r="AO34" s="256">
        <f>AN34/AM34</f>
        <v>0.7142857142857143</v>
      </c>
      <c r="AP34" s="184">
        <v>25750000</v>
      </c>
      <c r="AQ34" s="340">
        <v>22400000</v>
      </c>
      <c r="AR34" s="398"/>
      <c r="AS34" s="172" t="s">
        <v>826</v>
      </c>
      <c r="AT34" s="315">
        <v>0.6</v>
      </c>
      <c r="AU34" s="286">
        <v>0.56899999999999995</v>
      </c>
      <c r="AV34" s="256">
        <f>AU34/AT34</f>
        <v>0.94833333333333325</v>
      </c>
      <c r="AW34" s="181" t="s">
        <v>856</v>
      </c>
      <c r="AX34" s="181" t="s">
        <v>856</v>
      </c>
      <c r="AY34" s="398"/>
      <c r="AZ34" s="174" t="s">
        <v>880</v>
      </c>
      <c r="BA34" s="314">
        <v>0.71</v>
      </c>
      <c r="BB34" s="292">
        <v>0.63</v>
      </c>
      <c r="BC34" s="256">
        <f>BB34/BA34</f>
        <v>0.88732394366197187</v>
      </c>
      <c r="BD34" s="554"/>
      <c r="BE34" s="554"/>
      <c r="BF34" s="398"/>
      <c r="BG34" s="163" t="s">
        <v>947</v>
      </c>
      <c r="BH34" s="341">
        <v>0.68600000000000005</v>
      </c>
      <c r="BI34" s="342">
        <v>0.623</v>
      </c>
      <c r="BJ34" s="14">
        <f>BI34/BH34</f>
        <v>0.90816326530612235</v>
      </c>
      <c r="BK34" s="69"/>
      <c r="BL34" s="69"/>
      <c r="BM34" s="491"/>
      <c r="BN34" s="281" t="s">
        <v>531</v>
      </c>
      <c r="BO34" s="343">
        <v>0.69020000000000004</v>
      </c>
      <c r="BP34" s="344">
        <v>0.623</v>
      </c>
      <c r="BQ34" s="256">
        <f>BP34/BO34</f>
        <v>0.9026369168356998</v>
      </c>
      <c r="BR34" s="270">
        <v>0</v>
      </c>
      <c r="BS34" s="270">
        <v>0</v>
      </c>
      <c r="BT34" s="398"/>
      <c r="BU34" s="308" t="s">
        <v>610</v>
      </c>
      <c r="BV34" s="118">
        <v>0.70199999999999996</v>
      </c>
      <c r="BW34" s="344">
        <v>0.623</v>
      </c>
      <c r="BX34" s="256">
        <v>0.122</v>
      </c>
      <c r="BY34" s="270">
        <v>0</v>
      </c>
      <c r="BZ34" s="272">
        <v>0</v>
      </c>
      <c r="CA34" s="256">
        <f>BY34/BX34</f>
        <v>0</v>
      </c>
      <c r="CB34" s="85" t="s">
        <v>1006</v>
      </c>
      <c r="CC34" s="345" t="s">
        <v>1052</v>
      </c>
      <c r="CD34" s="118">
        <v>0.71</v>
      </c>
      <c r="CE34" s="39">
        <v>0.623</v>
      </c>
      <c r="CF34" s="54">
        <v>0.122</v>
      </c>
      <c r="CG34" s="55">
        <v>0</v>
      </c>
      <c r="CH34" s="241">
        <v>0</v>
      </c>
      <c r="CI34" s="54">
        <f>CG34/CF34</f>
        <v>0</v>
      </c>
      <c r="CJ34" s="85" t="s">
        <v>1006</v>
      </c>
      <c r="CK34" s="385" t="s">
        <v>1157</v>
      </c>
      <c r="CL34" s="47" t="s">
        <v>97</v>
      </c>
      <c r="CM34" s="39">
        <v>0.623</v>
      </c>
      <c r="CN34" s="60">
        <v>0.122</v>
      </c>
    </row>
    <row r="35" spans="1:92" ht="165.75" customHeight="1" x14ac:dyDescent="0.25">
      <c r="A35" s="507"/>
      <c r="B35" s="398" t="s">
        <v>98</v>
      </c>
      <c r="C35" s="505" t="s">
        <v>99</v>
      </c>
      <c r="D35" s="111" t="s">
        <v>100</v>
      </c>
      <c r="E35" s="47" t="s">
        <v>101</v>
      </c>
      <c r="F35" s="47" t="s">
        <v>102</v>
      </c>
      <c r="G35" s="47" t="s">
        <v>103</v>
      </c>
      <c r="H35" s="1" t="s">
        <v>1007</v>
      </c>
      <c r="I35" s="36" t="s">
        <v>104</v>
      </c>
      <c r="J35" s="61">
        <v>0.8</v>
      </c>
      <c r="K35" s="47" t="s">
        <v>291</v>
      </c>
      <c r="L35" s="47" t="s">
        <v>317</v>
      </c>
      <c r="M35" s="47" t="s">
        <v>293</v>
      </c>
      <c r="N35" s="47" t="s">
        <v>318</v>
      </c>
      <c r="O35" s="47" t="s">
        <v>293</v>
      </c>
      <c r="P35" s="47" t="s">
        <v>319</v>
      </c>
      <c r="Q35" s="110">
        <v>0.8</v>
      </c>
      <c r="R35" s="92" t="s">
        <v>41</v>
      </c>
      <c r="S35" s="525"/>
      <c r="T35" s="525"/>
      <c r="U35" s="525"/>
      <c r="V35" s="525"/>
      <c r="W35" s="47" t="s">
        <v>260</v>
      </c>
      <c r="X35" s="274"/>
      <c r="Y35" s="92" t="s">
        <v>41</v>
      </c>
      <c r="Z35" s="90" t="s">
        <v>661</v>
      </c>
      <c r="AA35" s="256" t="e">
        <f>Z35/Y35</f>
        <v>#VALUE!</v>
      </c>
      <c r="AB35" s="270"/>
      <c r="AC35" s="346"/>
      <c r="AD35" s="47" t="s">
        <v>260</v>
      </c>
      <c r="AE35" s="276" t="s">
        <v>670</v>
      </c>
      <c r="AF35" s="314">
        <v>0.6</v>
      </c>
      <c r="AG35" s="292">
        <v>0.86</v>
      </c>
      <c r="AH35" s="256">
        <f>AG35/AF35</f>
        <v>1.4333333333333333</v>
      </c>
      <c r="AI35" s="69">
        <v>28200000</v>
      </c>
      <c r="AJ35" s="69">
        <v>8167000</v>
      </c>
      <c r="AK35" s="47" t="s">
        <v>260</v>
      </c>
      <c r="AL35" s="192" t="s">
        <v>748</v>
      </c>
      <c r="AM35" s="164">
        <v>0.65</v>
      </c>
      <c r="AN35" s="118">
        <v>0.86</v>
      </c>
      <c r="AO35" s="256">
        <f>AN35/AM35</f>
        <v>1.323076923076923</v>
      </c>
      <c r="AP35" s="185">
        <v>29046000</v>
      </c>
      <c r="AQ35" s="120" t="s">
        <v>700</v>
      </c>
      <c r="AR35" s="47" t="s">
        <v>260</v>
      </c>
      <c r="AS35" s="172" t="s">
        <v>827</v>
      </c>
      <c r="AT35" s="315">
        <v>0.72</v>
      </c>
      <c r="AU35" s="286">
        <v>0.5</v>
      </c>
      <c r="AV35" s="256">
        <f>AU35/AT35</f>
        <v>0.69444444444444442</v>
      </c>
      <c r="AW35" s="181" t="s">
        <v>856</v>
      </c>
      <c r="AX35" s="181" t="s">
        <v>856</v>
      </c>
      <c r="AY35" s="47" t="s">
        <v>260</v>
      </c>
      <c r="AZ35" s="324" t="s">
        <v>881</v>
      </c>
      <c r="BA35" s="177">
        <v>12</v>
      </c>
      <c r="BB35" s="85">
        <v>12</v>
      </c>
      <c r="BC35" s="256">
        <f>BB35/BA35</f>
        <v>1</v>
      </c>
      <c r="BD35" s="69"/>
      <c r="BE35" s="69"/>
      <c r="BF35" s="47" t="s">
        <v>260</v>
      </c>
      <c r="BG35" s="192" t="s">
        <v>948</v>
      </c>
      <c r="BH35" s="314">
        <v>0.56000000000000005</v>
      </c>
      <c r="BI35" s="14">
        <f>5/12</f>
        <v>0.41666666666666669</v>
      </c>
      <c r="BJ35" s="14">
        <f>BI35/BH35</f>
        <v>0.74404761904761896</v>
      </c>
      <c r="BK35" s="69" t="s">
        <v>532</v>
      </c>
      <c r="BL35" s="347">
        <v>900</v>
      </c>
      <c r="BM35" s="85" t="s">
        <v>260</v>
      </c>
      <c r="BN35" s="192" t="s">
        <v>533</v>
      </c>
      <c r="BO35" s="325">
        <v>0.74</v>
      </c>
      <c r="BP35" s="256">
        <f>5/12</f>
        <v>0.41666666666666669</v>
      </c>
      <c r="BQ35" s="256">
        <f>BP35/BO35</f>
        <v>0.56306306306306309</v>
      </c>
      <c r="BR35" s="270" t="s">
        <v>461</v>
      </c>
      <c r="BS35" s="346" t="s">
        <v>460</v>
      </c>
      <c r="BT35" s="47" t="s">
        <v>260</v>
      </c>
      <c r="BU35" s="332" t="s">
        <v>611</v>
      </c>
      <c r="BV35" s="118">
        <v>0.72</v>
      </c>
      <c r="BW35" s="256">
        <f>11/12</f>
        <v>0.91666666666666663</v>
      </c>
      <c r="BX35" s="256">
        <v>1</v>
      </c>
      <c r="BY35" s="348">
        <v>90000000</v>
      </c>
      <c r="BZ35" s="349">
        <v>28753833</v>
      </c>
      <c r="CA35" s="256">
        <f>BZ35/BY35</f>
        <v>0.31948703333333334</v>
      </c>
      <c r="CB35" s="1" t="s">
        <v>1007</v>
      </c>
      <c r="CC35" s="350" t="s">
        <v>1053</v>
      </c>
      <c r="CD35" s="118">
        <v>0.8</v>
      </c>
      <c r="CE35" s="56">
        <f>11/12</f>
        <v>0.91666666666666663</v>
      </c>
      <c r="CF35" s="54">
        <v>1</v>
      </c>
      <c r="CG35" s="246">
        <f>90000000+24000000</f>
        <v>114000000</v>
      </c>
      <c r="CH35" s="241">
        <f>28753833+24000000</f>
        <v>52753833</v>
      </c>
      <c r="CI35" s="54">
        <f>CH35/CG35</f>
        <v>0.46275292105263161</v>
      </c>
      <c r="CJ35" s="1" t="s">
        <v>1007</v>
      </c>
      <c r="CK35" s="389" t="s">
        <v>1121</v>
      </c>
      <c r="CL35" s="61">
        <v>0.8</v>
      </c>
      <c r="CM35" s="56">
        <f>11/12</f>
        <v>0.91666666666666663</v>
      </c>
      <c r="CN35" s="60">
        <v>1</v>
      </c>
    </row>
    <row r="36" spans="1:92" ht="123.75" customHeight="1" x14ac:dyDescent="0.25">
      <c r="A36" s="507"/>
      <c r="B36" s="398"/>
      <c r="C36" s="505"/>
      <c r="D36" s="111" t="s">
        <v>105</v>
      </c>
      <c r="E36" s="47" t="s">
        <v>106</v>
      </c>
      <c r="F36" s="47" t="s">
        <v>107</v>
      </c>
      <c r="G36" s="47" t="s">
        <v>108</v>
      </c>
      <c r="H36" s="85" t="s">
        <v>1008</v>
      </c>
      <c r="I36" s="47" t="s">
        <v>109</v>
      </c>
      <c r="J36" s="61">
        <v>1</v>
      </c>
      <c r="K36" s="47" t="s">
        <v>291</v>
      </c>
      <c r="L36" s="47" t="s">
        <v>320</v>
      </c>
      <c r="M36" s="47">
        <v>1903011</v>
      </c>
      <c r="N36" s="47" t="s">
        <v>321</v>
      </c>
      <c r="O36" s="47">
        <v>190301100</v>
      </c>
      <c r="P36" s="47" t="s">
        <v>322</v>
      </c>
      <c r="Q36" s="110">
        <v>1</v>
      </c>
      <c r="R36" s="92" t="s">
        <v>41</v>
      </c>
      <c r="S36" s="525"/>
      <c r="T36" s="525"/>
      <c r="U36" s="525"/>
      <c r="V36" s="525"/>
      <c r="W36" s="47" t="s">
        <v>261</v>
      </c>
      <c r="X36" s="274"/>
      <c r="Y36" s="92" t="s">
        <v>41</v>
      </c>
      <c r="Z36" s="90" t="s">
        <v>661</v>
      </c>
      <c r="AA36" s="256" t="e">
        <f>Z36/Y36</f>
        <v>#VALUE!</v>
      </c>
      <c r="AB36" s="270"/>
      <c r="AC36" s="270"/>
      <c r="AD36" s="47" t="s">
        <v>261</v>
      </c>
      <c r="AE36" s="276" t="s">
        <v>680</v>
      </c>
      <c r="AF36" s="545">
        <v>13</v>
      </c>
      <c r="AG36" s="491">
        <v>13</v>
      </c>
      <c r="AH36" s="256">
        <f>AG36/AF36</f>
        <v>1</v>
      </c>
      <c r="AI36" s="554" t="s">
        <v>705</v>
      </c>
      <c r="AJ36" s="554" t="s">
        <v>706</v>
      </c>
      <c r="AK36" s="47" t="s">
        <v>261</v>
      </c>
      <c r="AL36" s="557" t="s">
        <v>749</v>
      </c>
      <c r="AM36" s="562">
        <v>15</v>
      </c>
      <c r="AN36" s="563">
        <v>15</v>
      </c>
      <c r="AO36" s="256">
        <f>AN36/AM36</f>
        <v>1</v>
      </c>
      <c r="AP36" s="555">
        <v>405652392</v>
      </c>
      <c r="AQ36" s="555">
        <v>222770997</v>
      </c>
      <c r="AR36" s="47" t="s">
        <v>261</v>
      </c>
      <c r="AS36" s="667" t="s">
        <v>828</v>
      </c>
      <c r="AT36" s="315">
        <v>0.7</v>
      </c>
      <c r="AU36" s="286">
        <v>0.7</v>
      </c>
      <c r="AV36" s="256">
        <f>AU36/AT36</f>
        <v>1</v>
      </c>
      <c r="AW36" s="181" t="s">
        <v>856</v>
      </c>
      <c r="AX36" s="181" t="s">
        <v>856</v>
      </c>
      <c r="AY36" s="47" t="s">
        <v>261</v>
      </c>
      <c r="AZ36" s="324" t="s">
        <v>882</v>
      </c>
      <c r="BA36" s="177">
        <v>12</v>
      </c>
      <c r="BB36" s="85">
        <v>12</v>
      </c>
      <c r="BC36" s="256">
        <f>BB36/BA36</f>
        <v>1</v>
      </c>
      <c r="BD36" s="69"/>
      <c r="BE36" s="69"/>
      <c r="BF36" s="47" t="s">
        <v>261</v>
      </c>
      <c r="BG36" s="192" t="s">
        <v>948</v>
      </c>
      <c r="BH36" s="351">
        <v>0.94769999999999999</v>
      </c>
      <c r="BI36" s="14">
        <v>0.85</v>
      </c>
      <c r="BJ36" s="14">
        <f>BI36/BH36</f>
        <v>0.89690830431571167</v>
      </c>
      <c r="BK36" s="69"/>
      <c r="BL36" s="69"/>
      <c r="BM36" s="85" t="s">
        <v>261</v>
      </c>
      <c r="BN36" s="192" t="s">
        <v>534</v>
      </c>
      <c r="BO36" s="269">
        <v>0.96509999999999996</v>
      </c>
      <c r="BP36" s="256">
        <v>0.85</v>
      </c>
      <c r="BQ36" s="256">
        <f>BP36/BO36</f>
        <v>0.88073774738369082</v>
      </c>
      <c r="BR36" s="270">
        <v>0</v>
      </c>
      <c r="BS36" s="270">
        <v>0</v>
      </c>
      <c r="BT36" s="47" t="s">
        <v>261</v>
      </c>
      <c r="BU36" s="191" t="s">
        <v>612</v>
      </c>
      <c r="BV36" s="319">
        <v>0.98250000000000004</v>
      </c>
      <c r="BW36" s="256">
        <v>0.85</v>
      </c>
      <c r="BX36" s="256">
        <v>0.15379999999999999</v>
      </c>
      <c r="BY36" s="272">
        <v>0</v>
      </c>
      <c r="BZ36" s="272">
        <v>0</v>
      </c>
      <c r="CA36" s="256">
        <v>0</v>
      </c>
      <c r="CB36" s="85" t="s">
        <v>1008</v>
      </c>
      <c r="CC36" s="116" t="s">
        <v>1096</v>
      </c>
      <c r="CD36" s="292">
        <v>1</v>
      </c>
      <c r="CE36" s="56">
        <v>0.85</v>
      </c>
      <c r="CF36" s="54">
        <v>0.15379999999999999</v>
      </c>
      <c r="CG36" s="241">
        <v>19200000</v>
      </c>
      <c r="CH36" s="241">
        <v>19200000</v>
      </c>
      <c r="CI36" s="54">
        <f>CH36/CG36</f>
        <v>1</v>
      </c>
      <c r="CJ36" s="85" t="s">
        <v>1008</v>
      </c>
      <c r="CK36" s="385" t="s">
        <v>1122</v>
      </c>
      <c r="CL36" s="61">
        <v>1</v>
      </c>
      <c r="CM36" s="56">
        <v>0.85</v>
      </c>
      <c r="CN36" s="60">
        <v>0.13800000000000001</v>
      </c>
    </row>
    <row r="37" spans="1:92" ht="15" customHeight="1" x14ac:dyDescent="0.25">
      <c r="A37" s="507"/>
      <c r="B37" s="398"/>
      <c r="C37" s="505"/>
      <c r="D37" s="496" t="s">
        <v>110</v>
      </c>
      <c r="E37" s="398" t="s">
        <v>111</v>
      </c>
      <c r="F37" s="398" t="s">
        <v>440</v>
      </c>
      <c r="G37" s="398" t="s">
        <v>112</v>
      </c>
      <c r="H37" s="407" t="s">
        <v>1009</v>
      </c>
      <c r="I37" s="398" t="s">
        <v>37</v>
      </c>
      <c r="J37" s="398" t="s">
        <v>441</v>
      </c>
      <c r="K37" s="398" t="s">
        <v>291</v>
      </c>
      <c r="L37" s="398" t="s">
        <v>323</v>
      </c>
      <c r="M37" s="398">
        <v>4301037</v>
      </c>
      <c r="N37" s="398" t="s">
        <v>324</v>
      </c>
      <c r="O37" s="398">
        <v>430103704</v>
      </c>
      <c r="P37" s="398" t="s">
        <v>325</v>
      </c>
      <c r="Q37" s="528" t="s">
        <v>441</v>
      </c>
      <c r="R37" s="92" t="s">
        <v>41</v>
      </c>
      <c r="S37" s="525"/>
      <c r="T37" s="525"/>
      <c r="U37" s="525"/>
      <c r="V37" s="525"/>
      <c r="W37" s="398" t="s">
        <v>262</v>
      </c>
      <c r="X37" s="549"/>
      <c r="Y37" s="92" t="s">
        <v>41</v>
      </c>
      <c r="Z37" s="90" t="s">
        <v>661</v>
      </c>
      <c r="AA37" s="438">
        <v>1</v>
      </c>
      <c r="AB37" s="521"/>
      <c r="AC37" s="521"/>
      <c r="AD37" s="398" t="s">
        <v>262</v>
      </c>
      <c r="AE37" s="661" t="s">
        <v>670</v>
      </c>
      <c r="AF37" s="545"/>
      <c r="AG37" s="491"/>
      <c r="AH37" s="438">
        <v>1</v>
      </c>
      <c r="AI37" s="554"/>
      <c r="AJ37" s="554"/>
      <c r="AK37" s="398" t="s">
        <v>262</v>
      </c>
      <c r="AL37" s="557"/>
      <c r="AM37" s="562"/>
      <c r="AN37" s="563"/>
      <c r="AO37" s="438">
        <v>1</v>
      </c>
      <c r="AP37" s="555"/>
      <c r="AQ37" s="555"/>
      <c r="AR37" s="398" t="s">
        <v>262</v>
      </c>
      <c r="AS37" s="667"/>
      <c r="AT37" s="568">
        <v>18</v>
      </c>
      <c r="AU37" s="570">
        <v>18</v>
      </c>
      <c r="AV37" s="438">
        <v>1</v>
      </c>
      <c r="AW37" s="572" t="s">
        <v>856</v>
      </c>
      <c r="AX37" s="572" t="s">
        <v>856</v>
      </c>
      <c r="AY37" s="398" t="s">
        <v>262</v>
      </c>
      <c r="AZ37" s="688" t="s">
        <v>883</v>
      </c>
      <c r="BA37" s="545">
        <v>1</v>
      </c>
      <c r="BB37" s="491">
        <v>1</v>
      </c>
      <c r="BC37" s="438">
        <v>1</v>
      </c>
      <c r="BD37" s="554" t="s">
        <v>928</v>
      </c>
      <c r="BE37" s="554">
        <v>120300000</v>
      </c>
      <c r="BF37" s="398" t="s">
        <v>262</v>
      </c>
      <c r="BG37" s="578" t="s">
        <v>949</v>
      </c>
      <c r="BH37" s="605">
        <v>0.21</v>
      </c>
      <c r="BI37" s="592">
        <v>0.75</v>
      </c>
      <c r="BJ37" s="592">
        <v>1</v>
      </c>
      <c r="BK37" s="554" t="s">
        <v>535</v>
      </c>
      <c r="BL37" s="606" t="s">
        <v>536</v>
      </c>
      <c r="BM37" s="491" t="s">
        <v>262</v>
      </c>
      <c r="BN37" s="578" t="s">
        <v>537</v>
      </c>
      <c r="BO37" s="607">
        <v>0.24</v>
      </c>
      <c r="BP37" s="438">
        <v>0.75</v>
      </c>
      <c r="BQ37" s="438">
        <v>1</v>
      </c>
      <c r="BR37" s="521">
        <v>143411000</v>
      </c>
      <c r="BS37" s="521" t="s">
        <v>613</v>
      </c>
      <c r="BT37" s="398" t="s">
        <v>262</v>
      </c>
      <c r="BU37" s="603" t="s">
        <v>614</v>
      </c>
      <c r="BV37" s="455">
        <v>0.27</v>
      </c>
      <c r="BW37" s="438">
        <v>0.75</v>
      </c>
      <c r="BX37" s="438">
        <v>1</v>
      </c>
      <c r="BY37" s="521">
        <f>12894828+14057500+
1253376033+
1405500</f>
        <v>1281733861</v>
      </c>
      <c r="BZ37" s="521">
        <f>12894828+
592550000+
14057500+14057500</f>
        <v>633559828</v>
      </c>
      <c r="CA37" s="629">
        <f>BZ37/BY37</f>
        <v>0.4942990485604406</v>
      </c>
      <c r="CB37" s="407" t="s">
        <v>1009</v>
      </c>
      <c r="CC37" s="634" t="s">
        <v>1054</v>
      </c>
      <c r="CD37" s="455">
        <v>0.3</v>
      </c>
      <c r="CE37" s="457">
        <v>0.75</v>
      </c>
      <c r="CF37" s="399">
        <v>1</v>
      </c>
      <c r="CG37" s="427">
        <f>12894828+14057500+37200000+278428571+300000000+
1253376033+
1405500+830364707+350000000</f>
        <v>3077727139</v>
      </c>
      <c r="CH37" s="427">
        <f>12894828+37200000+278428571+300000000+
592550000+
14057500+14057500+130000000+350000000</f>
        <v>1729188399</v>
      </c>
      <c r="CI37" s="393">
        <f>CH37/CG37</f>
        <v>0.56183940970213475</v>
      </c>
      <c r="CJ37" s="407" t="s">
        <v>1009</v>
      </c>
      <c r="CK37" s="453" t="s">
        <v>1123</v>
      </c>
      <c r="CL37" s="398" t="s">
        <v>441</v>
      </c>
      <c r="CM37" s="716">
        <v>0.75</v>
      </c>
      <c r="CN37" s="393">
        <v>1</v>
      </c>
    </row>
    <row r="38" spans="1:92" ht="83.25" customHeight="1" x14ac:dyDescent="0.25">
      <c r="A38" s="507"/>
      <c r="B38" s="398"/>
      <c r="C38" s="505"/>
      <c r="D38" s="496"/>
      <c r="E38" s="398"/>
      <c r="F38" s="398"/>
      <c r="G38" s="398"/>
      <c r="H38" s="408"/>
      <c r="I38" s="398"/>
      <c r="J38" s="398"/>
      <c r="K38" s="398"/>
      <c r="L38" s="398"/>
      <c r="M38" s="398"/>
      <c r="N38" s="398"/>
      <c r="O38" s="398"/>
      <c r="P38" s="398"/>
      <c r="Q38" s="528"/>
      <c r="R38" s="92" t="s">
        <v>41</v>
      </c>
      <c r="S38" s="525"/>
      <c r="T38" s="525"/>
      <c r="U38" s="525"/>
      <c r="V38" s="525"/>
      <c r="W38" s="398"/>
      <c r="X38" s="549"/>
      <c r="Y38" s="92" t="s">
        <v>41</v>
      </c>
      <c r="Z38" s="90" t="s">
        <v>661</v>
      </c>
      <c r="AA38" s="438"/>
      <c r="AB38" s="521"/>
      <c r="AC38" s="548"/>
      <c r="AD38" s="398"/>
      <c r="AE38" s="661"/>
      <c r="AF38" s="545"/>
      <c r="AG38" s="491"/>
      <c r="AH38" s="438"/>
      <c r="AI38" s="554"/>
      <c r="AJ38" s="554"/>
      <c r="AK38" s="398"/>
      <c r="AL38" s="557"/>
      <c r="AM38" s="562"/>
      <c r="AN38" s="563"/>
      <c r="AO38" s="438"/>
      <c r="AP38" s="555"/>
      <c r="AQ38" s="555"/>
      <c r="AR38" s="398"/>
      <c r="AS38" s="667"/>
      <c r="AT38" s="568"/>
      <c r="AU38" s="570"/>
      <c r="AV38" s="438"/>
      <c r="AW38" s="572"/>
      <c r="AX38" s="572"/>
      <c r="AY38" s="398"/>
      <c r="AZ38" s="688"/>
      <c r="BA38" s="545"/>
      <c r="BB38" s="491"/>
      <c r="BC38" s="438"/>
      <c r="BD38" s="554"/>
      <c r="BE38" s="554"/>
      <c r="BF38" s="398"/>
      <c r="BG38" s="578"/>
      <c r="BH38" s="605"/>
      <c r="BI38" s="592"/>
      <c r="BJ38" s="592"/>
      <c r="BK38" s="554"/>
      <c r="BL38" s="606"/>
      <c r="BM38" s="491"/>
      <c r="BN38" s="578"/>
      <c r="BO38" s="607"/>
      <c r="BP38" s="438"/>
      <c r="BQ38" s="438"/>
      <c r="BR38" s="521"/>
      <c r="BS38" s="548"/>
      <c r="BT38" s="398"/>
      <c r="BU38" s="532"/>
      <c r="BV38" s="456"/>
      <c r="BW38" s="438"/>
      <c r="BX38" s="438"/>
      <c r="BY38" s="521"/>
      <c r="BZ38" s="548"/>
      <c r="CA38" s="631"/>
      <c r="CB38" s="408"/>
      <c r="CC38" s="632"/>
      <c r="CD38" s="456"/>
      <c r="CE38" s="457"/>
      <c r="CF38" s="399"/>
      <c r="CG38" s="427"/>
      <c r="CH38" s="458"/>
      <c r="CI38" s="394"/>
      <c r="CJ38" s="408"/>
      <c r="CK38" s="411"/>
      <c r="CL38" s="398"/>
      <c r="CM38" s="717"/>
      <c r="CN38" s="394"/>
    </row>
    <row r="39" spans="1:92" ht="84.75" customHeight="1" x14ac:dyDescent="0.25">
      <c r="A39" s="507"/>
      <c r="B39" s="398"/>
      <c r="C39" s="505"/>
      <c r="D39" s="496"/>
      <c r="E39" s="398"/>
      <c r="F39" s="398"/>
      <c r="G39" s="398"/>
      <c r="H39" s="428"/>
      <c r="I39" s="398"/>
      <c r="J39" s="398"/>
      <c r="K39" s="398"/>
      <c r="L39" s="398"/>
      <c r="M39" s="398"/>
      <c r="N39" s="398"/>
      <c r="O39" s="398"/>
      <c r="P39" s="398"/>
      <c r="Q39" s="528"/>
      <c r="R39" s="92" t="s">
        <v>41</v>
      </c>
      <c r="S39" s="525"/>
      <c r="T39" s="525"/>
      <c r="U39" s="525"/>
      <c r="V39" s="525"/>
      <c r="W39" s="398"/>
      <c r="X39" s="274"/>
      <c r="Y39" s="92" t="s">
        <v>41</v>
      </c>
      <c r="Z39" s="90" t="s">
        <v>661</v>
      </c>
      <c r="AA39" s="438"/>
      <c r="AB39" s="521"/>
      <c r="AC39" s="548"/>
      <c r="AD39" s="398"/>
      <c r="AE39" s="276" t="s">
        <v>670</v>
      </c>
      <c r="AF39" s="177">
        <v>12</v>
      </c>
      <c r="AG39" s="85">
        <v>12</v>
      </c>
      <c r="AH39" s="438"/>
      <c r="AI39" s="69" t="s">
        <v>707</v>
      </c>
      <c r="AJ39" s="69" t="s">
        <v>708</v>
      </c>
      <c r="AK39" s="398"/>
      <c r="AL39" s="192" t="s">
        <v>750</v>
      </c>
      <c r="AM39" s="147">
        <v>12</v>
      </c>
      <c r="AN39" s="68">
        <v>6</v>
      </c>
      <c r="AO39" s="438"/>
      <c r="AP39" s="120" t="s">
        <v>794</v>
      </c>
      <c r="AQ39" s="121">
        <v>31680000</v>
      </c>
      <c r="AR39" s="398"/>
      <c r="AS39" s="163" t="s">
        <v>829</v>
      </c>
      <c r="AT39" s="171">
        <v>12</v>
      </c>
      <c r="AU39" s="125">
        <v>12</v>
      </c>
      <c r="AV39" s="438"/>
      <c r="AW39" s="181" t="s">
        <v>856</v>
      </c>
      <c r="AX39" s="181" t="s">
        <v>856</v>
      </c>
      <c r="AY39" s="398"/>
      <c r="AZ39" s="174" t="s">
        <v>884</v>
      </c>
      <c r="BA39" s="545"/>
      <c r="BB39" s="491"/>
      <c r="BC39" s="438"/>
      <c r="BD39" s="554"/>
      <c r="BE39" s="554"/>
      <c r="BF39" s="398"/>
      <c r="BG39" s="578"/>
      <c r="BH39" s="605"/>
      <c r="BI39" s="592"/>
      <c r="BJ39" s="592"/>
      <c r="BK39" s="554"/>
      <c r="BL39" s="606"/>
      <c r="BM39" s="491"/>
      <c r="BN39" s="578"/>
      <c r="BO39" s="607"/>
      <c r="BP39" s="438"/>
      <c r="BQ39" s="438"/>
      <c r="BR39" s="521"/>
      <c r="BS39" s="548"/>
      <c r="BT39" s="398"/>
      <c r="BU39" s="532"/>
      <c r="BV39" s="456"/>
      <c r="BW39" s="438"/>
      <c r="BX39" s="438"/>
      <c r="BY39" s="521"/>
      <c r="BZ39" s="548"/>
      <c r="CA39" s="630"/>
      <c r="CB39" s="428"/>
      <c r="CC39" s="626"/>
      <c r="CD39" s="456"/>
      <c r="CE39" s="457"/>
      <c r="CF39" s="399"/>
      <c r="CG39" s="427"/>
      <c r="CH39" s="458"/>
      <c r="CI39" s="406"/>
      <c r="CJ39" s="428"/>
      <c r="CK39" s="443"/>
      <c r="CL39" s="398"/>
      <c r="CM39" s="718"/>
      <c r="CN39" s="406"/>
    </row>
    <row r="40" spans="1:92" s="2" customFormat="1" ht="104.25" customHeight="1" x14ac:dyDescent="0.25">
      <c r="A40" s="507"/>
      <c r="B40" s="398"/>
      <c r="C40" s="505"/>
      <c r="D40" s="112" t="s">
        <v>113</v>
      </c>
      <c r="E40" s="57" t="s">
        <v>114</v>
      </c>
      <c r="F40" s="57" t="s">
        <v>115</v>
      </c>
      <c r="G40" s="57" t="s">
        <v>108</v>
      </c>
      <c r="H40" s="85" t="s">
        <v>1010</v>
      </c>
      <c r="I40" s="57" t="s">
        <v>37</v>
      </c>
      <c r="J40" s="47">
        <v>12</v>
      </c>
      <c r="K40" s="47" t="s">
        <v>291</v>
      </c>
      <c r="L40" s="47" t="s">
        <v>384</v>
      </c>
      <c r="M40" s="47" t="s">
        <v>326</v>
      </c>
      <c r="N40" s="47" t="s">
        <v>442</v>
      </c>
      <c r="O40" s="47" t="s">
        <v>327</v>
      </c>
      <c r="P40" s="47" t="s">
        <v>397</v>
      </c>
      <c r="Q40" s="109">
        <v>12</v>
      </c>
      <c r="R40" s="92" t="s">
        <v>41</v>
      </c>
      <c r="S40" s="525"/>
      <c r="T40" s="525"/>
      <c r="U40" s="525"/>
      <c r="V40" s="525"/>
      <c r="W40" s="47" t="s">
        <v>263</v>
      </c>
      <c r="X40" s="297"/>
      <c r="Y40" s="92" t="s">
        <v>41</v>
      </c>
      <c r="Z40" s="90" t="s">
        <v>661</v>
      </c>
      <c r="AA40" s="256">
        <v>1</v>
      </c>
      <c r="AB40" s="270"/>
      <c r="AC40" s="270"/>
      <c r="AD40" s="47" t="s">
        <v>263</v>
      </c>
      <c r="AE40" s="298" t="s">
        <v>678</v>
      </c>
      <c r="AF40" s="314">
        <v>1</v>
      </c>
      <c r="AG40" s="292">
        <v>1</v>
      </c>
      <c r="AH40" s="256">
        <v>1</v>
      </c>
      <c r="AI40" s="69" t="s">
        <v>709</v>
      </c>
      <c r="AJ40" s="69" t="s">
        <v>710</v>
      </c>
      <c r="AK40" s="47" t="s">
        <v>263</v>
      </c>
      <c r="AL40" s="323" t="s">
        <v>751</v>
      </c>
      <c r="AM40" s="179">
        <v>0.6</v>
      </c>
      <c r="AN40" s="71">
        <v>0.7</v>
      </c>
      <c r="AO40" s="256">
        <v>1</v>
      </c>
      <c r="AP40" s="122" t="s">
        <v>795</v>
      </c>
      <c r="AQ40" s="123">
        <v>43190000</v>
      </c>
      <c r="AR40" s="47" t="s">
        <v>263</v>
      </c>
      <c r="AS40" s="180" t="s">
        <v>830</v>
      </c>
      <c r="AT40" s="315">
        <v>0.65</v>
      </c>
      <c r="AU40" s="286">
        <v>0</v>
      </c>
      <c r="AV40" s="256">
        <v>1</v>
      </c>
      <c r="AW40" s="181" t="s">
        <v>856</v>
      </c>
      <c r="AX40" s="181" t="s">
        <v>856</v>
      </c>
      <c r="AY40" s="47" t="s">
        <v>263</v>
      </c>
      <c r="AZ40" s="197" t="s">
        <v>885</v>
      </c>
      <c r="BA40" s="177">
        <v>12</v>
      </c>
      <c r="BB40" s="85">
        <v>12</v>
      </c>
      <c r="BC40" s="256">
        <v>1</v>
      </c>
      <c r="BD40" s="69" t="s">
        <v>929</v>
      </c>
      <c r="BE40" s="69" t="s">
        <v>930</v>
      </c>
      <c r="BF40" s="47" t="s">
        <v>263</v>
      </c>
      <c r="BG40" s="192" t="s">
        <v>950</v>
      </c>
      <c r="BH40" s="154">
        <v>7</v>
      </c>
      <c r="BI40" s="85">
        <v>0</v>
      </c>
      <c r="BJ40" s="14">
        <f>(BI40/BH40)*1</f>
        <v>0</v>
      </c>
      <c r="BK40" s="69"/>
      <c r="BL40" s="69"/>
      <c r="BM40" s="85" t="s">
        <v>263</v>
      </c>
      <c r="BN40" s="192" t="s">
        <v>538</v>
      </c>
      <c r="BO40" s="95">
        <v>8</v>
      </c>
      <c r="BP40" s="47">
        <v>12</v>
      </c>
      <c r="BQ40" s="256">
        <v>1</v>
      </c>
      <c r="BR40" s="270">
        <v>0</v>
      </c>
      <c r="BS40" s="270">
        <v>5770000</v>
      </c>
      <c r="BT40" s="47" t="s">
        <v>263</v>
      </c>
      <c r="BU40" s="352" t="s">
        <v>615</v>
      </c>
      <c r="BV40" s="353">
        <v>9</v>
      </c>
      <c r="BW40" s="47">
        <v>11</v>
      </c>
      <c r="BX40" s="256">
        <v>1</v>
      </c>
      <c r="BY40" s="348">
        <v>90000000</v>
      </c>
      <c r="BZ40" s="349">
        <v>28753833</v>
      </c>
      <c r="CA40" s="268">
        <v>0</v>
      </c>
      <c r="CB40" s="85" t="s">
        <v>1010</v>
      </c>
      <c r="CC40" s="354" t="s">
        <v>1055</v>
      </c>
      <c r="CD40" s="47">
        <v>12</v>
      </c>
      <c r="CE40" s="47">
        <v>11</v>
      </c>
      <c r="CF40" s="56">
        <f>CE40/CD40</f>
        <v>0.91666666666666663</v>
      </c>
      <c r="CG40" s="246">
        <f>28800000+90000000+48000000</f>
        <v>166800000</v>
      </c>
      <c r="CH40" s="241">
        <f>28753833+28800000+48000000</f>
        <v>105553833</v>
      </c>
      <c r="CI40" s="210">
        <f>CH40/CG40</f>
        <v>0.63281674460431658</v>
      </c>
      <c r="CJ40" s="85" t="s">
        <v>1010</v>
      </c>
      <c r="CK40" s="389" t="s">
        <v>1124</v>
      </c>
      <c r="CL40" s="57">
        <v>12</v>
      </c>
      <c r="CM40" s="211">
        <v>11</v>
      </c>
      <c r="CN40" s="227">
        <f>CM40/CL40</f>
        <v>0.91666666666666663</v>
      </c>
    </row>
    <row r="41" spans="1:92" s="2" customFormat="1" ht="147.75" customHeight="1" x14ac:dyDescent="0.25">
      <c r="A41" s="507"/>
      <c r="B41" s="398"/>
      <c r="C41" s="505"/>
      <c r="D41" s="112" t="s">
        <v>116</v>
      </c>
      <c r="E41" s="57" t="s">
        <v>117</v>
      </c>
      <c r="F41" s="57" t="s">
        <v>118</v>
      </c>
      <c r="G41" s="57" t="s">
        <v>108</v>
      </c>
      <c r="H41" s="85" t="s">
        <v>1010</v>
      </c>
      <c r="I41" s="57" t="s">
        <v>37</v>
      </c>
      <c r="J41" s="61">
        <v>1</v>
      </c>
      <c r="K41" s="47" t="s">
        <v>291</v>
      </c>
      <c r="L41" s="47" t="s">
        <v>328</v>
      </c>
      <c r="M41" s="47" t="s">
        <v>37</v>
      </c>
      <c r="N41" s="47" t="s">
        <v>329</v>
      </c>
      <c r="O41" s="47" t="s">
        <v>37</v>
      </c>
      <c r="P41" s="47" t="s">
        <v>330</v>
      </c>
      <c r="Q41" s="110">
        <v>1</v>
      </c>
      <c r="R41" s="92" t="s">
        <v>41</v>
      </c>
      <c r="S41" s="525"/>
      <c r="T41" s="525"/>
      <c r="U41" s="525"/>
      <c r="V41" s="525"/>
      <c r="W41" s="47" t="s">
        <v>264</v>
      </c>
      <c r="X41" s="529"/>
      <c r="Y41" s="92" t="s">
        <v>41</v>
      </c>
      <c r="Z41" s="90" t="s">
        <v>661</v>
      </c>
      <c r="AA41" s="256">
        <v>1</v>
      </c>
      <c r="AB41" s="270"/>
      <c r="AC41" s="270"/>
      <c r="AD41" s="47" t="s">
        <v>264</v>
      </c>
      <c r="AE41" s="535" t="s">
        <v>682</v>
      </c>
      <c r="AF41" s="177">
        <v>12</v>
      </c>
      <c r="AG41" s="85">
        <v>12</v>
      </c>
      <c r="AH41" s="256">
        <v>1</v>
      </c>
      <c r="AI41" s="554" t="s">
        <v>711</v>
      </c>
      <c r="AJ41" s="554" t="s">
        <v>711</v>
      </c>
      <c r="AK41" s="47" t="s">
        <v>264</v>
      </c>
      <c r="AL41" s="557" t="s">
        <v>752</v>
      </c>
      <c r="AM41" s="147">
        <v>12</v>
      </c>
      <c r="AN41" s="68">
        <v>12</v>
      </c>
      <c r="AO41" s="256">
        <v>1</v>
      </c>
      <c r="AP41" s="659">
        <v>106571580996</v>
      </c>
      <c r="AQ41" s="659">
        <v>47709283071</v>
      </c>
      <c r="AR41" s="47" t="s">
        <v>264</v>
      </c>
      <c r="AS41" s="557" t="s">
        <v>831</v>
      </c>
      <c r="AT41" s="171">
        <v>12</v>
      </c>
      <c r="AU41" s="125">
        <v>12</v>
      </c>
      <c r="AV41" s="256">
        <v>1</v>
      </c>
      <c r="AW41" s="181" t="s">
        <v>856</v>
      </c>
      <c r="AX41" s="181" t="s">
        <v>856</v>
      </c>
      <c r="AY41" s="47" t="s">
        <v>264</v>
      </c>
      <c r="AZ41" s="175" t="s">
        <v>886</v>
      </c>
      <c r="BA41" s="177">
        <v>12</v>
      </c>
      <c r="BB41" s="85">
        <v>10</v>
      </c>
      <c r="BC41" s="256">
        <v>1</v>
      </c>
      <c r="BD41" s="69"/>
      <c r="BE41" s="69"/>
      <c r="BF41" s="47" t="s">
        <v>264</v>
      </c>
      <c r="BG41" s="323" t="s">
        <v>951</v>
      </c>
      <c r="BH41" s="355">
        <v>1</v>
      </c>
      <c r="BI41" s="85">
        <v>0</v>
      </c>
      <c r="BJ41" s="14">
        <v>0</v>
      </c>
      <c r="BK41" s="69"/>
      <c r="BL41" s="69"/>
      <c r="BM41" s="85" t="s">
        <v>264</v>
      </c>
      <c r="BN41" s="323" t="s">
        <v>539</v>
      </c>
      <c r="BO41" s="95">
        <v>100</v>
      </c>
      <c r="BP41" s="47">
        <v>1</v>
      </c>
      <c r="BQ41" s="256">
        <v>1</v>
      </c>
      <c r="BR41" s="270">
        <v>13200000</v>
      </c>
      <c r="BS41" s="270" t="s">
        <v>616</v>
      </c>
      <c r="BT41" s="47" t="s">
        <v>264</v>
      </c>
      <c r="BU41" s="323" t="s">
        <v>617</v>
      </c>
      <c r="BV41" s="61">
        <v>1</v>
      </c>
      <c r="BW41" s="61">
        <v>1</v>
      </c>
      <c r="BX41" s="256">
        <v>1</v>
      </c>
      <c r="BY41" s="272">
        <v>8655000</v>
      </c>
      <c r="BZ41" s="272">
        <v>8655000</v>
      </c>
      <c r="CA41" s="256">
        <f>BZ41/BY41</f>
        <v>1</v>
      </c>
      <c r="CB41" s="85" t="s">
        <v>1010</v>
      </c>
      <c r="CC41" s="117" t="s">
        <v>1056</v>
      </c>
      <c r="CD41" s="118">
        <v>1</v>
      </c>
      <c r="CE41" s="61">
        <v>1</v>
      </c>
      <c r="CF41" s="56">
        <v>1</v>
      </c>
      <c r="CG41" s="241">
        <f>9600000+8655000</f>
        <v>18255000</v>
      </c>
      <c r="CH41" s="241">
        <f>9600000+8655000</f>
        <v>18255000</v>
      </c>
      <c r="CI41" s="56">
        <f>CH41/CG41</f>
        <v>1</v>
      </c>
      <c r="CJ41" s="85" t="s">
        <v>1010</v>
      </c>
      <c r="CK41" s="384" t="s">
        <v>1125</v>
      </c>
      <c r="CL41" s="61">
        <v>1</v>
      </c>
      <c r="CM41" s="61">
        <v>1</v>
      </c>
      <c r="CN41" s="56">
        <f>CM41/CL41</f>
        <v>1</v>
      </c>
    </row>
    <row r="42" spans="1:92" ht="123" customHeight="1" x14ac:dyDescent="0.25">
      <c r="A42" s="507"/>
      <c r="B42" s="398"/>
      <c r="C42" s="505"/>
      <c r="D42" s="496" t="s">
        <v>119</v>
      </c>
      <c r="E42" s="398" t="s">
        <v>120</v>
      </c>
      <c r="F42" s="47" t="s">
        <v>121</v>
      </c>
      <c r="G42" s="47" t="s">
        <v>122</v>
      </c>
      <c r="H42" s="85" t="s">
        <v>1011</v>
      </c>
      <c r="I42" s="47">
        <v>1</v>
      </c>
      <c r="J42" s="47">
        <v>12</v>
      </c>
      <c r="K42" s="398" t="s">
        <v>291</v>
      </c>
      <c r="L42" s="544" t="s">
        <v>331</v>
      </c>
      <c r="M42" s="398">
        <v>1203002</v>
      </c>
      <c r="N42" s="398" t="s">
        <v>332</v>
      </c>
      <c r="O42" s="398">
        <v>120300200</v>
      </c>
      <c r="P42" s="398" t="s">
        <v>333</v>
      </c>
      <c r="Q42" s="109">
        <v>12</v>
      </c>
      <c r="R42" s="92" t="s">
        <v>41</v>
      </c>
      <c r="S42" s="525"/>
      <c r="T42" s="525"/>
      <c r="U42" s="525"/>
      <c r="V42" s="525"/>
      <c r="W42" s="398" t="s">
        <v>265</v>
      </c>
      <c r="X42" s="529"/>
      <c r="Y42" s="92" t="s">
        <v>41</v>
      </c>
      <c r="Z42" s="90" t="s">
        <v>662</v>
      </c>
      <c r="AA42" s="256" t="e">
        <f>Z42/Y42</f>
        <v>#VALUE!</v>
      </c>
      <c r="AB42" s="270"/>
      <c r="AC42" s="270"/>
      <c r="AD42" s="398" t="s">
        <v>265</v>
      </c>
      <c r="AE42" s="535"/>
      <c r="AF42" s="177">
        <v>1</v>
      </c>
      <c r="AG42" s="85">
        <v>1</v>
      </c>
      <c r="AH42" s="256">
        <f>AG42/AF42</f>
        <v>1</v>
      </c>
      <c r="AI42" s="554"/>
      <c r="AJ42" s="554"/>
      <c r="AK42" s="398" t="s">
        <v>265</v>
      </c>
      <c r="AL42" s="557"/>
      <c r="AM42" s="147">
        <v>1</v>
      </c>
      <c r="AN42" s="68">
        <v>1</v>
      </c>
      <c r="AO42" s="256">
        <f>AN42/AM42</f>
        <v>1</v>
      </c>
      <c r="AP42" s="456"/>
      <c r="AQ42" s="456"/>
      <c r="AR42" s="398" t="s">
        <v>265</v>
      </c>
      <c r="AS42" s="557"/>
      <c r="AT42" s="171">
        <v>1</v>
      </c>
      <c r="AU42" s="125">
        <v>1</v>
      </c>
      <c r="AV42" s="256">
        <f>AU42/AT42</f>
        <v>1</v>
      </c>
      <c r="AW42" s="181" t="s">
        <v>856</v>
      </c>
      <c r="AX42" s="181" t="s">
        <v>856</v>
      </c>
      <c r="AY42" s="398" t="s">
        <v>265</v>
      </c>
      <c r="AZ42" s="356" t="s">
        <v>887</v>
      </c>
      <c r="BA42" s="177">
        <v>1</v>
      </c>
      <c r="BB42" s="85">
        <v>1</v>
      </c>
      <c r="BC42" s="256">
        <f>BB42/BA42</f>
        <v>1</v>
      </c>
      <c r="BD42" s="554"/>
      <c r="BE42" s="554"/>
      <c r="BF42" s="398" t="s">
        <v>265</v>
      </c>
      <c r="BG42" s="557" t="s">
        <v>1033</v>
      </c>
      <c r="BH42" s="154">
        <v>12</v>
      </c>
      <c r="BI42" s="85">
        <v>10</v>
      </c>
      <c r="BJ42" s="14">
        <f>BI42/BH42</f>
        <v>0.83333333333333337</v>
      </c>
      <c r="BK42" s="69">
        <v>14200000</v>
      </c>
      <c r="BL42" s="69">
        <v>14200000</v>
      </c>
      <c r="BM42" s="491" t="s">
        <v>265</v>
      </c>
      <c r="BN42" s="277" t="s">
        <v>540</v>
      </c>
      <c r="BO42" s="95">
        <v>12</v>
      </c>
      <c r="BP42" s="47">
        <v>12</v>
      </c>
      <c r="BQ42" s="256">
        <f>BP42/BO42</f>
        <v>1</v>
      </c>
      <c r="BR42" s="270">
        <v>14200000</v>
      </c>
      <c r="BS42" s="270" t="s">
        <v>987</v>
      </c>
      <c r="BT42" s="398" t="s">
        <v>265</v>
      </c>
      <c r="BU42" s="280" t="s">
        <v>988</v>
      </c>
      <c r="BV42" s="234">
        <v>12</v>
      </c>
      <c r="BW42" s="265">
        <v>12</v>
      </c>
      <c r="BX42" s="256">
        <f>BW42/BV42</f>
        <v>1</v>
      </c>
      <c r="BY42" s="272">
        <v>0</v>
      </c>
      <c r="BZ42" s="272">
        <v>0</v>
      </c>
      <c r="CA42" s="256">
        <f>BY42/BX42</f>
        <v>0</v>
      </c>
      <c r="CB42" s="85" t="s">
        <v>1011</v>
      </c>
      <c r="CC42" s="200" t="s">
        <v>1057</v>
      </c>
      <c r="CD42" s="234">
        <v>12</v>
      </c>
      <c r="CE42" s="235">
        <v>12</v>
      </c>
      <c r="CF42" s="259">
        <f>CE42/CD42</f>
        <v>1</v>
      </c>
      <c r="CG42" s="241">
        <f>6000000+9000000+9000000</f>
        <v>24000000</v>
      </c>
      <c r="CH42" s="241">
        <f>9000000+9000000+7500000</f>
        <v>25500000</v>
      </c>
      <c r="CI42" s="54">
        <f>CG42/CH42</f>
        <v>0.94117647058823528</v>
      </c>
      <c r="CJ42" s="85" t="s">
        <v>1011</v>
      </c>
      <c r="CK42" s="382" t="s">
        <v>1126</v>
      </c>
      <c r="CL42" s="47">
        <v>12</v>
      </c>
      <c r="CM42" s="57">
        <v>12</v>
      </c>
      <c r="CN42" s="60">
        <f>CM42/CL42</f>
        <v>1</v>
      </c>
    </row>
    <row r="43" spans="1:92" ht="131.25" customHeight="1" x14ac:dyDescent="0.25">
      <c r="A43" s="507"/>
      <c r="B43" s="398"/>
      <c r="C43" s="505"/>
      <c r="D43" s="496"/>
      <c r="E43" s="398"/>
      <c r="F43" s="57" t="s">
        <v>123</v>
      </c>
      <c r="G43" s="57" t="s">
        <v>124</v>
      </c>
      <c r="H43" s="85" t="s">
        <v>1012</v>
      </c>
      <c r="I43" s="47" t="s">
        <v>125</v>
      </c>
      <c r="J43" s="47" t="s">
        <v>126</v>
      </c>
      <c r="K43" s="398"/>
      <c r="L43" s="544"/>
      <c r="M43" s="398"/>
      <c r="N43" s="398"/>
      <c r="O43" s="398"/>
      <c r="P43" s="398"/>
      <c r="Q43" s="109" t="s">
        <v>126</v>
      </c>
      <c r="R43" s="92" t="s">
        <v>41</v>
      </c>
      <c r="S43" s="525"/>
      <c r="T43" s="525"/>
      <c r="U43" s="525"/>
      <c r="V43" s="525"/>
      <c r="W43" s="398"/>
      <c r="X43" s="274"/>
      <c r="Y43" s="92" t="s">
        <v>41</v>
      </c>
      <c r="Z43" s="90" t="s">
        <v>37</v>
      </c>
      <c r="AA43" s="256">
        <v>1</v>
      </c>
      <c r="AB43" s="270"/>
      <c r="AC43" s="270"/>
      <c r="AD43" s="398"/>
      <c r="AE43" s="276" t="s">
        <v>683</v>
      </c>
      <c r="AF43" s="545">
        <v>1</v>
      </c>
      <c r="AG43" s="491">
        <v>1</v>
      </c>
      <c r="AH43" s="256">
        <v>1</v>
      </c>
      <c r="AI43" s="554"/>
      <c r="AJ43" s="554"/>
      <c r="AK43" s="398"/>
      <c r="AL43" s="557"/>
      <c r="AM43" s="545" t="s">
        <v>693</v>
      </c>
      <c r="AN43" s="491" t="s">
        <v>693</v>
      </c>
      <c r="AO43" s="256">
        <v>1</v>
      </c>
      <c r="AP43" s="554" t="s">
        <v>796</v>
      </c>
      <c r="AQ43" s="554" t="s">
        <v>700</v>
      </c>
      <c r="AR43" s="398"/>
      <c r="AS43" s="557" t="s">
        <v>832</v>
      </c>
      <c r="AT43" s="672">
        <v>1</v>
      </c>
      <c r="AU43" s="570">
        <v>1</v>
      </c>
      <c r="AV43" s="256">
        <v>1</v>
      </c>
      <c r="AW43" s="572" t="s">
        <v>857</v>
      </c>
      <c r="AX43" s="572" t="s">
        <v>858</v>
      </c>
      <c r="AY43" s="398"/>
      <c r="AZ43" s="681" t="s">
        <v>888</v>
      </c>
      <c r="BA43" s="177">
        <v>332</v>
      </c>
      <c r="BB43" s="85">
        <v>200</v>
      </c>
      <c r="BC43" s="256">
        <v>1</v>
      </c>
      <c r="BD43" s="554"/>
      <c r="BE43" s="554"/>
      <c r="BF43" s="398"/>
      <c r="BG43" s="557"/>
      <c r="BH43" s="177">
        <v>234.42</v>
      </c>
      <c r="BI43" s="85">
        <v>306.45999999999998</v>
      </c>
      <c r="BJ43" s="14">
        <v>1</v>
      </c>
      <c r="BK43" s="69">
        <v>97928400</v>
      </c>
      <c r="BL43" s="69">
        <v>27393333</v>
      </c>
      <c r="BM43" s="491"/>
      <c r="BN43" s="277" t="s">
        <v>541</v>
      </c>
      <c r="BO43" s="111">
        <v>234.42</v>
      </c>
      <c r="BP43" s="47">
        <v>306.45999999999998</v>
      </c>
      <c r="BQ43" s="256">
        <v>1</v>
      </c>
      <c r="BR43" s="270">
        <v>97928400</v>
      </c>
      <c r="BS43" s="270" t="s">
        <v>990</v>
      </c>
      <c r="BT43" s="398"/>
      <c r="BU43" s="280" t="s">
        <v>989</v>
      </c>
      <c r="BV43" s="85">
        <v>234.42</v>
      </c>
      <c r="BW43" s="47">
        <v>682</v>
      </c>
      <c r="BX43" s="256">
        <v>0</v>
      </c>
      <c r="BY43" s="270">
        <f>17310000+11170350+
768000+7770000</f>
        <v>37018350</v>
      </c>
      <c r="BZ43" s="270">
        <f>17310000+22340700+384000+7770000</f>
        <v>47804700</v>
      </c>
      <c r="CA43" s="268">
        <v>1</v>
      </c>
      <c r="CB43" s="85" t="s">
        <v>1012</v>
      </c>
      <c r="CC43" s="200" t="s">
        <v>1058</v>
      </c>
      <c r="CD43" s="85" t="s">
        <v>983</v>
      </c>
      <c r="CE43" s="57">
        <v>682</v>
      </c>
      <c r="CF43" s="186">
        <v>0</v>
      </c>
      <c r="CG43" s="55">
        <f>23454000+4000000+17310000+22340700+384000+7770000+9775000</f>
        <v>85033700</v>
      </c>
      <c r="CH43" s="55">
        <f>23454000+4000000+17310000+22340700+384000+7770000+9775000</f>
        <v>85033700</v>
      </c>
      <c r="CI43" s="230">
        <f>CH43/CG43</f>
        <v>1</v>
      </c>
      <c r="CJ43" s="85" t="s">
        <v>1012</v>
      </c>
      <c r="CK43" s="382" t="s">
        <v>1158</v>
      </c>
      <c r="CL43" s="85" t="s">
        <v>126</v>
      </c>
      <c r="CM43" s="260">
        <v>682</v>
      </c>
      <c r="CN43" s="258">
        <v>1</v>
      </c>
    </row>
    <row r="44" spans="1:92" ht="45" customHeight="1" x14ac:dyDescent="0.25">
      <c r="A44" s="507"/>
      <c r="B44" s="398"/>
      <c r="C44" s="505"/>
      <c r="D44" s="496" t="s">
        <v>127</v>
      </c>
      <c r="E44" s="398" t="s">
        <v>128</v>
      </c>
      <c r="F44" s="398" t="s">
        <v>129</v>
      </c>
      <c r="G44" s="398" t="s">
        <v>124</v>
      </c>
      <c r="H44" s="407" t="s">
        <v>1012</v>
      </c>
      <c r="I44" s="398" t="s">
        <v>130</v>
      </c>
      <c r="J44" s="398" t="s">
        <v>126</v>
      </c>
      <c r="K44" s="398" t="s">
        <v>291</v>
      </c>
      <c r="L44" s="544" t="s">
        <v>331</v>
      </c>
      <c r="M44" s="398">
        <v>1203002</v>
      </c>
      <c r="N44" s="398" t="s">
        <v>332</v>
      </c>
      <c r="O44" s="398">
        <v>120300200</v>
      </c>
      <c r="P44" s="398" t="s">
        <v>333</v>
      </c>
      <c r="Q44" s="528" t="s">
        <v>126</v>
      </c>
      <c r="R44" s="92" t="s">
        <v>41</v>
      </c>
      <c r="S44" s="525"/>
      <c r="T44" s="525"/>
      <c r="U44" s="525"/>
      <c r="V44" s="525"/>
      <c r="W44" s="398"/>
      <c r="X44" s="529"/>
      <c r="Y44" s="92" t="s">
        <v>41</v>
      </c>
      <c r="Z44" s="90" t="s">
        <v>37</v>
      </c>
      <c r="AA44" s="438">
        <v>0.76700000000000002</v>
      </c>
      <c r="AB44" s="521"/>
      <c r="AC44" s="521"/>
      <c r="AD44" s="398"/>
      <c r="AE44" s="535" t="s">
        <v>679</v>
      </c>
      <c r="AF44" s="545"/>
      <c r="AG44" s="491"/>
      <c r="AH44" s="438">
        <v>0.76700000000000002</v>
      </c>
      <c r="AI44" s="554"/>
      <c r="AJ44" s="554"/>
      <c r="AK44" s="398"/>
      <c r="AL44" s="557"/>
      <c r="AM44" s="545"/>
      <c r="AN44" s="491"/>
      <c r="AO44" s="438">
        <v>0.76700000000000002</v>
      </c>
      <c r="AP44" s="554"/>
      <c r="AQ44" s="554"/>
      <c r="AR44" s="398"/>
      <c r="AS44" s="557"/>
      <c r="AT44" s="672"/>
      <c r="AU44" s="570"/>
      <c r="AV44" s="438">
        <v>0.76700000000000002</v>
      </c>
      <c r="AW44" s="572"/>
      <c r="AX44" s="572"/>
      <c r="AY44" s="398"/>
      <c r="AZ44" s="681"/>
      <c r="BA44" s="545">
        <v>1</v>
      </c>
      <c r="BB44" s="491">
        <v>1</v>
      </c>
      <c r="BC44" s="438">
        <v>0.76700000000000002</v>
      </c>
      <c r="BD44" s="554"/>
      <c r="BE44" s="554"/>
      <c r="BF44" s="398"/>
      <c r="BG44" s="557"/>
      <c r="BH44" s="596" t="s">
        <v>418</v>
      </c>
      <c r="BI44" s="604">
        <v>0.31940000000000002</v>
      </c>
      <c r="BJ44" s="592">
        <v>0</v>
      </c>
      <c r="BK44" s="554">
        <v>15000000</v>
      </c>
      <c r="BL44" s="554">
        <v>3620000</v>
      </c>
      <c r="BM44" s="491"/>
      <c r="BN44" s="578" t="s">
        <v>542</v>
      </c>
      <c r="BO44" s="600" t="s">
        <v>418</v>
      </c>
      <c r="BP44" s="459">
        <v>0.31940000000000002</v>
      </c>
      <c r="BQ44" s="438">
        <v>0.76700000000000002</v>
      </c>
      <c r="BR44" s="521">
        <v>15000000</v>
      </c>
      <c r="BS44" s="521" t="s">
        <v>618</v>
      </c>
      <c r="BT44" s="398"/>
      <c r="BU44" s="532" t="s">
        <v>619</v>
      </c>
      <c r="BV44" s="528" t="s">
        <v>126</v>
      </c>
      <c r="BW44" s="635">
        <v>56.78</v>
      </c>
      <c r="BX44" s="438">
        <v>0.76700000000000002</v>
      </c>
      <c r="BY44" s="636">
        <v>157000000</v>
      </c>
      <c r="BZ44" s="403">
        <v>0</v>
      </c>
      <c r="CA44" s="629">
        <f>BZ44/BY44</f>
        <v>0</v>
      </c>
      <c r="CB44" s="407" t="s">
        <v>1012</v>
      </c>
      <c r="CC44" s="625" t="s">
        <v>1083</v>
      </c>
      <c r="CD44" s="407" t="s">
        <v>983</v>
      </c>
      <c r="CE44" s="459">
        <v>0.56779999999999997</v>
      </c>
      <c r="CF44" s="447">
        <v>0.76700000000000002</v>
      </c>
      <c r="CG44" s="460">
        <f>157000000+1020000</f>
        <v>158020000</v>
      </c>
      <c r="CH44" s="421">
        <v>10200000</v>
      </c>
      <c r="CI44" s="449">
        <f>CH44/CG44</f>
        <v>6.4548791292241489E-2</v>
      </c>
      <c r="CJ44" s="407" t="s">
        <v>1012</v>
      </c>
      <c r="CK44" s="410" t="s">
        <v>1127</v>
      </c>
      <c r="CL44" s="398" t="s">
        <v>126</v>
      </c>
      <c r="CM44" s="719">
        <v>0.56779999999999997</v>
      </c>
      <c r="CN44" s="449">
        <v>0</v>
      </c>
    </row>
    <row r="45" spans="1:92" ht="97.5" customHeight="1" x14ac:dyDescent="0.25">
      <c r="A45" s="507"/>
      <c r="B45" s="398"/>
      <c r="C45" s="505"/>
      <c r="D45" s="496"/>
      <c r="E45" s="398"/>
      <c r="F45" s="398"/>
      <c r="G45" s="398"/>
      <c r="H45" s="428"/>
      <c r="I45" s="398"/>
      <c r="J45" s="398"/>
      <c r="K45" s="398"/>
      <c r="L45" s="544"/>
      <c r="M45" s="398"/>
      <c r="N45" s="398"/>
      <c r="O45" s="398"/>
      <c r="P45" s="398"/>
      <c r="Q45" s="528"/>
      <c r="R45" s="92" t="s">
        <v>41</v>
      </c>
      <c r="S45" s="525"/>
      <c r="T45" s="525"/>
      <c r="U45" s="525"/>
      <c r="V45" s="525"/>
      <c r="W45" s="398"/>
      <c r="X45" s="529"/>
      <c r="Y45" s="92" t="s">
        <v>41</v>
      </c>
      <c r="Z45" s="90" t="s">
        <v>37</v>
      </c>
      <c r="AA45" s="438"/>
      <c r="AB45" s="521"/>
      <c r="AC45" s="521"/>
      <c r="AD45" s="398"/>
      <c r="AE45" s="535"/>
      <c r="AF45" s="545">
        <v>1</v>
      </c>
      <c r="AG45" s="491">
        <v>1</v>
      </c>
      <c r="AH45" s="438"/>
      <c r="AI45" s="554" t="s">
        <v>712</v>
      </c>
      <c r="AJ45" s="554" t="s">
        <v>713</v>
      </c>
      <c r="AK45" s="398"/>
      <c r="AL45" s="557" t="s">
        <v>753</v>
      </c>
      <c r="AM45" s="559">
        <v>1</v>
      </c>
      <c r="AN45" s="456">
        <v>1</v>
      </c>
      <c r="AO45" s="438"/>
      <c r="AP45" s="555">
        <v>20600000</v>
      </c>
      <c r="AQ45" s="555" t="s">
        <v>700</v>
      </c>
      <c r="AR45" s="398"/>
      <c r="AS45" s="557" t="s">
        <v>833</v>
      </c>
      <c r="AT45" s="672">
        <v>1</v>
      </c>
      <c r="AU45" s="570">
        <v>1</v>
      </c>
      <c r="AV45" s="438"/>
      <c r="AW45" s="573" t="s">
        <v>856</v>
      </c>
      <c r="AX45" s="573" t="s">
        <v>856</v>
      </c>
      <c r="AY45" s="398"/>
      <c r="AZ45" s="681" t="s">
        <v>889</v>
      </c>
      <c r="BA45" s="545"/>
      <c r="BB45" s="491"/>
      <c r="BC45" s="438"/>
      <c r="BD45" s="554"/>
      <c r="BE45" s="554"/>
      <c r="BF45" s="398"/>
      <c r="BG45" s="557"/>
      <c r="BH45" s="596"/>
      <c r="BI45" s="604"/>
      <c r="BJ45" s="592"/>
      <c r="BK45" s="554"/>
      <c r="BL45" s="554"/>
      <c r="BM45" s="491"/>
      <c r="BN45" s="578"/>
      <c r="BO45" s="600"/>
      <c r="BP45" s="459"/>
      <c r="BQ45" s="438"/>
      <c r="BR45" s="521"/>
      <c r="BS45" s="521"/>
      <c r="BT45" s="398"/>
      <c r="BU45" s="532"/>
      <c r="BV45" s="528"/>
      <c r="BW45" s="635"/>
      <c r="BX45" s="438"/>
      <c r="BY45" s="637"/>
      <c r="BZ45" s="405"/>
      <c r="CA45" s="630"/>
      <c r="CB45" s="428"/>
      <c r="CC45" s="626"/>
      <c r="CD45" s="428"/>
      <c r="CE45" s="459"/>
      <c r="CF45" s="447"/>
      <c r="CG45" s="461"/>
      <c r="CH45" s="422"/>
      <c r="CI45" s="450"/>
      <c r="CJ45" s="428"/>
      <c r="CK45" s="443"/>
      <c r="CL45" s="398"/>
      <c r="CM45" s="720"/>
      <c r="CN45" s="450"/>
    </row>
    <row r="46" spans="1:92" ht="51" customHeight="1" x14ac:dyDescent="0.25">
      <c r="A46" s="507"/>
      <c r="B46" s="398"/>
      <c r="C46" s="505"/>
      <c r="D46" s="496" t="s">
        <v>131</v>
      </c>
      <c r="E46" s="398" t="s">
        <v>132</v>
      </c>
      <c r="F46" s="398" t="s">
        <v>133</v>
      </c>
      <c r="G46" s="398" t="s">
        <v>124</v>
      </c>
      <c r="H46" s="407" t="s">
        <v>1013</v>
      </c>
      <c r="I46" s="398" t="s">
        <v>134</v>
      </c>
      <c r="J46" s="398" t="s">
        <v>126</v>
      </c>
      <c r="K46" s="398" t="s">
        <v>334</v>
      </c>
      <c r="L46" s="398" t="s">
        <v>335</v>
      </c>
      <c r="M46" s="398" t="s">
        <v>37</v>
      </c>
      <c r="N46" s="398" t="s">
        <v>336</v>
      </c>
      <c r="O46" s="398" t="s">
        <v>37</v>
      </c>
      <c r="P46" s="398" t="s">
        <v>337</v>
      </c>
      <c r="Q46" s="528" t="s">
        <v>126</v>
      </c>
      <c r="R46" s="92" t="s">
        <v>41</v>
      </c>
      <c r="S46" s="525"/>
      <c r="T46" s="525"/>
      <c r="U46" s="525"/>
      <c r="V46" s="525"/>
      <c r="W46" s="398" t="s">
        <v>266</v>
      </c>
      <c r="X46" s="529"/>
      <c r="Y46" s="92" t="s">
        <v>41</v>
      </c>
      <c r="Z46" s="90" t="s">
        <v>37</v>
      </c>
      <c r="AA46" s="438">
        <v>0.74860000000000004</v>
      </c>
      <c r="AB46" s="521"/>
      <c r="AC46" s="521"/>
      <c r="AD46" s="398" t="s">
        <v>266</v>
      </c>
      <c r="AE46" s="535"/>
      <c r="AF46" s="545"/>
      <c r="AG46" s="491"/>
      <c r="AH46" s="438">
        <v>0.74860000000000004</v>
      </c>
      <c r="AI46" s="554"/>
      <c r="AJ46" s="554"/>
      <c r="AK46" s="398" t="s">
        <v>266</v>
      </c>
      <c r="AL46" s="557"/>
      <c r="AM46" s="559"/>
      <c r="AN46" s="456"/>
      <c r="AO46" s="438">
        <v>0.74860000000000004</v>
      </c>
      <c r="AP46" s="555"/>
      <c r="AQ46" s="555"/>
      <c r="AR46" s="398" t="s">
        <v>266</v>
      </c>
      <c r="AS46" s="557"/>
      <c r="AT46" s="672"/>
      <c r="AU46" s="570"/>
      <c r="AV46" s="438">
        <v>0.74860000000000004</v>
      </c>
      <c r="AW46" s="573"/>
      <c r="AX46" s="573"/>
      <c r="AY46" s="398" t="s">
        <v>266</v>
      </c>
      <c r="AZ46" s="681"/>
      <c r="BA46" s="545">
        <v>933</v>
      </c>
      <c r="BB46" s="491">
        <v>558</v>
      </c>
      <c r="BC46" s="438">
        <v>0.74860000000000004</v>
      </c>
      <c r="BD46" s="554">
        <v>430000000</v>
      </c>
      <c r="BE46" s="554">
        <v>260170284</v>
      </c>
      <c r="BF46" s="398" t="s">
        <v>266</v>
      </c>
      <c r="BG46" s="557" t="s">
        <v>952</v>
      </c>
      <c r="BH46" s="546" t="s">
        <v>417</v>
      </c>
      <c r="BI46" s="564">
        <v>0.1862</v>
      </c>
      <c r="BJ46" s="592">
        <v>0</v>
      </c>
      <c r="BK46" s="554"/>
      <c r="BL46" s="554"/>
      <c r="BM46" s="491" t="s">
        <v>266</v>
      </c>
      <c r="BN46" s="609" t="s">
        <v>543</v>
      </c>
      <c r="BO46" s="541" t="s">
        <v>417</v>
      </c>
      <c r="BP46" s="444">
        <v>0.1862</v>
      </c>
      <c r="BQ46" s="438">
        <v>0.74860000000000004</v>
      </c>
      <c r="BR46" s="521"/>
      <c r="BS46" s="521">
        <v>21000000</v>
      </c>
      <c r="BT46" s="398" t="s">
        <v>266</v>
      </c>
      <c r="BU46" s="608" t="s">
        <v>620</v>
      </c>
      <c r="BV46" s="407" t="s">
        <v>983</v>
      </c>
      <c r="BW46" s="446">
        <v>131</v>
      </c>
      <c r="BX46" s="438">
        <v>0.74860000000000004</v>
      </c>
      <c r="BY46" s="521">
        <f>49862300+85288200+85288200+10000000</f>
        <v>230438700</v>
      </c>
      <c r="BZ46" s="645">
        <f>85288200+85288200+10000000</f>
        <v>180576400</v>
      </c>
      <c r="CA46" s="629">
        <f>BZ46/BY46</f>
        <v>0.78362011242035301</v>
      </c>
      <c r="CB46" s="407" t="s">
        <v>1013</v>
      </c>
      <c r="CC46" s="699" t="s">
        <v>1059</v>
      </c>
      <c r="CD46" s="407" t="s">
        <v>983</v>
      </c>
      <c r="CE46" s="446">
        <v>131</v>
      </c>
      <c r="CF46" s="447">
        <v>0.74860000000000004</v>
      </c>
      <c r="CG46" s="427">
        <f>49862300+85288200+85288200+10000000+26250000+3000000</f>
        <v>259688700</v>
      </c>
      <c r="CH46" s="448">
        <f>85288200+85288200+10000000+12250000+3000000</f>
        <v>195826400</v>
      </c>
      <c r="CI46" s="449">
        <f>CH46/CG46</f>
        <v>0.7540813289141961</v>
      </c>
      <c r="CJ46" s="407" t="s">
        <v>1013</v>
      </c>
      <c r="CK46" s="410" t="s">
        <v>1128</v>
      </c>
      <c r="CL46" s="398" t="s">
        <v>126</v>
      </c>
      <c r="CM46" s="503">
        <v>0.1862</v>
      </c>
      <c r="CN46" s="449">
        <v>0</v>
      </c>
    </row>
    <row r="47" spans="1:92" ht="92.25" customHeight="1" x14ac:dyDescent="0.25">
      <c r="A47" s="507"/>
      <c r="B47" s="398"/>
      <c r="C47" s="505"/>
      <c r="D47" s="496"/>
      <c r="E47" s="398"/>
      <c r="F47" s="398"/>
      <c r="G47" s="398"/>
      <c r="H47" s="428"/>
      <c r="I47" s="398"/>
      <c r="J47" s="398"/>
      <c r="K47" s="398"/>
      <c r="L47" s="398"/>
      <c r="M47" s="398"/>
      <c r="N47" s="398"/>
      <c r="O47" s="398"/>
      <c r="P47" s="398"/>
      <c r="Q47" s="528"/>
      <c r="R47" s="92" t="s">
        <v>41</v>
      </c>
      <c r="S47" s="525"/>
      <c r="T47" s="525"/>
      <c r="U47" s="525"/>
      <c r="V47" s="525"/>
      <c r="W47" s="398"/>
      <c r="X47" s="529"/>
      <c r="Y47" s="92" t="s">
        <v>41</v>
      </c>
      <c r="Z47" s="90" t="s">
        <v>37</v>
      </c>
      <c r="AA47" s="438"/>
      <c r="AB47" s="521"/>
      <c r="AC47" s="521"/>
      <c r="AD47" s="398"/>
      <c r="AE47" s="535"/>
      <c r="AF47" s="177">
        <v>1</v>
      </c>
      <c r="AG47" s="85">
        <v>1</v>
      </c>
      <c r="AH47" s="438"/>
      <c r="AI47" s="69" t="s">
        <v>709</v>
      </c>
      <c r="AJ47" s="69" t="s">
        <v>710</v>
      </c>
      <c r="AK47" s="398"/>
      <c r="AL47" s="163" t="s">
        <v>754</v>
      </c>
      <c r="AM47" s="147">
        <v>1</v>
      </c>
      <c r="AN47" s="68">
        <v>1</v>
      </c>
      <c r="AO47" s="438"/>
      <c r="AP47" s="122" t="s">
        <v>795</v>
      </c>
      <c r="AQ47" s="123">
        <v>43190000</v>
      </c>
      <c r="AR47" s="398"/>
      <c r="AS47" s="180" t="s">
        <v>830</v>
      </c>
      <c r="AT47" s="171">
        <v>1</v>
      </c>
      <c r="AU47" s="125">
        <v>1</v>
      </c>
      <c r="AV47" s="438"/>
      <c r="AW47" s="181" t="s">
        <v>856</v>
      </c>
      <c r="AX47" s="181" t="s">
        <v>856</v>
      </c>
      <c r="AY47" s="398"/>
      <c r="AZ47" s="197" t="s">
        <v>890</v>
      </c>
      <c r="BA47" s="545"/>
      <c r="BB47" s="491"/>
      <c r="BC47" s="438"/>
      <c r="BD47" s="554"/>
      <c r="BE47" s="554"/>
      <c r="BF47" s="398"/>
      <c r="BG47" s="557"/>
      <c r="BH47" s="545"/>
      <c r="BI47" s="564"/>
      <c r="BJ47" s="592"/>
      <c r="BK47" s="554"/>
      <c r="BL47" s="554"/>
      <c r="BM47" s="491"/>
      <c r="BN47" s="609"/>
      <c r="BO47" s="496"/>
      <c r="BP47" s="444"/>
      <c r="BQ47" s="438"/>
      <c r="BR47" s="521"/>
      <c r="BS47" s="521"/>
      <c r="BT47" s="398"/>
      <c r="BU47" s="608"/>
      <c r="BV47" s="428"/>
      <c r="BW47" s="446"/>
      <c r="BX47" s="438"/>
      <c r="BY47" s="521"/>
      <c r="BZ47" s="645"/>
      <c r="CA47" s="630"/>
      <c r="CB47" s="428"/>
      <c r="CC47" s="700"/>
      <c r="CD47" s="428"/>
      <c r="CE47" s="446"/>
      <c r="CF47" s="447"/>
      <c r="CG47" s="427"/>
      <c r="CH47" s="448"/>
      <c r="CI47" s="450"/>
      <c r="CJ47" s="428"/>
      <c r="CK47" s="443"/>
      <c r="CL47" s="398"/>
      <c r="CM47" s="504"/>
      <c r="CN47" s="450"/>
    </row>
    <row r="48" spans="1:92" ht="348.75" customHeight="1" x14ac:dyDescent="0.25">
      <c r="A48" s="507"/>
      <c r="B48" s="398"/>
      <c r="C48" s="505"/>
      <c r="D48" s="111" t="s">
        <v>135</v>
      </c>
      <c r="E48" s="47" t="s">
        <v>136</v>
      </c>
      <c r="F48" s="47" t="s">
        <v>137</v>
      </c>
      <c r="G48" s="47" t="s">
        <v>124</v>
      </c>
      <c r="H48" s="85" t="s">
        <v>1014</v>
      </c>
      <c r="I48" s="47" t="s">
        <v>138</v>
      </c>
      <c r="J48" s="47" t="s">
        <v>126</v>
      </c>
      <c r="K48" s="47" t="s">
        <v>291</v>
      </c>
      <c r="L48" s="47" t="s">
        <v>328</v>
      </c>
      <c r="M48" s="47" t="s">
        <v>37</v>
      </c>
      <c r="N48" s="47" t="s">
        <v>329</v>
      </c>
      <c r="O48" s="47" t="s">
        <v>37</v>
      </c>
      <c r="P48" s="47" t="s">
        <v>330</v>
      </c>
      <c r="Q48" s="109" t="s">
        <v>126</v>
      </c>
      <c r="R48" s="92" t="s">
        <v>41</v>
      </c>
      <c r="S48" s="525"/>
      <c r="T48" s="525"/>
      <c r="U48" s="525"/>
      <c r="V48" s="525"/>
      <c r="W48" s="47" t="s">
        <v>264</v>
      </c>
      <c r="X48" s="529"/>
      <c r="Y48" s="92" t="s">
        <v>41</v>
      </c>
      <c r="Z48" s="90" t="s">
        <v>37</v>
      </c>
      <c r="AA48" s="256">
        <v>0.71279999999999999</v>
      </c>
      <c r="AB48" s="270"/>
      <c r="AC48" s="270"/>
      <c r="AD48" s="47" t="s">
        <v>264</v>
      </c>
      <c r="AE48" s="535"/>
      <c r="AF48" s="177">
        <v>1</v>
      </c>
      <c r="AG48" s="292" t="s">
        <v>37</v>
      </c>
      <c r="AH48" s="256">
        <v>0.71279999999999999</v>
      </c>
      <c r="AI48" s="554" t="s">
        <v>714</v>
      </c>
      <c r="AJ48" s="554" t="s">
        <v>715</v>
      </c>
      <c r="AK48" s="47" t="s">
        <v>264</v>
      </c>
      <c r="AL48" s="553" t="s">
        <v>755</v>
      </c>
      <c r="AM48" s="147">
        <v>1</v>
      </c>
      <c r="AN48" s="68">
        <v>1</v>
      </c>
      <c r="AO48" s="256">
        <v>0.71279999999999999</v>
      </c>
      <c r="AP48" s="555" t="s">
        <v>797</v>
      </c>
      <c r="AQ48" s="555" t="s">
        <v>798</v>
      </c>
      <c r="AR48" s="47" t="s">
        <v>264</v>
      </c>
      <c r="AS48" s="557" t="s">
        <v>834</v>
      </c>
      <c r="AT48" s="171">
        <v>1</v>
      </c>
      <c r="AU48" s="125">
        <v>3</v>
      </c>
      <c r="AV48" s="256">
        <v>0.71279999999999999</v>
      </c>
      <c r="AW48" s="181" t="s">
        <v>856</v>
      </c>
      <c r="AX48" s="181" t="s">
        <v>856</v>
      </c>
      <c r="AY48" s="47" t="s">
        <v>264</v>
      </c>
      <c r="AZ48" s="175" t="s">
        <v>891</v>
      </c>
      <c r="BA48" s="177">
        <v>12</v>
      </c>
      <c r="BB48" s="85">
        <v>10</v>
      </c>
      <c r="BC48" s="256">
        <v>0.71279999999999999</v>
      </c>
      <c r="BD48" s="69"/>
      <c r="BE48" s="69"/>
      <c r="BF48" s="47" t="s">
        <v>264</v>
      </c>
      <c r="BG48" s="323" t="s">
        <v>951</v>
      </c>
      <c r="BH48" s="357" t="s">
        <v>416</v>
      </c>
      <c r="BI48" s="338">
        <v>8.1500000000000003E-2</v>
      </c>
      <c r="BJ48" s="14">
        <v>0</v>
      </c>
      <c r="BK48" s="69"/>
      <c r="BL48" s="69"/>
      <c r="BM48" s="85" t="s">
        <v>264</v>
      </c>
      <c r="BN48" s="287" t="s">
        <v>544</v>
      </c>
      <c r="BO48" s="138" t="s">
        <v>416</v>
      </c>
      <c r="BP48" s="183">
        <v>8.1500000000000003E-2</v>
      </c>
      <c r="BQ48" s="256">
        <v>0.71279999999999999</v>
      </c>
      <c r="BR48" s="270">
        <v>23080000</v>
      </c>
      <c r="BS48" s="270"/>
      <c r="BT48" s="47" t="s">
        <v>264</v>
      </c>
      <c r="BU48" s="290" t="s">
        <v>621</v>
      </c>
      <c r="BV48" s="85" t="s">
        <v>983</v>
      </c>
      <c r="BW48" s="244">
        <v>7.2</v>
      </c>
      <c r="BX48" s="256">
        <v>0.71279999999999999</v>
      </c>
      <c r="BY48" s="272">
        <v>8655000</v>
      </c>
      <c r="BZ48" s="272">
        <v>8655000</v>
      </c>
      <c r="CA48" s="267">
        <f>BZ48/BY48</f>
        <v>1</v>
      </c>
      <c r="CB48" s="85" t="s">
        <v>1014</v>
      </c>
      <c r="CC48" s="291" t="s">
        <v>1060</v>
      </c>
      <c r="CD48" s="85">
        <v>7.2</v>
      </c>
      <c r="CE48" s="244">
        <v>7.2</v>
      </c>
      <c r="CF48" s="186">
        <f>CE48/CD48</f>
        <v>1</v>
      </c>
      <c r="CG48" s="241">
        <f>8655000+10200000+13571428+9600000+47250000+19200000</f>
        <v>108476428</v>
      </c>
      <c r="CH48" s="241">
        <f>8655000+10200000+13571428+9600000+21000000+19200000</f>
        <v>82226428</v>
      </c>
      <c r="CI48" s="213">
        <f>CH48/CG48</f>
        <v>0.75801194338736888</v>
      </c>
      <c r="CJ48" s="85" t="s">
        <v>1014</v>
      </c>
      <c r="CK48" s="388" t="s">
        <v>1129</v>
      </c>
      <c r="CL48" s="47" t="s">
        <v>126</v>
      </c>
      <c r="CM48" s="212">
        <v>7.1999999999999995E-2</v>
      </c>
      <c r="CN48" s="213">
        <v>0</v>
      </c>
    </row>
    <row r="49" spans="1:92" ht="41.25" customHeight="1" x14ac:dyDescent="0.25">
      <c r="A49" s="507"/>
      <c r="B49" s="398"/>
      <c r="C49" s="505"/>
      <c r="D49" s="496" t="s">
        <v>139</v>
      </c>
      <c r="E49" s="398" t="s">
        <v>140</v>
      </c>
      <c r="F49" s="47" t="s">
        <v>443</v>
      </c>
      <c r="G49" s="47" t="s">
        <v>141</v>
      </c>
      <c r="H49" s="85" t="s">
        <v>1015</v>
      </c>
      <c r="I49" s="47" t="s">
        <v>37</v>
      </c>
      <c r="J49" s="61">
        <v>1</v>
      </c>
      <c r="K49" s="398" t="s">
        <v>291</v>
      </c>
      <c r="L49" s="398" t="s">
        <v>338</v>
      </c>
      <c r="M49" s="398" t="s">
        <v>37</v>
      </c>
      <c r="N49" s="398" t="s">
        <v>339</v>
      </c>
      <c r="O49" s="398" t="s">
        <v>37</v>
      </c>
      <c r="P49" s="398" t="s">
        <v>390</v>
      </c>
      <c r="Q49" s="110">
        <v>1</v>
      </c>
      <c r="R49" s="92" t="s">
        <v>41</v>
      </c>
      <c r="S49" s="525"/>
      <c r="T49" s="525"/>
      <c r="U49" s="525"/>
      <c r="V49" s="525"/>
      <c r="W49" s="398" t="s">
        <v>267</v>
      </c>
      <c r="X49" s="529"/>
      <c r="Y49" s="92" t="s">
        <v>41</v>
      </c>
      <c r="Z49" s="90">
        <v>2</v>
      </c>
      <c r="AA49" s="256" t="e">
        <f>Z49/Y49</f>
        <v>#VALUE!</v>
      </c>
      <c r="AB49" s="521"/>
      <c r="AC49" s="521"/>
      <c r="AD49" s="398" t="s">
        <v>267</v>
      </c>
      <c r="AE49" s="535"/>
      <c r="AF49" s="314" t="s">
        <v>692</v>
      </c>
      <c r="AG49" s="85">
        <v>441</v>
      </c>
      <c r="AH49" s="256" t="e">
        <f>AG49/AF49</f>
        <v>#VALUE!</v>
      </c>
      <c r="AI49" s="554"/>
      <c r="AJ49" s="554"/>
      <c r="AK49" s="398" t="s">
        <v>267</v>
      </c>
      <c r="AL49" s="553"/>
      <c r="AM49" s="147" t="s">
        <v>692</v>
      </c>
      <c r="AN49" s="68" t="s">
        <v>41</v>
      </c>
      <c r="AO49" s="256" t="e">
        <f>AN49/AM49</f>
        <v>#VALUE!</v>
      </c>
      <c r="AP49" s="555"/>
      <c r="AQ49" s="555"/>
      <c r="AR49" s="398" t="s">
        <v>267</v>
      </c>
      <c r="AS49" s="557"/>
      <c r="AT49" s="171">
        <v>12</v>
      </c>
      <c r="AU49" s="125">
        <v>3</v>
      </c>
      <c r="AV49" s="256">
        <f>AU49/AT49</f>
        <v>0.25</v>
      </c>
      <c r="AW49" s="181" t="s">
        <v>856</v>
      </c>
      <c r="AX49" s="181" t="s">
        <v>856</v>
      </c>
      <c r="AY49" s="398" t="s">
        <v>267</v>
      </c>
      <c r="AZ49" s="175" t="s">
        <v>892</v>
      </c>
      <c r="BA49" s="177">
        <v>1</v>
      </c>
      <c r="BB49" s="358">
        <v>4</v>
      </c>
      <c r="BC49" s="256">
        <f>BB49/BA49</f>
        <v>4</v>
      </c>
      <c r="BD49" s="554"/>
      <c r="BE49" s="554"/>
      <c r="BF49" s="398" t="s">
        <v>267</v>
      </c>
      <c r="BG49" s="359" t="s">
        <v>953</v>
      </c>
      <c r="BH49" s="314">
        <v>0.7</v>
      </c>
      <c r="BI49" s="85">
        <v>0</v>
      </c>
      <c r="BJ49" s="14" t="s">
        <v>545</v>
      </c>
      <c r="BK49" s="554"/>
      <c r="BL49" s="554"/>
      <c r="BM49" s="491" t="s">
        <v>267</v>
      </c>
      <c r="BN49" s="281" t="s">
        <v>546</v>
      </c>
      <c r="BO49" s="360">
        <v>1800</v>
      </c>
      <c r="BP49" s="47">
        <v>1361</v>
      </c>
      <c r="BQ49" s="256">
        <f>BP49/BO49</f>
        <v>0.75611111111111107</v>
      </c>
      <c r="BR49" s="521">
        <v>1000000000</v>
      </c>
      <c r="BS49" s="521" t="s">
        <v>470</v>
      </c>
      <c r="BT49" s="398" t="s">
        <v>267</v>
      </c>
      <c r="BU49" s="308" t="s">
        <v>622</v>
      </c>
      <c r="BV49" s="118">
        <v>1</v>
      </c>
      <c r="BW49" s="61">
        <v>1</v>
      </c>
      <c r="BX49" s="256">
        <f>BW49/BV49</f>
        <v>1</v>
      </c>
      <c r="BY49" s="403">
        <f>6000000+10000000</f>
        <v>16000000</v>
      </c>
      <c r="BZ49" s="403">
        <f>6000000+10000000</f>
        <v>16000000</v>
      </c>
      <c r="CA49" s="629">
        <f>BZ49/BY49</f>
        <v>1</v>
      </c>
      <c r="CB49" s="85" t="s">
        <v>1015</v>
      </c>
      <c r="CC49" s="361" t="s">
        <v>1090</v>
      </c>
      <c r="CD49" s="118">
        <v>1</v>
      </c>
      <c r="CE49" s="61">
        <v>1</v>
      </c>
      <c r="CF49" s="259">
        <f>CE49/CD49</f>
        <v>1</v>
      </c>
      <c r="CG49" s="421">
        <f>6000000+10000000</f>
        <v>16000000</v>
      </c>
      <c r="CH49" s="421">
        <f>6000000+10000000</f>
        <v>16000000</v>
      </c>
      <c r="CI49" s="451">
        <f>CH49/CG49</f>
        <v>1</v>
      </c>
      <c r="CJ49" s="85" t="s">
        <v>1015</v>
      </c>
      <c r="CK49" s="382" t="s">
        <v>1130</v>
      </c>
      <c r="CL49" s="61">
        <v>1</v>
      </c>
      <c r="CM49" s="59">
        <v>1</v>
      </c>
      <c r="CN49" s="221">
        <v>1</v>
      </c>
    </row>
    <row r="50" spans="1:92" ht="104.25" customHeight="1" x14ac:dyDescent="0.25">
      <c r="A50" s="507"/>
      <c r="B50" s="398"/>
      <c r="C50" s="505"/>
      <c r="D50" s="496"/>
      <c r="E50" s="398"/>
      <c r="F50" s="47" t="s">
        <v>142</v>
      </c>
      <c r="G50" s="47" t="s">
        <v>124</v>
      </c>
      <c r="H50" s="85" t="s">
        <v>1012</v>
      </c>
      <c r="I50" s="47" t="s">
        <v>143</v>
      </c>
      <c r="J50" s="47" t="s">
        <v>126</v>
      </c>
      <c r="K50" s="398"/>
      <c r="L50" s="398"/>
      <c r="M50" s="398"/>
      <c r="N50" s="398"/>
      <c r="O50" s="398"/>
      <c r="P50" s="398"/>
      <c r="Q50" s="109" t="s">
        <v>126</v>
      </c>
      <c r="R50" s="92" t="s">
        <v>41</v>
      </c>
      <c r="S50" s="525"/>
      <c r="T50" s="525"/>
      <c r="U50" s="525"/>
      <c r="V50" s="525"/>
      <c r="W50" s="398"/>
      <c r="X50" s="274"/>
      <c r="Y50" s="92" t="s">
        <v>41</v>
      </c>
      <c r="Z50" s="90">
        <v>1</v>
      </c>
      <c r="AA50" s="256">
        <v>1</v>
      </c>
      <c r="AB50" s="521"/>
      <c r="AC50" s="521"/>
      <c r="AD50" s="398"/>
      <c r="AE50" s="362" t="s">
        <v>684</v>
      </c>
      <c r="AF50" s="545">
        <v>4</v>
      </c>
      <c r="AG50" s="564">
        <v>0.04</v>
      </c>
      <c r="AH50" s="256">
        <v>1</v>
      </c>
      <c r="AI50" s="554" t="s">
        <v>716</v>
      </c>
      <c r="AJ50" s="554" t="s">
        <v>717</v>
      </c>
      <c r="AK50" s="398"/>
      <c r="AL50" s="557" t="s">
        <v>756</v>
      </c>
      <c r="AM50" s="559">
        <v>5</v>
      </c>
      <c r="AN50" s="456">
        <v>5</v>
      </c>
      <c r="AO50" s="256">
        <v>1</v>
      </c>
      <c r="AP50" s="555" t="s">
        <v>799</v>
      </c>
      <c r="AQ50" s="555" t="s">
        <v>800</v>
      </c>
      <c r="AR50" s="398"/>
      <c r="AS50" s="557" t="s">
        <v>835</v>
      </c>
      <c r="AT50" s="568">
        <v>6</v>
      </c>
      <c r="AU50" s="570">
        <v>3</v>
      </c>
      <c r="AV50" s="256">
        <v>1</v>
      </c>
      <c r="AW50" s="573" t="s">
        <v>856</v>
      </c>
      <c r="AX50" s="573" t="s">
        <v>856</v>
      </c>
      <c r="AY50" s="398"/>
      <c r="AZ50" s="682" t="s">
        <v>893</v>
      </c>
      <c r="BA50" s="147" t="s">
        <v>692</v>
      </c>
      <c r="BB50" s="85">
        <v>200</v>
      </c>
      <c r="BC50" s="256">
        <v>1</v>
      </c>
      <c r="BD50" s="554"/>
      <c r="BE50" s="554"/>
      <c r="BF50" s="398"/>
      <c r="BG50" s="363" t="s">
        <v>954</v>
      </c>
      <c r="BH50" s="351">
        <v>0.15</v>
      </c>
      <c r="BI50" s="338">
        <v>0.1227</v>
      </c>
      <c r="BJ50" s="14">
        <v>1</v>
      </c>
      <c r="BK50" s="554"/>
      <c r="BL50" s="554"/>
      <c r="BM50" s="491"/>
      <c r="BN50" s="363" t="s">
        <v>547</v>
      </c>
      <c r="BO50" s="269">
        <v>0.15</v>
      </c>
      <c r="BP50" s="183">
        <v>0.1227</v>
      </c>
      <c r="BQ50" s="256">
        <v>1</v>
      </c>
      <c r="BR50" s="521"/>
      <c r="BS50" s="521"/>
      <c r="BT50" s="398"/>
      <c r="BU50" s="364" t="s">
        <v>623</v>
      </c>
      <c r="BV50" s="292">
        <v>0.15</v>
      </c>
      <c r="BW50" s="183">
        <v>0.1227</v>
      </c>
      <c r="BX50" s="256">
        <v>1</v>
      </c>
      <c r="BY50" s="405"/>
      <c r="BZ50" s="405"/>
      <c r="CA50" s="630"/>
      <c r="CB50" s="85" t="s">
        <v>1012</v>
      </c>
      <c r="CC50" s="365" t="s">
        <v>1061</v>
      </c>
      <c r="CD50" s="85" t="s">
        <v>983</v>
      </c>
      <c r="CE50" s="58">
        <v>0.1227</v>
      </c>
      <c r="CF50" s="54">
        <v>1</v>
      </c>
      <c r="CG50" s="422"/>
      <c r="CH50" s="422"/>
      <c r="CI50" s="452"/>
      <c r="CJ50" s="85" t="s">
        <v>1012</v>
      </c>
      <c r="CK50" s="390" t="s">
        <v>1131</v>
      </c>
      <c r="CL50" s="47" t="s">
        <v>1039</v>
      </c>
      <c r="CM50" s="214">
        <v>0.1227</v>
      </c>
      <c r="CN50" s="221">
        <v>1</v>
      </c>
    </row>
    <row r="51" spans="1:92" ht="41.25" customHeight="1" x14ac:dyDescent="0.25">
      <c r="A51" s="507"/>
      <c r="B51" s="398"/>
      <c r="C51" s="505"/>
      <c r="D51" s="496" t="s">
        <v>144</v>
      </c>
      <c r="E51" s="464" t="s">
        <v>145</v>
      </c>
      <c r="F51" s="464" t="s">
        <v>444</v>
      </c>
      <c r="G51" s="464" t="s">
        <v>445</v>
      </c>
      <c r="H51" s="407" t="s">
        <v>1016</v>
      </c>
      <c r="I51" s="464">
        <v>1</v>
      </c>
      <c r="J51" s="398" t="s">
        <v>446</v>
      </c>
      <c r="K51" s="398" t="s">
        <v>291</v>
      </c>
      <c r="L51" s="398" t="s">
        <v>385</v>
      </c>
      <c r="M51" s="398" t="s">
        <v>340</v>
      </c>
      <c r="N51" s="398" t="s">
        <v>447</v>
      </c>
      <c r="O51" s="398" t="s">
        <v>341</v>
      </c>
      <c r="P51" s="398" t="s">
        <v>342</v>
      </c>
      <c r="Q51" s="528" t="s">
        <v>446</v>
      </c>
      <c r="R51" s="92" t="s">
        <v>41</v>
      </c>
      <c r="S51" s="530"/>
      <c r="T51" s="530"/>
      <c r="U51" s="530"/>
      <c r="V51" s="530"/>
      <c r="W51" s="398" t="s">
        <v>268</v>
      </c>
      <c r="X51" s="274"/>
      <c r="Y51" s="92" t="s">
        <v>41</v>
      </c>
      <c r="Z51" s="90" t="s">
        <v>37</v>
      </c>
      <c r="AA51" s="438" t="e">
        <f>Z51/Y51</f>
        <v>#VALUE!</v>
      </c>
      <c r="AB51" s="521"/>
      <c r="AC51" s="521"/>
      <c r="AD51" s="398" t="s">
        <v>268</v>
      </c>
      <c r="AE51" s="276" t="s">
        <v>685</v>
      </c>
      <c r="AF51" s="545"/>
      <c r="AG51" s="564"/>
      <c r="AH51" s="438" t="e">
        <f>AG51/AF51</f>
        <v>#DIV/0!</v>
      </c>
      <c r="AI51" s="554"/>
      <c r="AJ51" s="554"/>
      <c r="AK51" s="398" t="s">
        <v>268</v>
      </c>
      <c r="AL51" s="557"/>
      <c r="AM51" s="559"/>
      <c r="AN51" s="456"/>
      <c r="AO51" s="438" t="e">
        <f>AN51/AM51</f>
        <v>#DIV/0!</v>
      </c>
      <c r="AP51" s="555"/>
      <c r="AQ51" s="555"/>
      <c r="AR51" s="398" t="s">
        <v>268</v>
      </c>
      <c r="AS51" s="557"/>
      <c r="AT51" s="568"/>
      <c r="AU51" s="570"/>
      <c r="AV51" s="438" t="e">
        <f>AU51/AT51</f>
        <v>#DIV/0!</v>
      </c>
      <c r="AW51" s="573"/>
      <c r="AX51" s="573"/>
      <c r="AY51" s="398" t="s">
        <v>268</v>
      </c>
      <c r="AZ51" s="682"/>
      <c r="BA51" s="545">
        <v>1</v>
      </c>
      <c r="BB51" s="491" t="s">
        <v>915</v>
      </c>
      <c r="BC51" s="438" t="e">
        <f>BB51/BA51</f>
        <v>#VALUE!</v>
      </c>
      <c r="BD51" s="554">
        <v>562895700</v>
      </c>
      <c r="BE51" s="554">
        <v>256575255</v>
      </c>
      <c r="BF51" s="398" t="s">
        <v>268</v>
      </c>
      <c r="BG51" s="557" t="s">
        <v>955</v>
      </c>
      <c r="BH51" s="546">
        <v>0.01</v>
      </c>
      <c r="BI51" s="592">
        <v>0</v>
      </c>
      <c r="BJ51" s="592">
        <f>BI51/BH51</f>
        <v>0</v>
      </c>
      <c r="BK51" s="554">
        <v>3000000</v>
      </c>
      <c r="BL51" s="554">
        <v>3000000</v>
      </c>
      <c r="BM51" s="491" t="s">
        <v>268</v>
      </c>
      <c r="BN51" s="603" t="s">
        <v>1041</v>
      </c>
      <c r="BO51" s="607">
        <v>0.01</v>
      </c>
      <c r="BP51" s="438">
        <v>0.01</v>
      </c>
      <c r="BQ51" s="438">
        <f>BP51/BO51</f>
        <v>1</v>
      </c>
      <c r="BR51" s="521">
        <v>3000000</v>
      </c>
      <c r="BS51" s="521">
        <v>3000000</v>
      </c>
      <c r="BT51" s="398" t="s">
        <v>268</v>
      </c>
      <c r="BU51" s="610" t="s">
        <v>624</v>
      </c>
      <c r="BV51" s="429">
        <v>0.01</v>
      </c>
      <c r="BW51" s="438">
        <v>0.01</v>
      </c>
      <c r="BX51" s="438">
        <f>BW51/BV51</f>
        <v>1</v>
      </c>
      <c r="BY51" s="403">
        <f>3800000+5600000</f>
        <v>9400000</v>
      </c>
      <c r="BZ51" s="403">
        <f>3800000+3000000+5600000</f>
        <v>12400000</v>
      </c>
      <c r="CA51" s="629">
        <v>1</v>
      </c>
      <c r="CB51" s="407" t="s">
        <v>1016</v>
      </c>
      <c r="CC51" s="634" t="s">
        <v>1062</v>
      </c>
      <c r="CD51" s="429">
        <v>0.01</v>
      </c>
      <c r="CE51" s="438">
        <v>0.01</v>
      </c>
      <c r="CF51" s="399">
        <f>CE51/CD51</f>
        <v>1</v>
      </c>
      <c r="CG51" s="421">
        <v>12400000</v>
      </c>
      <c r="CH51" s="421">
        <f>3800000+3000000+5600000</f>
        <v>12400000</v>
      </c>
      <c r="CI51" s="393">
        <v>1</v>
      </c>
      <c r="CJ51" s="407" t="s">
        <v>1016</v>
      </c>
      <c r="CK51" s="453" t="s">
        <v>1132</v>
      </c>
      <c r="CL51" s="398" t="s">
        <v>446</v>
      </c>
      <c r="CM51" s="629">
        <v>0.01</v>
      </c>
      <c r="CN51" s="393">
        <v>1</v>
      </c>
    </row>
    <row r="52" spans="1:92" ht="76.5" customHeight="1" x14ac:dyDescent="0.25">
      <c r="A52" s="507"/>
      <c r="B52" s="398"/>
      <c r="C52" s="505"/>
      <c r="D52" s="496"/>
      <c r="E52" s="464"/>
      <c r="F52" s="464"/>
      <c r="G52" s="464"/>
      <c r="H52" s="428"/>
      <c r="I52" s="464"/>
      <c r="J52" s="398"/>
      <c r="K52" s="398"/>
      <c r="L52" s="398"/>
      <c r="M52" s="398"/>
      <c r="N52" s="398"/>
      <c r="O52" s="398"/>
      <c r="P52" s="398"/>
      <c r="Q52" s="528"/>
      <c r="R52" s="92" t="s">
        <v>41</v>
      </c>
      <c r="S52" s="525"/>
      <c r="T52" s="525"/>
      <c r="U52" s="525"/>
      <c r="V52" s="525"/>
      <c r="W52" s="398"/>
      <c r="X52" s="529"/>
      <c r="Y52" s="92" t="s">
        <v>41</v>
      </c>
      <c r="Z52" s="90" t="s">
        <v>37</v>
      </c>
      <c r="AA52" s="438"/>
      <c r="AB52" s="521"/>
      <c r="AC52" s="521"/>
      <c r="AD52" s="398"/>
      <c r="AE52" s="535" t="s">
        <v>686</v>
      </c>
      <c r="AF52" s="546" t="s">
        <v>693</v>
      </c>
      <c r="AG52" s="556" t="s">
        <v>693</v>
      </c>
      <c r="AH52" s="438"/>
      <c r="AI52" s="554" t="s">
        <v>703</v>
      </c>
      <c r="AJ52" s="554" t="s">
        <v>704</v>
      </c>
      <c r="AK52" s="398"/>
      <c r="AL52" s="553" t="s">
        <v>757</v>
      </c>
      <c r="AM52" s="545" t="s">
        <v>693</v>
      </c>
      <c r="AN52" s="491" t="s">
        <v>693</v>
      </c>
      <c r="AO52" s="438"/>
      <c r="AP52" s="554" t="s">
        <v>801</v>
      </c>
      <c r="AQ52" s="668">
        <v>23220000</v>
      </c>
      <c r="AR52" s="398"/>
      <c r="AS52" s="553" t="s">
        <v>836</v>
      </c>
      <c r="AT52" s="568">
        <v>1</v>
      </c>
      <c r="AU52" s="570">
        <v>1</v>
      </c>
      <c r="AV52" s="438"/>
      <c r="AW52" s="573" t="s">
        <v>856</v>
      </c>
      <c r="AX52" s="573" t="s">
        <v>856</v>
      </c>
      <c r="AY52" s="398"/>
      <c r="AZ52" s="683" t="s">
        <v>894</v>
      </c>
      <c r="BA52" s="545"/>
      <c r="BB52" s="491"/>
      <c r="BC52" s="438"/>
      <c r="BD52" s="554"/>
      <c r="BE52" s="554"/>
      <c r="BF52" s="398"/>
      <c r="BG52" s="557"/>
      <c r="BH52" s="545"/>
      <c r="BI52" s="592"/>
      <c r="BJ52" s="592"/>
      <c r="BK52" s="554"/>
      <c r="BL52" s="554"/>
      <c r="BM52" s="491"/>
      <c r="BN52" s="578"/>
      <c r="BO52" s="607"/>
      <c r="BP52" s="438"/>
      <c r="BQ52" s="438"/>
      <c r="BR52" s="521"/>
      <c r="BS52" s="521"/>
      <c r="BT52" s="398"/>
      <c r="BU52" s="532"/>
      <c r="BV52" s="437"/>
      <c r="BW52" s="438"/>
      <c r="BX52" s="438"/>
      <c r="BY52" s="405"/>
      <c r="BZ52" s="405"/>
      <c r="CA52" s="630"/>
      <c r="CB52" s="428"/>
      <c r="CC52" s="626"/>
      <c r="CD52" s="437"/>
      <c r="CE52" s="438"/>
      <c r="CF52" s="399"/>
      <c r="CG52" s="422"/>
      <c r="CH52" s="422"/>
      <c r="CI52" s="406"/>
      <c r="CJ52" s="428"/>
      <c r="CK52" s="443"/>
      <c r="CL52" s="398"/>
      <c r="CM52" s="630"/>
      <c r="CN52" s="406"/>
    </row>
    <row r="53" spans="1:92" ht="60" customHeight="1" x14ac:dyDescent="0.25">
      <c r="A53" s="507"/>
      <c r="B53" s="398"/>
      <c r="C53" s="505"/>
      <c r="D53" s="496" t="s">
        <v>146</v>
      </c>
      <c r="E53" s="398" t="s">
        <v>147</v>
      </c>
      <c r="F53" s="398" t="s">
        <v>148</v>
      </c>
      <c r="G53" s="398" t="s">
        <v>149</v>
      </c>
      <c r="H53" s="407" t="s">
        <v>1017</v>
      </c>
      <c r="I53" s="398" t="s">
        <v>37</v>
      </c>
      <c r="J53" s="432">
        <v>1</v>
      </c>
      <c r="K53" s="398" t="s">
        <v>291</v>
      </c>
      <c r="L53" s="398" t="s">
        <v>328</v>
      </c>
      <c r="M53" s="398">
        <v>1905021</v>
      </c>
      <c r="N53" s="398" t="s">
        <v>343</v>
      </c>
      <c r="O53" s="398">
        <v>190502100</v>
      </c>
      <c r="P53" s="398" t="s">
        <v>344</v>
      </c>
      <c r="Q53" s="527">
        <v>1</v>
      </c>
      <c r="R53" s="92" t="s">
        <v>41</v>
      </c>
      <c r="S53" s="525"/>
      <c r="T53" s="525"/>
      <c r="U53" s="525"/>
      <c r="V53" s="525"/>
      <c r="W53" s="398" t="s">
        <v>260</v>
      </c>
      <c r="X53" s="529"/>
      <c r="Y53" s="92" t="s">
        <v>41</v>
      </c>
      <c r="Z53" s="90" t="s">
        <v>37</v>
      </c>
      <c r="AA53" s="438">
        <v>1</v>
      </c>
      <c r="AB53" s="521"/>
      <c r="AC53" s="521"/>
      <c r="AD53" s="398" t="s">
        <v>260</v>
      </c>
      <c r="AE53" s="535"/>
      <c r="AF53" s="546"/>
      <c r="AG53" s="556"/>
      <c r="AH53" s="438">
        <v>1</v>
      </c>
      <c r="AI53" s="554"/>
      <c r="AJ53" s="554"/>
      <c r="AK53" s="398" t="s">
        <v>260</v>
      </c>
      <c r="AL53" s="553"/>
      <c r="AM53" s="545"/>
      <c r="AN53" s="491"/>
      <c r="AO53" s="438">
        <v>1</v>
      </c>
      <c r="AP53" s="554"/>
      <c r="AQ53" s="491"/>
      <c r="AR53" s="398" t="s">
        <v>260</v>
      </c>
      <c r="AS53" s="553"/>
      <c r="AT53" s="568"/>
      <c r="AU53" s="570"/>
      <c r="AV53" s="438">
        <v>1</v>
      </c>
      <c r="AW53" s="573"/>
      <c r="AX53" s="573"/>
      <c r="AY53" s="398" t="s">
        <v>260</v>
      </c>
      <c r="AZ53" s="683"/>
      <c r="BA53" s="579">
        <v>1</v>
      </c>
      <c r="BB53" s="491">
        <v>1</v>
      </c>
      <c r="BC53" s="438">
        <v>1</v>
      </c>
      <c r="BD53" s="554"/>
      <c r="BE53" s="554"/>
      <c r="BF53" s="398" t="s">
        <v>260</v>
      </c>
      <c r="BG53" s="557" t="s">
        <v>948</v>
      </c>
      <c r="BH53" s="611">
        <v>0.7</v>
      </c>
      <c r="BI53" s="592">
        <v>0</v>
      </c>
      <c r="BJ53" s="592">
        <f>BI53/BH53*1</f>
        <v>0</v>
      </c>
      <c r="BK53" s="554"/>
      <c r="BL53" s="554"/>
      <c r="BM53" s="491" t="s">
        <v>260</v>
      </c>
      <c r="BN53" s="578" t="s">
        <v>548</v>
      </c>
      <c r="BO53" s="612">
        <v>0.8</v>
      </c>
      <c r="BP53" s="438">
        <v>1</v>
      </c>
      <c r="BQ53" s="438">
        <v>1</v>
      </c>
      <c r="BR53" s="521">
        <v>0</v>
      </c>
      <c r="BS53" s="521">
        <v>2285000</v>
      </c>
      <c r="BT53" s="398" t="s">
        <v>260</v>
      </c>
      <c r="BU53" s="532" t="s">
        <v>625</v>
      </c>
      <c r="BV53" s="429">
        <v>0.9</v>
      </c>
      <c r="BW53" s="438">
        <v>1</v>
      </c>
      <c r="BX53" s="438">
        <v>1</v>
      </c>
      <c r="BY53" s="521">
        <v>135994000</v>
      </c>
      <c r="BZ53" s="521">
        <v>117200000</v>
      </c>
      <c r="CA53" s="629">
        <f>BZ53/BY53</f>
        <v>0.86180272659087898</v>
      </c>
      <c r="CB53" s="407" t="s">
        <v>1017</v>
      </c>
      <c r="CC53" s="625" t="s">
        <v>1063</v>
      </c>
      <c r="CD53" s="429">
        <v>1</v>
      </c>
      <c r="CE53" s="438">
        <v>1</v>
      </c>
      <c r="CF53" s="439">
        <v>1</v>
      </c>
      <c r="CG53" s="427">
        <f>135994000+10200000+1500000</f>
        <v>147694000</v>
      </c>
      <c r="CH53" s="427">
        <f>117200000+10200000+1500000</f>
        <v>128900000</v>
      </c>
      <c r="CI53" s="440">
        <f>CH53/CG53</f>
        <v>0.87275041640147877</v>
      </c>
      <c r="CJ53" s="407" t="s">
        <v>1017</v>
      </c>
      <c r="CK53" s="410" t="s">
        <v>1133</v>
      </c>
      <c r="CL53" s="432">
        <v>1</v>
      </c>
      <c r="CM53" s="629">
        <v>1</v>
      </c>
      <c r="CN53" s="399">
        <v>1</v>
      </c>
    </row>
    <row r="54" spans="1:92" ht="144.75" customHeight="1" x14ac:dyDescent="0.25">
      <c r="A54" s="507"/>
      <c r="B54" s="47" t="s">
        <v>98</v>
      </c>
      <c r="C54" s="107" t="s">
        <v>99</v>
      </c>
      <c r="D54" s="496"/>
      <c r="E54" s="398"/>
      <c r="F54" s="398"/>
      <c r="G54" s="398"/>
      <c r="H54" s="428"/>
      <c r="I54" s="398"/>
      <c r="J54" s="432"/>
      <c r="K54" s="398"/>
      <c r="L54" s="398"/>
      <c r="M54" s="398"/>
      <c r="N54" s="398"/>
      <c r="O54" s="398"/>
      <c r="P54" s="398"/>
      <c r="Q54" s="527"/>
      <c r="R54" s="92" t="s">
        <v>41</v>
      </c>
      <c r="S54" s="525"/>
      <c r="T54" s="525"/>
      <c r="U54" s="525"/>
      <c r="V54" s="525"/>
      <c r="W54" s="398"/>
      <c r="X54" s="529"/>
      <c r="Y54" s="92" t="s">
        <v>41</v>
      </c>
      <c r="Z54" s="90" t="s">
        <v>37</v>
      </c>
      <c r="AA54" s="438"/>
      <c r="AB54" s="521"/>
      <c r="AC54" s="521"/>
      <c r="AD54" s="398"/>
      <c r="AE54" s="535"/>
      <c r="AF54" s="177">
        <v>0.2</v>
      </c>
      <c r="AG54" s="85">
        <v>0</v>
      </c>
      <c r="AH54" s="438"/>
      <c r="AI54" s="554" t="s">
        <v>718</v>
      </c>
      <c r="AJ54" s="554" t="s">
        <v>719</v>
      </c>
      <c r="AK54" s="398"/>
      <c r="AL54" s="557" t="s">
        <v>758</v>
      </c>
      <c r="AM54" s="147">
        <v>0.4</v>
      </c>
      <c r="AN54" s="68" t="s">
        <v>41</v>
      </c>
      <c r="AO54" s="438"/>
      <c r="AP54" s="554" t="s">
        <v>802</v>
      </c>
      <c r="AQ54" s="554" t="s">
        <v>803</v>
      </c>
      <c r="AR54" s="398"/>
      <c r="AS54" s="557" t="s">
        <v>837</v>
      </c>
      <c r="AT54" s="171">
        <v>0.6</v>
      </c>
      <c r="AU54" s="125">
        <v>0.15</v>
      </c>
      <c r="AV54" s="438"/>
      <c r="AW54" s="181" t="s">
        <v>856</v>
      </c>
      <c r="AX54" s="181" t="s">
        <v>856</v>
      </c>
      <c r="AY54" s="398"/>
      <c r="AZ54" s="175" t="s">
        <v>895</v>
      </c>
      <c r="BA54" s="579"/>
      <c r="BB54" s="491"/>
      <c r="BC54" s="438"/>
      <c r="BD54" s="554"/>
      <c r="BE54" s="554"/>
      <c r="BF54" s="398"/>
      <c r="BG54" s="557"/>
      <c r="BH54" s="579"/>
      <c r="BI54" s="592"/>
      <c r="BJ54" s="592"/>
      <c r="BK54" s="554"/>
      <c r="BL54" s="554"/>
      <c r="BM54" s="491"/>
      <c r="BN54" s="578"/>
      <c r="BO54" s="613"/>
      <c r="BP54" s="438"/>
      <c r="BQ54" s="438"/>
      <c r="BR54" s="521"/>
      <c r="BS54" s="521"/>
      <c r="BT54" s="398"/>
      <c r="BU54" s="532"/>
      <c r="BV54" s="437"/>
      <c r="BW54" s="438"/>
      <c r="BX54" s="438"/>
      <c r="BY54" s="521"/>
      <c r="BZ54" s="403"/>
      <c r="CA54" s="630"/>
      <c r="CB54" s="428"/>
      <c r="CC54" s="632"/>
      <c r="CD54" s="437"/>
      <c r="CE54" s="438"/>
      <c r="CF54" s="439"/>
      <c r="CG54" s="427"/>
      <c r="CH54" s="421"/>
      <c r="CI54" s="441"/>
      <c r="CJ54" s="428"/>
      <c r="CK54" s="411"/>
      <c r="CL54" s="432"/>
      <c r="CM54" s="630"/>
      <c r="CN54" s="399"/>
    </row>
    <row r="55" spans="1:92" ht="44.25" customHeight="1" x14ac:dyDescent="0.25">
      <c r="A55" s="507"/>
      <c r="B55" s="398" t="s">
        <v>150</v>
      </c>
      <c r="C55" s="505" t="s">
        <v>99</v>
      </c>
      <c r="D55" s="496" t="s">
        <v>151</v>
      </c>
      <c r="E55" s="398" t="s">
        <v>455</v>
      </c>
      <c r="F55" s="47" t="s">
        <v>152</v>
      </c>
      <c r="G55" s="47" t="s">
        <v>153</v>
      </c>
      <c r="H55" s="85" t="s">
        <v>1018</v>
      </c>
      <c r="I55" s="47" t="s">
        <v>154</v>
      </c>
      <c r="J55" s="47" t="s">
        <v>155</v>
      </c>
      <c r="K55" s="398" t="s">
        <v>291</v>
      </c>
      <c r="L55" s="398" t="s">
        <v>328</v>
      </c>
      <c r="M55" s="398">
        <v>1905020</v>
      </c>
      <c r="N55" s="398" t="s">
        <v>345</v>
      </c>
      <c r="O55" s="398">
        <v>190502000</v>
      </c>
      <c r="P55" s="398" t="s">
        <v>346</v>
      </c>
      <c r="Q55" s="109" t="s">
        <v>155</v>
      </c>
      <c r="R55" s="92">
        <v>100</v>
      </c>
      <c r="S55" s="530"/>
      <c r="T55" s="530"/>
      <c r="U55" s="530"/>
      <c r="V55" s="530"/>
      <c r="W55" s="273" t="s">
        <v>282</v>
      </c>
      <c r="X55" s="274" t="s">
        <v>499</v>
      </c>
      <c r="Y55" s="92">
        <v>100</v>
      </c>
      <c r="Z55" s="91">
        <v>0.1</v>
      </c>
      <c r="AA55" s="256">
        <v>0.52939999999999998</v>
      </c>
      <c r="AB55" s="521"/>
      <c r="AC55" s="521"/>
      <c r="AD55" s="273" t="s">
        <v>282</v>
      </c>
      <c r="AE55" s="276" t="s">
        <v>687</v>
      </c>
      <c r="AF55" s="546">
        <v>0.16</v>
      </c>
      <c r="AG55" s="491">
        <v>0</v>
      </c>
      <c r="AH55" s="256">
        <v>0.52939999999999998</v>
      </c>
      <c r="AI55" s="554"/>
      <c r="AJ55" s="554"/>
      <c r="AK55" s="273" t="s">
        <v>282</v>
      </c>
      <c r="AL55" s="557"/>
      <c r="AM55" s="662">
        <v>0.15</v>
      </c>
      <c r="AN55" s="663" t="s">
        <v>41</v>
      </c>
      <c r="AO55" s="256">
        <v>0.52939999999999998</v>
      </c>
      <c r="AP55" s="555"/>
      <c r="AQ55" s="555"/>
      <c r="AR55" s="273" t="s">
        <v>282</v>
      </c>
      <c r="AS55" s="557"/>
      <c r="AT55" s="567">
        <v>0.15</v>
      </c>
      <c r="AU55" s="569">
        <v>0.15</v>
      </c>
      <c r="AV55" s="256">
        <v>0.52939999999999998</v>
      </c>
      <c r="AW55" s="573">
        <v>38000000</v>
      </c>
      <c r="AX55" s="573">
        <v>35720000</v>
      </c>
      <c r="AY55" s="273" t="s">
        <v>282</v>
      </c>
      <c r="AZ55" s="681" t="s">
        <v>896</v>
      </c>
      <c r="BA55" s="199">
        <v>12</v>
      </c>
      <c r="BB55" s="200">
        <v>7</v>
      </c>
      <c r="BC55" s="256">
        <v>0.52939999999999998</v>
      </c>
      <c r="BD55" s="366"/>
      <c r="BE55" s="366"/>
      <c r="BF55" s="273" t="s">
        <v>282</v>
      </c>
      <c r="BG55" s="277" t="s">
        <v>956</v>
      </c>
      <c r="BH55" s="177" t="s">
        <v>419</v>
      </c>
      <c r="BI55" s="1">
        <v>6.8000000000000005E-2</v>
      </c>
      <c r="BJ55" s="14">
        <v>0</v>
      </c>
      <c r="BK55" s="554"/>
      <c r="BL55" s="554"/>
      <c r="BM55" s="200" t="s">
        <v>282</v>
      </c>
      <c r="BN55" s="578" t="s">
        <v>549</v>
      </c>
      <c r="BO55" s="111" t="s">
        <v>419</v>
      </c>
      <c r="BP55" s="36">
        <v>6.8000000000000005E-2</v>
      </c>
      <c r="BQ55" s="256">
        <v>0.52939999999999998</v>
      </c>
      <c r="BR55" s="521">
        <v>13200000</v>
      </c>
      <c r="BS55" s="521">
        <v>3300000</v>
      </c>
      <c r="BT55" s="273" t="s">
        <v>282</v>
      </c>
      <c r="BU55" s="532" t="s">
        <v>626</v>
      </c>
      <c r="BV55" s="85" t="s">
        <v>984</v>
      </c>
      <c r="BW55" s="36">
        <v>6.8000000000000005E-2</v>
      </c>
      <c r="BX55" s="256">
        <v>0.52939999999999998</v>
      </c>
      <c r="BY55" s="403">
        <v>2885000</v>
      </c>
      <c r="BZ55" s="403">
        <v>2885000</v>
      </c>
      <c r="CA55" s="696">
        <f>BZ55/BY55</f>
        <v>1</v>
      </c>
      <c r="CB55" s="85" t="s">
        <v>1018</v>
      </c>
      <c r="CC55" s="625" t="s">
        <v>1064</v>
      </c>
      <c r="CD55" s="85" t="s">
        <v>984</v>
      </c>
      <c r="CE55" s="36">
        <v>6.8000000000000005E-2</v>
      </c>
      <c r="CF55" s="40">
        <v>0.52939999999999998</v>
      </c>
      <c r="CG55" s="421">
        <f>2885000+1500000</f>
        <v>4385000</v>
      </c>
      <c r="CH55" s="421">
        <f>2885000+1500000</f>
        <v>4385000</v>
      </c>
      <c r="CI55" s="417">
        <f>CH55/CG55</f>
        <v>1</v>
      </c>
      <c r="CJ55" s="85" t="s">
        <v>1018</v>
      </c>
      <c r="CK55" s="410" t="s">
        <v>1134</v>
      </c>
      <c r="CL55" s="47" t="s">
        <v>155</v>
      </c>
      <c r="CM55" s="36">
        <v>6.8000000000000005E-2</v>
      </c>
      <c r="CN55" s="60">
        <v>0</v>
      </c>
    </row>
    <row r="56" spans="1:92" ht="47.25" customHeight="1" x14ac:dyDescent="0.25">
      <c r="A56" s="507"/>
      <c r="B56" s="398"/>
      <c r="C56" s="505"/>
      <c r="D56" s="496"/>
      <c r="E56" s="398"/>
      <c r="F56" s="398" t="s">
        <v>156</v>
      </c>
      <c r="G56" s="398" t="s">
        <v>153</v>
      </c>
      <c r="H56" s="407" t="s">
        <v>1012</v>
      </c>
      <c r="I56" s="398" t="s">
        <v>157</v>
      </c>
      <c r="J56" s="398" t="s">
        <v>155</v>
      </c>
      <c r="K56" s="398"/>
      <c r="L56" s="398"/>
      <c r="M56" s="398"/>
      <c r="N56" s="398"/>
      <c r="O56" s="398"/>
      <c r="P56" s="398"/>
      <c r="Q56" s="528" t="s">
        <v>155</v>
      </c>
      <c r="R56" s="92" t="s">
        <v>41</v>
      </c>
      <c r="S56" s="525"/>
      <c r="T56" s="525"/>
      <c r="U56" s="525"/>
      <c r="V56" s="525"/>
      <c r="W56" s="398"/>
      <c r="X56" s="529"/>
      <c r="Y56" s="92" t="s">
        <v>41</v>
      </c>
      <c r="Z56" s="90">
        <v>1</v>
      </c>
      <c r="AA56" s="438">
        <v>0.52939999999999998</v>
      </c>
      <c r="AB56" s="521"/>
      <c r="AC56" s="521"/>
      <c r="AD56" s="398"/>
      <c r="AE56" s="535" t="s">
        <v>688</v>
      </c>
      <c r="AF56" s="546"/>
      <c r="AG56" s="491"/>
      <c r="AH56" s="438">
        <v>0.52939999999999998</v>
      </c>
      <c r="AI56" s="554"/>
      <c r="AJ56" s="554"/>
      <c r="AK56" s="398"/>
      <c r="AL56" s="557"/>
      <c r="AM56" s="662"/>
      <c r="AN56" s="663"/>
      <c r="AO56" s="438">
        <v>0.52939999999999998</v>
      </c>
      <c r="AP56" s="555"/>
      <c r="AQ56" s="555"/>
      <c r="AR56" s="398"/>
      <c r="AS56" s="557"/>
      <c r="AT56" s="567"/>
      <c r="AU56" s="569"/>
      <c r="AV56" s="438">
        <v>0.52939999999999998</v>
      </c>
      <c r="AW56" s="573"/>
      <c r="AX56" s="573"/>
      <c r="AY56" s="398"/>
      <c r="AZ56" s="681"/>
      <c r="BA56" s="545"/>
      <c r="BB56" s="491"/>
      <c r="BC56" s="438">
        <v>0.52939999999999998</v>
      </c>
      <c r="BD56" s="554"/>
      <c r="BE56" s="554"/>
      <c r="BF56" s="398"/>
      <c r="BG56" s="557" t="s">
        <v>957</v>
      </c>
      <c r="BH56" s="545" t="s">
        <v>419</v>
      </c>
      <c r="BI56" s="564">
        <v>6.8000000000000005E-2</v>
      </c>
      <c r="BJ56" s="592">
        <v>0</v>
      </c>
      <c r="BK56" s="554"/>
      <c r="BL56" s="554"/>
      <c r="BM56" s="491"/>
      <c r="BN56" s="578"/>
      <c r="BO56" s="496" t="s">
        <v>419</v>
      </c>
      <c r="BP56" s="444">
        <v>6.8000000000000005E-2</v>
      </c>
      <c r="BQ56" s="438">
        <v>0.52939999999999998</v>
      </c>
      <c r="BR56" s="521"/>
      <c r="BS56" s="521"/>
      <c r="BT56" s="398"/>
      <c r="BU56" s="532"/>
      <c r="BV56" s="407" t="s">
        <v>984</v>
      </c>
      <c r="BW56" s="444">
        <v>6.8000000000000005E-2</v>
      </c>
      <c r="BX56" s="438">
        <v>0.52939999999999998</v>
      </c>
      <c r="BY56" s="404"/>
      <c r="BZ56" s="404"/>
      <c r="CA56" s="697"/>
      <c r="CB56" s="407" t="s">
        <v>1012</v>
      </c>
      <c r="CC56" s="632"/>
      <c r="CD56" s="407" t="s">
        <v>984</v>
      </c>
      <c r="CE56" s="444">
        <v>6.8000000000000005E-2</v>
      </c>
      <c r="CF56" s="414">
        <v>0.52939999999999998</v>
      </c>
      <c r="CG56" s="442"/>
      <c r="CH56" s="442"/>
      <c r="CI56" s="433"/>
      <c r="CJ56" s="407" t="s">
        <v>1012</v>
      </c>
      <c r="CK56" s="411"/>
      <c r="CL56" s="398" t="s">
        <v>155</v>
      </c>
      <c r="CM56" s="503">
        <v>6.8000000000000005E-2</v>
      </c>
      <c r="CN56" s="451">
        <v>0</v>
      </c>
    </row>
    <row r="57" spans="1:92" ht="35.25" customHeight="1" x14ac:dyDescent="0.25">
      <c r="A57" s="507"/>
      <c r="B57" s="398"/>
      <c r="C57" s="505"/>
      <c r="D57" s="496"/>
      <c r="E57" s="398"/>
      <c r="F57" s="398"/>
      <c r="G57" s="398"/>
      <c r="H57" s="428"/>
      <c r="I57" s="398"/>
      <c r="J57" s="398"/>
      <c r="K57" s="398"/>
      <c r="L57" s="398"/>
      <c r="M57" s="398"/>
      <c r="N57" s="398"/>
      <c r="O57" s="398"/>
      <c r="P57" s="398"/>
      <c r="Q57" s="528"/>
      <c r="R57" s="92" t="s">
        <v>41</v>
      </c>
      <c r="S57" s="525"/>
      <c r="T57" s="525"/>
      <c r="U57" s="525"/>
      <c r="V57" s="525"/>
      <c r="W57" s="398"/>
      <c r="X57" s="529"/>
      <c r="Y57" s="92" t="s">
        <v>41</v>
      </c>
      <c r="Z57" s="530">
        <v>1</v>
      </c>
      <c r="AA57" s="438"/>
      <c r="AB57" s="521"/>
      <c r="AC57" s="521"/>
      <c r="AD57" s="398"/>
      <c r="AE57" s="535"/>
      <c r="AF57" s="177" t="s">
        <v>693</v>
      </c>
      <c r="AG57" s="85" t="s">
        <v>693</v>
      </c>
      <c r="AH57" s="438"/>
      <c r="AI57" s="69" t="s">
        <v>703</v>
      </c>
      <c r="AJ57" s="69" t="s">
        <v>704</v>
      </c>
      <c r="AK57" s="398"/>
      <c r="AL57" s="163" t="s">
        <v>759</v>
      </c>
      <c r="AM57" s="154" t="s">
        <v>693</v>
      </c>
      <c r="AN57" s="353" t="s">
        <v>693</v>
      </c>
      <c r="AO57" s="438"/>
      <c r="AP57" s="69" t="s">
        <v>801</v>
      </c>
      <c r="AQ57" s="69">
        <v>22400000</v>
      </c>
      <c r="AR57" s="398"/>
      <c r="AS57" s="367" t="s">
        <v>838</v>
      </c>
      <c r="AT57" s="171">
        <v>1</v>
      </c>
      <c r="AU57" s="125">
        <v>1</v>
      </c>
      <c r="AV57" s="438"/>
      <c r="AW57" s="181" t="s">
        <v>856</v>
      </c>
      <c r="AX57" s="181" t="s">
        <v>856</v>
      </c>
      <c r="AY57" s="398"/>
      <c r="AZ57" s="368" t="s">
        <v>897</v>
      </c>
      <c r="BA57" s="545"/>
      <c r="BB57" s="491"/>
      <c r="BC57" s="438"/>
      <c r="BD57" s="554"/>
      <c r="BE57" s="554"/>
      <c r="BF57" s="398"/>
      <c r="BG57" s="557"/>
      <c r="BH57" s="545"/>
      <c r="BI57" s="491"/>
      <c r="BJ57" s="592"/>
      <c r="BK57" s="554"/>
      <c r="BL57" s="554"/>
      <c r="BM57" s="491"/>
      <c r="BN57" s="578"/>
      <c r="BO57" s="496"/>
      <c r="BP57" s="398"/>
      <c r="BQ57" s="438"/>
      <c r="BR57" s="521"/>
      <c r="BS57" s="521"/>
      <c r="BT57" s="398"/>
      <c r="BU57" s="532"/>
      <c r="BV57" s="428"/>
      <c r="BW57" s="398"/>
      <c r="BX57" s="438"/>
      <c r="BY57" s="405"/>
      <c r="BZ57" s="405"/>
      <c r="CA57" s="698"/>
      <c r="CB57" s="428"/>
      <c r="CC57" s="626"/>
      <c r="CD57" s="428"/>
      <c r="CE57" s="398"/>
      <c r="CF57" s="414"/>
      <c r="CG57" s="422"/>
      <c r="CH57" s="422"/>
      <c r="CI57" s="424"/>
      <c r="CJ57" s="428"/>
      <c r="CK57" s="443"/>
      <c r="CL57" s="398"/>
      <c r="CM57" s="708"/>
      <c r="CN57" s="452"/>
    </row>
    <row r="58" spans="1:92" ht="198.75" customHeight="1" x14ac:dyDescent="0.25">
      <c r="A58" s="507"/>
      <c r="B58" s="398"/>
      <c r="C58" s="505"/>
      <c r="D58" s="111" t="s">
        <v>158</v>
      </c>
      <c r="E58" s="47" t="s">
        <v>159</v>
      </c>
      <c r="F58" s="47" t="s">
        <v>160</v>
      </c>
      <c r="G58" s="47" t="s">
        <v>161</v>
      </c>
      <c r="H58" s="85" t="s">
        <v>1019</v>
      </c>
      <c r="I58" s="47" t="s">
        <v>162</v>
      </c>
      <c r="J58" s="47" t="s">
        <v>163</v>
      </c>
      <c r="K58" s="47" t="s">
        <v>291</v>
      </c>
      <c r="L58" s="47" t="s">
        <v>347</v>
      </c>
      <c r="M58" s="47" t="s">
        <v>326</v>
      </c>
      <c r="N58" s="47" t="s">
        <v>388</v>
      </c>
      <c r="O58" s="47" t="s">
        <v>327</v>
      </c>
      <c r="P58" s="47" t="s">
        <v>391</v>
      </c>
      <c r="Q58" s="109" t="s">
        <v>163</v>
      </c>
      <c r="R58" s="92" t="s">
        <v>41</v>
      </c>
      <c r="S58" s="525"/>
      <c r="T58" s="525"/>
      <c r="U58" s="525"/>
      <c r="V58" s="525"/>
      <c r="W58" s="47" t="s">
        <v>275</v>
      </c>
      <c r="X58" s="529"/>
      <c r="Y58" s="92" t="s">
        <v>41</v>
      </c>
      <c r="Z58" s="530"/>
      <c r="AA58" s="256">
        <v>1</v>
      </c>
      <c r="AB58" s="270"/>
      <c r="AC58" s="270"/>
      <c r="AD58" s="47" t="s">
        <v>275</v>
      </c>
      <c r="AE58" s="535"/>
      <c r="AF58" s="314">
        <v>0.9</v>
      </c>
      <c r="AG58" s="292">
        <v>1</v>
      </c>
      <c r="AH58" s="256">
        <v>1</v>
      </c>
      <c r="AI58" s="69" t="s">
        <v>705</v>
      </c>
      <c r="AJ58" s="69" t="s">
        <v>706</v>
      </c>
      <c r="AK58" s="47" t="s">
        <v>275</v>
      </c>
      <c r="AL58" s="192" t="s">
        <v>760</v>
      </c>
      <c r="AM58" s="164">
        <v>0.95</v>
      </c>
      <c r="AN58" s="118">
        <v>0.95</v>
      </c>
      <c r="AO58" s="256">
        <v>1</v>
      </c>
      <c r="AP58" s="124" t="s">
        <v>804</v>
      </c>
      <c r="AQ58" s="124" t="s">
        <v>805</v>
      </c>
      <c r="AR58" s="47" t="s">
        <v>275</v>
      </c>
      <c r="AS58" s="172" t="s">
        <v>839</v>
      </c>
      <c r="AT58" s="369">
        <v>1</v>
      </c>
      <c r="AU58" s="370">
        <v>1</v>
      </c>
      <c r="AV58" s="256">
        <v>1</v>
      </c>
      <c r="AW58" s="181" t="s">
        <v>856</v>
      </c>
      <c r="AX58" s="181" t="s">
        <v>856</v>
      </c>
      <c r="AY58" s="47" t="s">
        <v>275</v>
      </c>
      <c r="AZ58" s="371" t="s">
        <v>1034</v>
      </c>
      <c r="BA58" s="177">
        <v>390</v>
      </c>
      <c r="BB58" s="85">
        <v>556</v>
      </c>
      <c r="BC58" s="256">
        <v>1</v>
      </c>
      <c r="BD58" s="69">
        <v>0</v>
      </c>
      <c r="BE58" s="69">
        <v>0</v>
      </c>
      <c r="BF58" s="47" t="s">
        <v>275</v>
      </c>
      <c r="BG58" s="163" t="s">
        <v>958</v>
      </c>
      <c r="BH58" s="177" t="s">
        <v>420</v>
      </c>
      <c r="BI58" s="187">
        <v>4358</v>
      </c>
      <c r="BJ58" s="14">
        <v>1</v>
      </c>
      <c r="BK58" s="69"/>
      <c r="BL58" s="69"/>
      <c r="BM58" s="85" t="s">
        <v>275</v>
      </c>
      <c r="BN58" s="326" t="s">
        <v>550</v>
      </c>
      <c r="BO58" s="111" t="s">
        <v>420</v>
      </c>
      <c r="BP58" s="188">
        <v>4358</v>
      </c>
      <c r="BQ58" s="256">
        <v>1</v>
      </c>
      <c r="BR58" s="270"/>
      <c r="BS58" s="270"/>
      <c r="BT58" s="47" t="s">
        <v>275</v>
      </c>
      <c r="BU58" s="282" t="s">
        <v>627</v>
      </c>
      <c r="BV58" s="372">
        <v>1150</v>
      </c>
      <c r="BW58" s="188">
        <v>4358</v>
      </c>
      <c r="BX58" s="256">
        <v>0</v>
      </c>
      <c r="BY58" s="272">
        <f>10000000+624000+
11170350+
135994000+
624000</f>
        <v>158412350</v>
      </c>
      <c r="BZ58" s="272">
        <f>10000000+624000+
22340700+
546239083+
624000</f>
        <v>579827783</v>
      </c>
      <c r="CA58" s="268">
        <v>1</v>
      </c>
      <c r="CB58" s="85" t="s">
        <v>1019</v>
      </c>
      <c r="CC58" s="373" t="s">
        <v>1084</v>
      </c>
      <c r="CD58" s="243">
        <v>1100</v>
      </c>
      <c r="CE58" s="188">
        <v>4358</v>
      </c>
      <c r="CF58" s="42">
        <v>0</v>
      </c>
      <c r="CG58" s="272">
        <f>23454000+10000000+624000+1500000+
22340700+
546239083+
624000+9775000</f>
        <v>614556783</v>
      </c>
      <c r="CH58" s="272">
        <f>41044500+10000000+624000+1500000+
11170350+
135994000+
624000+44965000</f>
        <v>245921850</v>
      </c>
      <c r="CI58" s="230">
        <f>CH58/CG58</f>
        <v>0.40016131430445867</v>
      </c>
      <c r="CJ58" s="85" t="s">
        <v>1019</v>
      </c>
      <c r="CK58" s="389" t="s">
        <v>1135</v>
      </c>
      <c r="CL58" s="47" t="s">
        <v>163</v>
      </c>
      <c r="CM58" s="217">
        <v>4358</v>
      </c>
      <c r="CN58" s="230">
        <v>0</v>
      </c>
    </row>
    <row r="59" spans="1:92" ht="205.5" customHeight="1" x14ac:dyDescent="0.25">
      <c r="A59" s="507"/>
      <c r="B59" s="398" t="s">
        <v>164</v>
      </c>
      <c r="C59" s="505" t="s">
        <v>165</v>
      </c>
      <c r="D59" s="111" t="s">
        <v>166</v>
      </c>
      <c r="E59" s="47" t="s">
        <v>167</v>
      </c>
      <c r="F59" s="47" t="s">
        <v>168</v>
      </c>
      <c r="G59" s="47" t="s">
        <v>169</v>
      </c>
      <c r="H59" s="85" t="s">
        <v>1020</v>
      </c>
      <c r="I59" s="47" t="s">
        <v>170</v>
      </c>
      <c r="J59" s="47" t="s">
        <v>171</v>
      </c>
      <c r="K59" s="57" t="s">
        <v>291</v>
      </c>
      <c r="L59" s="57" t="s">
        <v>323</v>
      </c>
      <c r="M59" s="57">
        <v>4301037</v>
      </c>
      <c r="N59" s="57" t="s">
        <v>324</v>
      </c>
      <c r="O59" s="57">
        <v>430103704</v>
      </c>
      <c r="P59" s="57" t="s">
        <v>325</v>
      </c>
      <c r="Q59" s="109" t="s">
        <v>171</v>
      </c>
      <c r="R59" s="92" t="s">
        <v>41</v>
      </c>
      <c r="S59" s="530"/>
      <c r="T59" s="530"/>
      <c r="U59" s="530"/>
      <c r="V59" s="530"/>
      <c r="W59" s="59" t="s">
        <v>262</v>
      </c>
      <c r="X59" s="529"/>
      <c r="Y59" s="92" t="s">
        <v>41</v>
      </c>
      <c r="Z59" s="90">
        <v>0</v>
      </c>
      <c r="AA59" s="54">
        <v>1</v>
      </c>
      <c r="AB59" s="55"/>
      <c r="AC59" s="55"/>
      <c r="AD59" s="59" t="s">
        <v>262</v>
      </c>
      <c r="AE59" s="535" t="s">
        <v>689</v>
      </c>
      <c r="AF59" s="177">
        <v>1</v>
      </c>
      <c r="AG59" s="85">
        <v>1</v>
      </c>
      <c r="AH59" s="54">
        <v>1</v>
      </c>
      <c r="AI59" s="554" t="s">
        <v>720</v>
      </c>
      <c r="AJ59" s="554" t="s">
        <v>721</v>
      </c>
      <c r="AK59" s="59" t="s">
        <v>262</v>
      </c>
      <c r="AL59" s="192" t="s">
        <v>761</v>
      </c>
      <c r="AM59" s="147">
        <v>1</v>
      </c>
      <c r="AN59" s="68">
        <v>1</v>
      </c>
      <c r="AO59" s="54">
        <v>1</v>
      </c>
      <c r="AP59" s="668" t="s">
        <v>806</v>
      </c>
      <c r="AQ59" s="491" t="s">
        <v>807</v>
      </c>
      <c r="AR59" s="59" t="s">
        <v>262</v>
      </c>
      <c r="AS59" s="557" t="s">
        <v>840</v>
      </c>
      <c r="AT59" s="568">
        <v>1</v>
      </c>
      <c r="AU59" s="570">
        <v>1</v>
      </c>
      <c r="AV59" s="54">
        <v>1</v>
      </c>
      <c r="AW59" s="675" t="s">
        <v>856</v>
      </c>
      <c r="AX59" s="571" t="s">
        <v>856</v>
      </c>
      <c r="AY59" s="59" t="s">
        <v>262</v>
      </c>
      <c r="AZ59" s="682" t="s">
        <v>898</v>
      </c>
      <c r="BA59" s="148">
        <v>1</v>
      </c>
      <c r="BB59" s="74">
        <v>1</v>
      </c>
      <c r="BC59" s="54">
        <v>1</v>
      </c>
      <c r="BD59" s="73" t="s">
        <v>928</v>
      </c>
      <c r="BE59" s="73">
        <v>31112000</v>
      </c>
      <c r="BF59" s="59" t="s">
        <v>262</v>
      </c>
      <c r="BG59" s="142" t="s">
        <v>959</v>
      </c>
      <c r="BH59" s="152"/>
      <c r="BI59" s="74">
        <v>1</v>
      </c>
      <c r="BJ59" s="75">
        <v>0</v>
      </c>
      <c r="BK59" s="73" t="s">
        <v>551</v>
      </c>
      <c r="BL59" s="73" t="s">
        <v>552</v>
      </c>
      <c r="BM59" s="78" t="s">
        <v>262</v>
      </c>
      <c r="BN59" s="142" t="s">
        <v>553</v>
      </c>
      <c r="BO59" s="139"/>
      <c r="BP59" s="47">
        <v>666</v>
      </c>
      <c r="BQ59" s="54">
        <v>1</v>
      </c>
      <c r="BR59" s="55">
        <v>42833333</v>
      </c>
      <c r="BS59" s="55" t="s">
        <v>628</v>
      </c>
      <c r="BT59" s="59" t="s">
        <v>262</v>
      </c>
      <c r="BU59" s="137" t="s">
        <v>629</v>
      </c>
      <c r="BV59" s="263">
        <v>90</v>
      </c>
      <c r="BW59" s="47">
        <v>692</v>
      </c>
      <c r="BX59" s="54">
        <v>1</v>
      </c>
      <c r="BY59" s="228">
        <f>20878000000+495000000+177000000</f>
        <v>21550000000</v>
      </c>
      <c r="BZ59" s="228">
        <f>8878000000+177000000+495000000</f>
        <v>9550000000</v>
      </c>
      <c r="CA59" s="207">
        <f>BZ59/BY59</f>
        <v>0.44315545243619492</v>
      </c>
      <c r="CB59" s="85" t="s">
        <v>1020</v>
      </c>
      <c r="CC59" s="253" t="s">
        <v>1065</v>
      </c>
      <c r="CD59" s="234">
        <v>90</v>
      </c>
      <c r="CE59" s="47">
        <f>692+4</f>
        <v>696</v>
      </c>
      <c r="CF59" s="54">
        <v>1</v>
      </c>
      <c r="CG59" s="228">
        <f>20878000000+495000000+177000000+5000000+1020000+5165000+10000000</f>
        <v>21571185000</v>
      </c>
      <c r="CH59" s="375">
        <f>8878000000+177000000+495000000+5000000+10200000+5165000+10000000</f>
        <v>9580365000</v>
      </c>
      <c r="CI59" s="207">
        <f>CH59/CG59</f>
        <v>0.44412789561630478</v>
      </c>
      <c r="CJ59" s="85" t="s">
        <v>1020</v>
      </c>
      <c r="CK59" s="391" t="s">
        <v>1136</v>
      </c>
      <c r="CL59" s="47">
        <v>90</v>
      </c>
      <c r="CM59" s="215">
        <v>696</v>
      </c>
      <c r="CN59" s="207">
        <v>1</v>
      </c>
    </row>
    <row r="60" spans="1:92" ht="106.5" customHeight="1" x14ac:dyDescent="0.25">
      <c r="A60" s="507"/>
      <c r="B60" s="398"/>
      <c r="C60" s="505"/>
      <c r="D60" s="496" t="s">
        <v>172</v>
      </c>
      <c r="E60" s="398" t="s">
        <v>173</v>
      </c>
      <c r="F60" s="47" t="s">
        <v>174</v>
      </c>
      <c r="G60" s="47" t="s">
        <v>169</v>
      </c>
      <c r="H60" s="85" t="s">
        <v>1020</v>
      </c>
      <c r="I60" s="32" t="s">
        <v>170</v>
      </c>
      <c r="J60" s="47" t="s">
        <v>171</v>
      </c>
      <c r="K60" s="464" t="s">
        <v>291</v>
      </c>
      <c r="L60" s="464" t="s">
        <v>348</v>
      </c>
      <c r="M60" s="398">
        <v>4302075</v>
      </c>
      <c r="N60" s="398" t="s">
        <v>349</v>
      </c>
      <c r="O60" s="398">
        <v>430207500</v>
      </c>
      <c r="P60" s="398" t="s">
        <v>350</v>
      </c>
      <c r="Q60" s="109" t="s">
        <v>171</v>
      </c>
      <c r="R60" s="92">
        <v>0</v>
      </c>
      <c r="S60" s="525"/>
      <c r="T60" s="525"/>
      <c r="U60" s="525"/>
      <c r="V60" s="525"/>
      <c r="W60" s="464" t="s">
        <v>269</v>
      </c>
      <c r="X60" s="529"/>
      <c r="Y60" s="92" t="s">
        <v>41</v>
      </c>
      <c r="Z60" s="91">
        <v>0.1</v>
      </c>
      <c r="AA60" s="42" t="e">
        <f>Z60/Y60</f>
        <v>#VALUE!</v>
      </c>
      <c r="AB60" s="427"/>
      <c r="AC60" s="427"/>
      <c r="AD60" s="464" t="s">
        <v>269</v>
      </c>
      <c r="AE60" s="535"/>
      <c r="AF60" s="177">
        <v>1</v>
      </c>
      <c r="AG60" s="85">
        <v>1</v>
      </c>
      <c r="AH60" s="42">
        <f>AG60/AF60</f>
        <v>1</v>
      </c>
      <c r="AI60" s="554"/>
      <c r="AJ60" s="554"/>
      <c r="AK60" s="464" t="s">
        <v>269</v>
      </c>
      <c r="AL60" s="192" t="s">
        <v>761</v>
      </c>
      <c r="AM60" s="147">
        <v>1</v>
      </c>
      <c r="AN60" s="68">
        <v>1</v>
      </c>
      <c r="AO60" s="42">
        <f>AN60/AM60</f>
        <v>1</v>
      </c>
      <c r="AP60" s="456"/>
      <c r="AQ60" s="456"/>
      <c r="AR60" s="464" t="s">
        <v>269</v>
      </c>
      <c r="AS60" s="557"/>
      <c r="AT60" s="568"/>
      <c r="AU60" s="570"/>
      <c r="AV60" s="42" t="e">
        <f>AU60/AT60</f>
        <v>#DIV/0!</v>
      </c>
      <c r="AW60" s="673"/>
      <c r="AX60" s="676"/>
      <c r="AY60" s="464" t="s">
        <v>269</v>
      </c>
      <c r="AZ60" s="682"/>
      <c r="BA60" s="148">
        <v>20</v>
      </c>
      <c r="BB60" s="74">
        <v>923</v>
      </c>
      <c r="BC60" s="42">
        <f>BB60/BA60</f>
        <v>46.15</v>
      </c>
      <c r="BD60" s="580" t="s">
        <v>928</v>
      </c>
      <c r="BE60" s="82">
        <v>623661206</v>
      </c>
      <c r="BF60" s="464" t="s">
        <v>269</v>
      </c>
      <c r="BG60" s="142" t="s">
        <v>960</v>
      </c>
      <c r="BH60" s="149">
        <v>0.7</v>
      </c>
      <c r="BI60" s="80">
        <f>6/12</f>
        <v>0.5</v>
      </c>
      <c r="BJ60" s="81">
        <f>BI60/BH60</f>
        <v>0.7142857142857143</v>
      </c>
      <c r="BK60" s="580" t="s">
        <v>554</v>
      </c>
      <c r="BL60" s="580" t="s">
        <v>555</v>
      </c>
      <c r="BM60" s="583" t="s">
        <v>269</v>
      </c>
      <c r="BN60" s="142" t="s">
        <v>556</v>
      </c>
      <c r="BO60" s="140">
        <v>80</v>
      </c>
      <c r="BP60" s="41">
        <v>69</v>
      </c>
      <c r="BQ60" s="42">
        <f>BP60/BO60</f>
        <v>0.86250000000000004</v>
      </c>
      <c r="BR60" s="427">
        <v>132200000</v>
      </c>
      <c r="BS60" s="427" t="s">
        <v>630</v>
      </c>
      <c r="BT60" s="464" t="s">
        <v>269</v>
      </c>
      <c r="BU60" s="137" t="s">
        <v>631</v>
      </c>
      <c r="BV60" s="118">
        <v>0.8</v>
      </c>
      <c r="BW60" s="56">
        <v>0.69</v>
      </c>
      <c r="BX60" s="42">
        <f>BW60/BV60</f>
        <v>0.86249999999999993</v>
      </c>
      <c r="BY60" s="421">
        <f>44580000+233685000+
12834828+177000000</f>
        <v>468099828</v>
      </c>
      <c r="BZ60" s="421">
        <f>44580000+233685000+
12834828+
177000000</f>
        <v>468099828</v>
      </c>
      <c r="CA60" s="440">
        <f>BZ60/BY60</f>
        <v>1</v>
      </c>
      <c r="CB60" s="85" t="s">
        <v>1020</v>
      </c>
      <c r="CC60" s="253" t="s">
        <v>1097</v>
      </c>
      <c r="CD60" s="234">
        <v>80</v>
      </c>
      <c r="CE60" s="265">
        <v>115</v>
      </c>
      <c r="CF60" s="42">
        <v>1</v>
      </c>
      <c r="CG60" s="421">
        <f>44580000+233685000+242000000+121000000+
12834828+177000000+(2067255637*0.34)+278428571+180000000</f>
        <v>1992395315.5799999</v>
      </c>
      <c r="CH60" s="421">
        <f>44580000+233685000+278428571+278428571+242000000+121000000+
12834828+
177000000+(265643218*0.34)+180000000</f>
        <v>1658275664.1199999</v>
      </c>
      <c r="CI60" s="440">
        <f>CH60/CG60</f>
        <v>0.83230253110551233</v>
      </c>
      <c r="CJ60" s="85" t="s">
        <v>1020</v>
      </c>
      <c r="CK60" s="391" t="s">
        <v>1137</v>
      </c>
      <c r="CL60" s="47" t="s">
        <v>171</v>
      </c>
      <c r="CM60" s="41">
        <v>69</v>
      </c>
      <c r="CN60" s="42">
        <v>0.69</v>
      </c>
    </row>
    <row r="61" spans="1:92" ht="48" customHeight="1" x14ac:dyDescent="0.25">
      <c r="A61" s="507"/>
      <c r="B61" s="398"/>
      <c r="C61" s="505"/>
      <c r="D61" s="496"/>
      <c r="E61" s="398"/>
      <c r="F61" s="47" t="s">
        <v>175</v>
      </c>
      <c r="G61" s="47" t="s">
        <v>169</v>
      </c>
      <c r="H61" s="85" t="s">
        <v>1020</v>
      </c>
      <c r="I61" s="32" t="s">
        <v>170</v>
      </c>
      <c r="J61" s="47" t="s">
        <v>171</v>
      </c>
      <c r="K61" s="464"/>
      <c r="L61" s="464"/>
      <c r="M61" s="398"/>
      <c r="N61" s="398"/>
      <c r="O61" s="398"/>
      <c r="P61" s="398"/>
      <c r="Q61" s="109" t="s">
        <v>171</v>
      </c>
      <c r="R61" s="92">
        <v>0</v>
      </c>
      <c r="S61" s="525"/>
      <c r="T61" s="525"/>
      <c r="U61" s="525"/>
      <c r="V61" s="525"/>
      <c r="W61" s="464"/>
      <c r="X61" s="529"/>
      <c r="Y61" s="92" t="s">
        <v>41</v>
      </c>
      <c r="Z61" s="90">
        <v>1</v>
      </c>
      <c r="AA61" s="42" t="e">
        <f>Z61/Y61</f>
        <v>#VALUE!</v>
      </c>
      <c r="AB61" s="427"/>
      <c r="AC61" s="458"/>
      <c r="AD61" s="464"/>
      <c r="AE61" s="535"/>
      <c r="AF61" s="177" t="s">
        <v>693</v>
      </c>
      <c r="AG61" s="85" t="s">
        <v>693</v>
      </c>
      <c r="AH61" s="42" t="e">
        <f>AG61/AF61</f>
        <v>#VALUE!</v>
      </c>
      <c r="AI61" s="554">
        <v>16300000</v>
      </c>
      <c r="AJ61" s="554">
        <v>14433333</v>
      </c>
      <c r="AK61" s="464"/>
      <c r="AL61" s="192" t="s">
        <v>762</v>
      </c>
      <c r="AM61" s="177" t="s">
        <v>693</v>
      </c>
      <c r="AN61" s="85" t="s">
        <v>693</v>
      </c>
      <c r="AO61" s="42" t="e">
        <f>AN61/AM61</f>
        <v>#VALUE!</v>
      </c>
      <c r="AP61" s="668">
        <v>363307447</v>
      </c>
      <c r="AQ61" s="668">
        <v>73250000</v>
      </c>
      <c r="AR61" s="464"/>
      <c r="AS61" s="557" t="s">
        <v>841</v>
      </c>
      <c r="AT61" s="171">
        <v>1</v>
      </c>
      <c r="AU61" s="125">
        <v>1</v>
      </c>
      <c r="AV61" s="42">
        <f>AU61/AT61</f>
        <v>1</v>
      </c>
      <c r="AW61" s="181" t="s">
        <v>856</v>
      </c>
      <c r="AX61" s="181" t="s">
        <v>856</v>
      </c>
      <c r="AY61" s="464"/>
      <c r="AZ61" s="176" t="s">
        <v>899</v>
      </c>
      <c r="BA61" s="148">
        <v>20</v>
      </c>
      <c r="BB61" s="74">
        <f>20+1755</f>
        <v>1775</v>
      </c>
      <c r="BC61" s="42">
        <f>BB61/BA61</f>
        <v>88.75</v>
      </c>
      <c r="BD61" s="580"/>
      <c r="BE61" s="82">
        <v>75485000</v>
      </c>
      <c r="BF61" s="464"/>
      <c r="BG61" s="142" t="s">
        <v>961</v>
      </c>
      <c r="BH61" s="149">
        <v>0.7</v>
      </c>
      <c r="BI61" s="74">
        <v>0</v>
      </c>
      <c r="BJ61" s="81">
        <v>0</v>
      </c>
      <c r="BK61" s="580"/>
      <c r="BL61" s="614"/>
      <c r="BM61" s="583"/>
      <c r="BN61" s="142" t="s">
        <v>557</v>
      </c>
      <c r="BO61" s="140">
        <v>80</v>
      </c>
      <c r="BP61" s="41">
        <v>69</v>
      </c>
      <c r="BQ61" s="42">
        <f>BP61/BO61</f>
        <v>0.86250000000000004</v>
      </c>
      <c r="BR61" s="427"/>
      <c r="BS61" s="458"/>
      <c r="BT61" s="464"/>
      <c r="BU61" s="137" t="s">
        <v>632</v>
      </c>
      <c r="BV61" s="118">
        <v>0.9</v>
      </c>
      <c r="BW61" s="56">
        <v>0.69</v>
      </c>
      <c r="BX61" s="42">
        <f>BW61/BV61</f>
        <v>0.76666666666666661</v>
      </c>
      <c r="BY61" s="422"/>
      <c r="BZ61" s="445"/>
      <c r="CA61" s="441"/>
      <c r="CB61" s="85" t="s">
        <v>1020</v>
      </c>
      <c r="CC61" s="249" t="s">
        <v>1066</v>
      </c>
      <c r="CD61" s="234">
        <v>90</v>
      </c>
      <c r="CE61" s="265">
        <v>20</v>
      </c>
      <c r="CF61" s="42">
        <f>CE61/CD61</f>
        <v>0.22222222222222221</v>
      </c>
      <c r="CG61" s="422"/>
      <c r="CH61" s="445"/>
      <c r="CI61" s="441"/>
      <c r="CJ61" s="85" t="s">
        <v>1020</v>
      </c>
      <c r="CK61" s="382" t="s">
        <v>1138</v>
      </c>
      <c r="CL61" s="47" t="s">
        <v>171</v>
      </c>
      <c r="CM61" s="41">
        <v>69</v>
      </c>
      <c r="CN61" s="40">
        <v>0.69</v>
      </c>
    </row>
    <row r="62" spans="1:92" ht="327.75" customHeight="1" x14ac:dyDescent="0.25">
      <c r="A62" s="507"/>
      <c r="B62" s="398"/>
      <c r="C62" s="505"/>
      <c r="D62" s="496" t="s">
        <v>176</v>
      </c>
      <c r="E62" s="398" t="s">
        <v>177</v>
      </c>
      <c r="F62" s="47" t="s">
        <v>178</v>
      </c>
      <c r="G62" s="47" t="s">
        <v>179</v>
      </c>
      <c r="H62" s="85" t="s">
        <v>1021</v>
      </c>
      <c r="I62" s="47" t="s">
        <v>170</v>
      </c>
      <c r="J62" s="47" t="s">
        <v>180</v>
      </c>
      <c r="K62" s="464" t="s">
        <v>291</v>
      </c>
      <c r="L62" s="464" t="s">
        <v>323</v>
      </c>
      <c r="M62" s="464">
        <v>4301037</v>
      </c>
      <c r="N62" s="464" t="s">
        <v>324</v>
      </c>
      <c r="O62" s="464">
        <v>430103704</v>
      </c>
      <c r="P62" s="464" t="s">
        <v>325</v>
      </c>
      <c r="Q62" s="109" t="s">
        <v>180</v>
      </c>
      <c r="R62" s="92"/>
      <c r="S62" s="539"/>
      <c r="T62" s="539">
        <v>0</v>
      </c>
      <c r="U62" s="539"/>
      <c r="V62" s="539" t="s">
        <v>500</v>
      </c>
      <c r="W62" s="464" t="s">
        <v>270</v>
      </c>
      <c r="X62" s="529" t="s">
        <v>501</v>
      </c>
      <c r="Y62" s="92"/>
      <c r="Z62" s="90">
        <v>5</v>
      </c>
      <c r="AA62" s="40">
        <v>1</v>
      </c>
      <c r="AB62" s="427"/>
      <c r="AC62" s="538"/>
      <c r="AD62" s="464" t="s">
        <v>270</v>
      </c>
      <c r="AE62" s="535" t="s">
        <v>690</v>
      </c>
      <c r="AF62" s="177" t="s">
        <v>693</v>
      </c>
      <c r="AG62" s="85" t="s">
        <v>693</v>
      </c>
      <c r="AH62" s="40">
        <v>1</v>
      </c>
      <c r="AI62" s="554"/>
      <c r="AJ62" s="554"/>
      <c r="AK62" s="464" t="s">
        <v>270</v>
      </c>
      <c r="AL62" s="192" t="s">
        <v>762</v>
      </c>
      <c r="AM62" s="177" t="s">
        <v>693</v>
      </c>
      <c r="AN62" s="85" t="s">
        <v>693</v>
      </c>
      <c r="AO62" s="40">
        <v>1</v>
      </c>
      <c r="AP62" s="491"/>
      <c r="AQ62" s="491"/>
      <c r="AR62" s="464" t="s">
        <v>270</v>
      </c>
      <c r="AS62" s="557"/>
      <c r="AT62" s="171">
        <v>1</v>
      </c>
      <c r="AU62" s="125">
        <v>1</v>
      </c>
      <c r="AV62" s="40">
        <v>1</v>
      </c>
      <c r="AW62" s="181" t="s">
        <v>856</v>
      </c>
      <c r="AX62" s="181" t="s">
        <v>856</v>
      </c>
      <c r="AY62" s="464" t="s">
        <v>270</v>
      </c>
      <c r="AZ62" s="175" t="s">
        <v>900</v>
      </c>
      <c r="BA62" s="148">
        <v>13</v>
      </c>
      <c r="BB62" s="74">
        <v>13</v>
      </c>
      <c r="BC62" s="40">
        <v>1</v>
      </c>
      <c r="BD62" s="580"/>
      <c r="BE62" s="580">
        <v>181115580</v>
      </c>
      <c r="BF62" s="464" t="s">
        <v>270</v>
      </c>
      <c r="BG62" s="142" t="s">
        <v>962</v>
      </c>
      <c r="BH62" s="149">
        <v>0.14000000000000001</v>
      </c>
      <c r="BI62" s="74">
        <v>0</v>
      </c>
      <c r="BJ62" s="77">
        <v>0</v>
      </c>
      <c r="BK62" s="82"/>
      <c r="BL62" s="615"/>
      <c r="BM62" s="583" t="s">
        <v>270</v>
      </c>
      <c r="BN62" s="142" t="s">
        <v>558</v>
      </c>
      <c r="BO62" s="134">
        <v>0.16</v>
      </c>
      <c r="BP62" s="59">
        <v>0.2</v>
      </c>
      <c r="BQ62" s="40">
        <v>1</v>
      </c>
      <c r="BR62" s="427" t="s">
        <v>459</v>
      </c>
      <c r="BS62" s="538" t="s">
        <v>633</v>
      </c>
      <c r="BT62" s="464" t="s">
        <v>270</v>
      </c>
      <c r="BU62" s="142" t="s">
        <v>634</v>
      </c>
      <c r="BV62" s="118">
        <v>0.18</v>
      </c>
      <c r="BW62" s="59" t="s">
        <v>1088</v>
      </c>
      <c r="BX62" s="40">
        <v>1</v>
      </c>
      <c r="BY62" s="421">
        <f>1468000000+5250000+
9500000+260366700+90000000</f>
        <v>1833116700</v>
      </c>
      <c r="BZ62" s="538">
        <f>546239083+5250000+9500000+169238355+90000000</f>
        <v>820227438</v>
      </c>
      <c r="CA62" s="417">
        <f>BZ62/BY62</f>
        <v>0.44744965664215486</v>
      </c>
      <c r="CB62" s="85" t="s">
        <v>1021</v>
      </c>
      <c r="CC62" s="253" t="s">
        <v>1089</v>
      </c>
      <c r="CD62" s="87">
        <v>0.2</v>
      </c>
      <c r="CE62" s="59" t="s">
        <v>1088</v>
      </c>
      <c r="CF62" s="40">
        <v>1</v>
      </c>
      <c r="CG62" s="421">
        <f>1468000000+5250000+278428571+278428571+121000000+
9500000+260366700+90000000+(2067255637*0.34)+37200000+80000000</f>
        <v>3331040758.5799999</v>
      </c>
      <c r="CH62" s="423">
        <f>546239083+5250000+9500000+121000000+169238355+90000000+(265643218*0.34)+37200000+278428571+80000000</f>
        <v>1427174703.1199999</v>
      </c>
      <c r="CI62" s="417">
        <f>CH62/CG62</f>
        <v>0.42844708502708168</v>
      </c>
      <c r="CJ62" s="85" t="s">
        <v>1021</v>
      </c>
      <c r="CK62" s="391" t="s">
        <v>1139</v>
      </c>
      <c r="CL62" s="57" t="s">
        <v>180</v>
      </c>
      <c r="CM62" s="59" t="s">
        <v>1088</v>
      </c>
      <c r="CN62" s="216">
        <v>1</v>
      </c>
    </row>
    <row r="63" spans="1:92" ht="297.75" customHeight="1" x14ac:dyDescent="0.25">
      <c r="A63" s="507"/>
      <c r="B63" s="398"/>
      <c r="C63" s="505"/>
      <c r="D63" s="496"/>
      <c r="E63" s="398"/>
      <c r="F63" s="47" t="s">
        <v>181</v>
      </c>
      <c r="G63" s="47" t="s">
        <v>179</v>
      </c>
      <c r="H63" s="85" t="s">
        <v>1021</v>
      </c>
      <c r="I63" s="47" t="s">
        <v>182</v>
      </c>
      <c r="J63" s="47" t="s">
        <v>180</v>
      </c>
      <c r="K63" s="464"/>
      <c r="L63" s="464"/>
      <c r="M63" s="464"/>
      <c r="N63" s="464"/>
      <c r="O63" s="464"/>
      <c r="P63" s="464"/>
      <c r="Q63" s="109" t="s">
        <v>180</v>
      </c>
      <c r="R63" s="92"/>
      <c r="S63" s="540"/>
      <c r="T63" s="540"/>
      <c r="U63" s="540"/>
      <c r="V63" s="540"/>
      <c r="W63" s="464"/>
      <c r="X63" s="529"/>
      <c r="Y63" s="92"/>
      <c r="Z63" s="90">
        <v>0</v>
      </c>
      <c r="AA63" s="60">
        <v>0</v>
      </c>
      <c r="AB63" s="427"/>
      <c r="AC63" s="457"/>
      <c r="AD63" s="464"/>
      <c r="AE63" s="535"/>
      <c r="AF63" s="177">
        <v>1</v>
      </c>
      <c r="AG63" s="85">
        <v>1</v>
      </c>
      <c r="AH63" s="60">
        <v>0</v>
      </c>
      <c r="AI63" s="69" t="s">
        <v>722</v>
      </c>
      <c r="AJ63" s="69" t="s">
        <v>722</v>
      </c>
      <c r="AK63" s="464"/>
      <c r="AL63" s="192" t="s">
        <v>763</v>
      </c>
      <c r="AM63" s="147">
        <v>1</v>
      </c>
      <c r="AN63" s="68">
        <v>1</v>
      </c>
      <c r="AO63" s="60">
        <v>0</v>
      </c>
      <c r="AP63" s="69" t="s">
        <v>808</v>
      </c>
      <c r="AQ63" s="69" t="s">
        <v>808</v>
      </c>
      <c r="AR63" s="464"/>
      <c r="AS63" s="163" t="s">
        <v>842</v>
      </c>
      <c r="AT63" s="171">
        <v>1</v>
      </c>
      <c r="AU63" s="125">
        <v>1</v>
      </c>
      <c r="AV63" s="60">
        <v>0</v>
      </c>
      <c r="AW63" s="181" t="s">
        <v>856</v>
      </c>
      <c r="AX63" s="181" t="s">
        <v>856</v>
      </c>
      <c r="AY63" s="464"/>
      <c r="AZ63" s="174" t="s">
        <v>901</v>
      </c>
      <c r="BA63" s="148">
        <v>1</v>
      </c>
      <c r="BB63" s="74">
        <v>1</v>
      </c>
      <c r="BC63" s="60">
        <v>0</v>
      </c>
      <c r="BD63" s="580"/>
      <c r="BE63" s="580"/>
      <c r="BF63" s="464"/>
      <c r="BG63" s="142" t="s">
        <v>963</v>
      </c>
      <c r="BH63" s="149">
        <v>0.14000000000000001</v>
      </c>
      <c r="BI63" s="74">
        <v>0</v>
      </c>
      <c r="BJ63" s="77">
        <v>0</v>
      </c>
      <c r="BK63" s="80"/>
      <c r="BL63" s="615"/>
      <c r="BM63" s="583"/>
      <c r="BN63" s="142" t="s">
        <v>1035</v>
      </c>
      <c r="BO63" s="134">
        <v>0.16</v>
      </c>
      <c r="BP63" s="57">
        <v>0</v>
      </c>
      <c r="BQ63" s="60">
        <v>0</v>
      </c>
      <c r="BR63" s="427"/>
      <c r="BS63" s="457"/>
      <c r="BT63" s="464"/>
      <c r="BU63" s="142" t="s">
        <v>1036</v>
      </c>
      <c r="BV63" s="118">
        <v>0.18</v>
      </c>
      <c r="BW63" s="59">
        <v>0.79</v>
      </c>
      <c r="BX63" s="60">
        <v>1</v>
      </c>
      <c r="BY63" s="422"/>
      <c r="BZ63" s="457"/>
      <c r="CA63" s="424"/>
      <c r="CB63" s="85" t="s">
        <v>1021</v>
      </c>
      <c r="CC63" s="253" t="s">
        <v>1087</v>
      </c>
      <c r="CD63" s="87">
        <v>0.2</v>
      </c>
      <c r="CE63" s="59">
        <v>0.79</v>
      </c>
      <c r="CF63" s="60">
        <v>1</v>
      </c>
      <c r="CG63" s="422"/>
      <c r="CH63" s="423"/>
      <c r="CI63" s="424"/>
      <c r="CJ63" s="85" t="s">
        <v>1021</v>
      </c>
      <c r="CK63" s="391" t="s">
        <v>1140</v>
      </c>
      <c r="CL63" s="47" t="s">
        <v>180</v>
      </c>
      <c r="CM63" s="61">
        <v>0.3</v>
      </c>
      <c r="CN63" s="230">
        <v>1</v>
      </c>
    </row>
    <row r="64" spans="1:92" ht="148.5" customHeight="1" x14ac:dyDescent="0.25">
      <c r="A64" s="507"/>
      <c r="B64" s="398"/>
      <c r="C64" s="505"/>
      <c r="D64" s="111" t="s">
        <v>183</v>
      </c>
      <c r="E64" s="47" t="s">
        <v>184</v>
      </c>
      <c r="F64" s="32" t="s">
        <v>185</v>
      </c>
      <c r="G64" s="47" t="s">
        <v>186</v>
      </c>
      <c r="H64" s="85" t="s">
        <v>1022</v>
      </c>
      <c r="I64" s="32">
        <v>0</v>
      </c>
      <c r="J64" s="47">
        <v>8</v>
      </c>
      <c r="K64" s="57" t="s">
        <v>291</v>
      </c>
      <c r="L64" s="57" t="s">
        <v>323</v>
      </c>
      <c r="M64" s="57">
        <v>4301037</v>
      </c>
      <c r="N64" s="57" t="s">
        <v>324</v>
      </c>
      <c r="O64" s="57">
        <v>430103704</v>
      </c>
      <c r="P64" s="57" t="s">
        <v>325</v>
      </c>
      <c r="Q64" s="109">
        <v>8</v>
      </c>
      <c r="R64" s="92"/>
      <c r="S64" s="540"/>
      <c r="T64" s="540"/>
      <c r="U64" s="540"/>
      <c r="V64" s="540"/>
      <c r="W64" s="57" t="s">
        <v>271</v>
      </c>
      <c r="X64" s="529"/>
      <c r="Y64" s="92"/>
      <c r="Z64" s="90">
        <v>10</v>
      </c>
      <c r="AA64" s="60">
        <v>1</v>
      </c>
      <c r="AB64" s="50"/>
      <c r="AC64" s="65"/>
      <c r="AD64" s="57" t="s">
        <v>271</v>
      </c>
      <c r="AE64" s="535"/>
      <c r="AF64" s="193">
        <v>3</v>
      </c>
      <c r="AG64" s="115">
        <v>0</v>
      </c>
      <c r="AH64" s="60">
        <v>1</v>
      </c>
      <c r="AI64" s="69" t="s">
        <v>723</v>
      </c>
      <c r="AJ64" s="69" t="s">
        <v>724</v>
      </c>
      <c r="AK64" s="57" t="s">
        <v>271</v>
      </c>
      <c r="AL64" s="194" t="s">
        <v>764</v>
      </c>
      <c r="AM64" s="147">
        <v>3</v>
      </c>
      <c r="AN64" s="68">
        <v>3</v>
      </c>
      <c r="AO64" s="60">
        <v>1</v>
      </c>
      <c r="AP64" s="69">
        <v>15000000</v>
      </c>
      <c r="AQ64" s="69">
        <v>10800000</v>
      </c>
      <c r="AR64" s="57" t="s">
        <v>271</v>
      </c>
      <c r="AS64" s="163" t="s">
        <v>843</v>
      </c>
      <c r="AT64" s="171">
        <v>3</v>
      </c>
      <c r="AU64" s="125">
        <v>3</v>
      </c>
      <c r="AV64" s="60">
        <v>1</v>
      </c>
      <c r="AW64" s="181" t="s">
        <v>856</v>
      </c>
      <c r="AX64" s="181" t="s">
        <v>856</v>
      </c>
      <c r="AY64" s="57" t="s">
        <v>271</v>
      </c>
      <c r="AZ64" s="174" t="s">
        <v>902</v>
      </c>
      <c r="BA64" s="148">
        <v>1</v>
      </c>
      <c r="BB64" s="74">
        <v>3</v>
      </c>
      <c r="BC64" s="60">
        <v>1</v>
      </c>
      <c r="BD64" s="73">
        <v>573181075</v>
      </c>
      <c r="BE64" s="73">
        <v>209343900</v>
      </c>
      <c r="BF64" s="57" t="s">
        <v>271</v>
      </c>
      <c r="BG64" s="165" t="s">
        <v>964</v>
      </c>
      <c r="BH64" s="150">
        <v>6</v>
      </c>
      <c r="BI64" s="74">
        <v>3</v>
      </c>
      <c r="BJ64" s="77">
        <v>0.5</v>
      </c>
      <c r="BK64" s="83">
        <v>490000000</v>
      </c>
      <c r="BL64" s="83">
        <v>490000000</v>
      </c>
      <c r="BM64" s="74" t="s">
        <v>271</v>
      </c>
      <c r="BN64" s="142" t="s">
        <v>559</v>
      </c>
      <c r="BO64" s="136">
        <v>6</v>
      </c>
      <c r="BP64" s="57">
        <v>10</v>
      </c>
      <c r="BQ64" s="60">
        <v>1</v>
      </c>
      <c r="BR64" s="50">
        <v>130000000</v>
      </c>
      <c r="BS64" s="43" t="s">
        <v>635</v>
      </c>
      <c r="BT64" s="57" t="s">
        <v>271</v>
      </c>
      <c r="BU64" s="142" t="s">
        <v>636</v>
      </c>
      <c r="BV64" s="234">
        <v>7</v>
      </c>
      <c r="BW64" s="57">
        <v>7</v>
      </c>
      <c r="BX64" s="60">
        <v>1</v>
      </c>
      <c r="BY64" s="50">
        <f>9000000+43275000+
83000</f>
        <v>52358000</v>
      </c>
      <c r="BZ64" s="50">
        <f>9000000+43275000+
83000</f>
        <v>52358000</v>
      </c>
      <c r="CA64" s="60">
        <f>BZ64/BY64</f>
        <v>1</v>
      </c>
      <c r="CB64" s="85" t="s">
        <v>1022</v>
      </c>
      <c r="CC64" s="254" t="s">
        <v>1067</v>
      </c>
      <c r="CD64" s="261">
        <v>8</v>
      </c>
      <c r="CE64" s="57">
        <v>11</v>
      </c>
      <c r="CF64" s="60">
        <v>1</v>
      </c>
      <c r="CG64" s="50">
        <f>9000000+43275000+40000000+
83000+2850000+80000000</f>
        <v>175208000</v>
      </c>
      <c r="CH64" s="55">
        <f>9000000+43275000+40000000+2850000
+83000+80000000</f>
        <v>175208000</v>
      </c>
      <c r="CI64" s="60">
        <f>CH64/CG64</f>
        <v>1</v>
      </c>
      <c r="CJ64" s="85" t="s">
        <v>1022</v>
      </c>
      <c r="CK64" s="383" t="s">
        <v>1141</v>
      </c>
      <c r="CL64" s="47">
        <v>8</v>
      </c>
      <c r="CM64" s="57">
        <v>11</v>
      </c>
      <c r="CN64" s="60">
        <v>1</v>
      </c>
    </row>
    <row r="65" spans="1:93" ht="147" customHeight="1" x14ac:dyDescent="0.25">
      <c r="A65" s="507"/>
      <c r="B65" s="398"/>
      <c r="C65" s="505"/>
      <c r="D65" s="111" t="s">
        <v>187</v>
      </c>
      <c r="E65" s="47" t="s">
        <v>188</v>
      </c>
      <c r="F65" s="32" t="s">
        <v>448</v>
      </c>
      <c r="G65" s="32" t="s">
        <v>189</v>
      </c>
      <c r="H65" s="68" t="s">
        <v>1023</v>
      </c>
      <c r="I65" s="32" t="s">
        <v>170</v>
      </c>
      <c r="J65" s="47">
        <v>30</v>
      </c>
      <c r="K65" s="57" t="s">
        <v>295</v>
      </c>
      <c r="L65" s="57" t="s">
        <v>351</v>
      </c>
      <c r="M65" s="47">
        <v>3502046</v>
      </c>
      <c r="N65" s="47" t="s">
        <v>352</v>
      </c>
      <c r="O65" s="47">
        <v>350204600</v>
      </c>
      <c r="P65" s="47" t="s">
        <v>353</v>
      </c>
      <c r="Q65" s="109">
        <v>30</v>
      </c>
      <c r="R65" s="92"/>
      <c r="S65" s="540"/>
      <c r="T65" s="540"/>
      <c r="U65" s="540"/>
      <c r="V65" s="540"/>
      <c r="W65" s="57" t="s">
        <v>283</v>
      </c>
      <c r="X65" s="529"/>
      <c r="Y65" s="92">
        <v>1</v>
      </c>
      <c r="Z65" s="90">
        <v>1</v>
      </c>
      <c r="AA65" s="40">
        <f>Z65/Y65</f>
        <v>1</v>
      </c>
      <c r="AB65" s="55"/>
      <c r="AC65" s="55"/>
      <c r="AD65" s="57" t="s">
        <v>283</v>
      </c>
      <c r="AE65" s="535"/>
      <c r="AF65" s="199">
        <v>1</v>
      </c>
      <c r="AG65" s="200">
        <v>1</v>
      </c>
      <c r="AH65" s="40">
        <f>AG65/AF65</f>
        <v>1</v>
      </c>
      <c r="AI65" s="554" t="s">
        <v>725</v>
      </c>
      <c r="AJ65" s="554" t="s">
        <v>726</v>
      </c>
      <c r="AK65" s="57" t="s">
        <v>283</v>
      </c>
      <c r="AL65" s="557" t="s">
        <v>765</v>
      </c>
      <c r="AM65" s="199">
        <v>1</v>
      </c>
      <c r="AN65" s="200">
        <v>1</v>
      </c>
      <c r="AO65" s="40">
        <f>AN65/AM65</f>
        <v>1</v>
      </c>
      <c r="AP65" s="554" t="s">
        <v>809</v>
      </c>
      <c r="AQ65" s="554">
        <v>185210909</v>
      </c>
      <c r="AR65" s="57" t="s">
        <v>283</v>
      </c>
      <c r="AS65" s="557" t="s">
        <v>844</v>
      </c>
      <c r="AT65" s="201">
        <v>1</v>
      </c>
      <c r="AU65" s="202">
        <v>1</v>
      </c>
      <c r="AV65" s="40">
        <f>AU65/AT65</f>
        <v>1</v>
      </c>
      <c r="AW65" s="673" t="s">
        <v>856</v>
      </c>
      <c r="AX65" s="674" t="s">
        <v>856</v>
      </c>
      <c r="AY65" s="57" t="s">
        <v>283</v>
      </c>
      <c r="AZ65" s="681" t="s">
        <v>903</v>
      </c>
      <c r="BA65" s="166">
        <v>3</v>
      </c>
      <c r="BB65" s="129">
        <v>3</v>
      </c>
      <c r="BC65" s="40">
        <f>BB65/BA65</f>
        <v>1</v>
      </c>
      <c r="BD65" s="73">
        <v>119240000</v>
      </c>
      <c r="BE65" s="73">
        <v>95010000</v>
      </c>
      <c r="BF65" s="57" t="s">
        <v>283</v>
      </c>
      <c r="BG65" s="167" t="s">
        <v>965</v>
      </c>
      <c r="BH65" s="150">
        <v>2</v>
      </c>
      <c r="BI65" s="74">
        <v>0</v>
      </c>
      <c r="BJ65" s="84">
        <v>0</v>
      </c>
      <c r="BK65" s="121"/>
      <c r="BL65" s="73"/>
      <c r="BM65" s="74" t="s">
        <v>283</v>
      </c>
      <c r="BN65" s="151" t="s">
        <v>560</v>
      </c>
      <c r="BO65" s="95">
        <v>4</v>
      </c>
      <c r="BP65" s="47">
        <v>1</v>
      </c>
      <c r="BQ65" s="40">
        <f>BP65/BO65</f>
        <v>0.25</v>
      </c>
      <c r="BR65" s="55">
        <v>3000000</v>
      </c>
      <c r="BS65" s="55">
        <v>1000000</v>
      </c>
      <c r="BT65" s="57" t="s">
        <v>283</v>
      </c>
      <c r="BU65" s="141" t="s">
        <v>637</v>
      </c>
      <c r="BV65" s="203">
        <v>4</v>
      </c>
      <c r="BW65" s="47">
        <v>1</v>
      </c>
      <c r="BX65" s="40">
        <f>BW65/BV65</f>
        <v>0.25</v>
      </c>
      <c r="BY65" s="241">
        <v>3000000</v>
      </c>
      <c r="BZ65" s="241">
        <v>3000000</v>
      </c>
      <c r="CA65" s="40">
        <f>BZ65/BY65</f>
        <v>1</v>
      </c>
      <c r="CB65" s="68" t="s">
        <v>1023</v>
      </c>
      <c r="CC65" s="254" t="s">
        <v>1068</v>
      </c>
      <c r="CD65" s="243">
        <v>8</v>
      </c>
      <c r="CE65" s="47">
        <v>2</v>
      </c>
      <c r="CF65" s="40">
        <f>CE65/CD65</f>
        <v>0.25</v>
      </c>
      <c r="CG65" s="241">
        <f>3000000+8000000+8000000</f>
        <v>19000000</v>
      </c>
      <c r="CH65" s="241">
        <f>1500000+2000000+5000000</f>
        <v>8500000</v>
      </c>
      <c r="CI65" s="40">
        <f>CH65/CG65</f>
        <v>0.44736842105263158</v>
      </c>
      <c r="CJ65" s="68" t="s">
        <v>1023</v>
      </c>
      <c r="CK65" s="383" t="s">
        <v>1142</v>
      </c>
      <c r="CL65" s="47">
        <v>30</v>
      </c>
      <c r="CM65" s="47">
        <v>11</v>
      </c>
      <c r="CN65" s="40">
        <v>0.3</v>
      </c>
    </row>
    <row r="66" spans="1:93" ht="77.25" customHeight="1" x14ac:dyDescent="0.25">
      <c r="A66" s="507"/>
      <c r="B66" s="398" t="s">
        <v>190</v>
      </c>
      <c r="C66" s="505" t="s">
        <v>191</v>
      </c>
      <c r="D66" s="496" t="s">
        <v>192</v>
      </c>
      <c r="E66" s="398" t="s">
        <v>193</v>
      </c>
      <c r="F66" s="398" t="s">
        <v>194</v>
      </c>
      <c r="G66" s="398" t="s">
        <v>195</v>
      </c>
      <c r="H66" s="407" t="s">
        <v>1024</v>
      </c>
      <c r="I66" s="511" t="s">
        <v>170</v>
      </c>
      <c r="J66" s="398" t="s">
        <v>196</v>
      </c>
      <c r="K66" s="464" t="s">
        <v>291</v>
      </c>
      <c r="L66" s="464" t="s">
        <v>354</v>
      </c>
      <c r="M66" s="398">
        <v>3301073</v>
      </c>
      <c r="N66" s="398" t="s">
        <v>355</v>
      </c>
      <c r="O66" s="398">
        <v>330107301</v>
      </c>
      <c r="P66" s="398" t="s">
        <v>356</v>
      </c>
      <c r="Q66" s="528" t="s">
        <v>196</v>
      </c>
      <c r="R66" s="542">
        <v>160</v>
      </c>
      <c r="S66" s="398">
        <v>118</v>
      </c>
      <c r="T66" s="414">
        <f>S66/R66</f>
        <v>0.73750000000000004</v>
      </c>
      <c r="U66" s="427" t="s">
        <v>471</v>
      </c>
      <c r="V66" s="427" t="s">
        <v>472</v>
      </c>
      <c r="W66" s="464" t="s">
        <v>272</v>
      </c>
      <c r="X66" s="533" t="s">
        <v>473</v>
      </c>
      <c r="Y66" s="542">
        <v>160</v>
      </c>
      <c r="Z66" s="398">
        <v>118</v>
      </c>
      <c r="AA66" s="414">
        <f>Z66/Y66</f>
        <v>0.73750000000000004</v>
      </c>
      <c r="AB66" s="427"/>
      <c r="AC66" s="427"/>
      <c r="AD66" s="464" t="s">
        <v>272</v>
      </c>
      <c r="AE66" s="533"/>
      <c r="AF66" s="565">
        <v>1</v>
      </c>
      <c r="AG66" s="407">
        <v>1</v>
      </c>
      <c r="AH66" s="414">
        <f>AF66/AG66</f>
        <v>1</v>
      </c>
      <c r="AI66" s="554"/>
      <c r="AJ66" s="554"/>
      <c r="AK66" s="464" t="s">
        <v>272</v>
      </c>
      <c r="AL66" s="557"/>
      <c r="AM66" s="565">
        <v>1</v>
      </c>
      <c r="AN66" s="407">
        <v>1</v>
      </c>
      <c r="AO66" s="414">
        <f>AM66/AN66</f>
        <v>1</v>
      </c>
      <c r="AP66" s="554"/>
      <c r="AQ66" s="554"/>
      <c r="AR66" s="464" t="s">
        <v>272</v>
      </c>
      <c r="AS66" s="557"/>
      <c r="AT66" s="677">
        <v>1</v>
      </c>
      <c r="AU66" s="679">
        <v>1</v>
      </c>
      <c r="AV66" s="414" t="e">
        <f>#REF!/#REF!</f>
        <v>#REF!</v>
      </c>
      <c r="AW66" s="673"/>
      <c r="AX66" s="674"/>
      <c r="AY66" s="464" t="s">
        <v>272</v>
      </c>
      <c r="AZ66" s="681"/>
      <c r="BA66" s="582">
        <v>21</v>
      </c>
      <c r="BB66" s="583">
        <v>21</v>
      </c>
      <c r="BC66" s="414">
        <f>BB66/BA66</f>
        <v>1</v>
      </c>
      <c r="BD66" s="580">
        <v>1502044165</v>
      </c>
      <c r="BE66" s="580">
        <v>1449671166</v>
      </c>
      <c r="BF66" s="464" t="s">
        <v>272</v>
      </c>
      <c r="BG66" s="690" t="s">
        <v>966</v>
      </c>
      <c r="BH66" s="616">
        <v>140</v>
      </c>
      <c r="BI66" s="583">
        <v>2</v>
      </c>
      <c r="BJ66" s="617">
        <f>(BI66/BH66)*1</f>
        <v>1.4285714285714285E-2</v>
      </c>
      <c r="BK66" s="580">
        <v>14044000</v>
      </c>
      <c r="BL66" s="580">
        <v>14044000</v>
      </c>
      <c r="BM66" s="583" t="s">
        <v>272</v>
      </c>
      <c r="BN66" s="618" t="s">
        <v>561</v>
      </c>
      <c r="BO66" s="542">
        <v>160</v>
      </c>
      <c r="BP66" s="398">
        <v>118</v>
      </c>
      <c r="BQ66" s="414">
        <f>BP66/BO66</f>
        <v>0.73750000000000004</v>
      </c>
      <c r="BR66" s="427" t="s">
        <v>638</v>
      </c>
      <c r="BS66" s="427" t="s">
        <v>472</v>
      </c>
      <c r="BT66" s="464" t="s">
        <v>272</v>
      </c>
      <c r="BU66" s="618" t="s">
        <v>639</v>
      </c>
      <c r="BV66" s="652">
        <v>160</v>
      </c>
      <c r="BW66" s="398">
        <v>118</v>
      </c>
      <c r="BX66" s="414">
        <f>BW66/BV66</f>
        <v>0.73750000000000004</v>
      </c>
      <c r="BY66" s="427">
        <v>40000000</v>
      </c>
      <c r="BZ66" s="427">
        <f>34620000+8655000+8655000</f>
        <v>51930000</v>
      </c>
      <c r="CA66" s="417">
        <v>1</v>
      </c>
      <c r="CB66" s="407" t="s">
        <v>1024</v>
      </c>
      <c r="CC66" s="649" t="s">
        <v>1098</v>
      </c>
      <c r="CD66" s="425">
        <v>200</v>
      </c>
      <c r="CE66" s="398">
        <v>0</v>
      </c>
      <c r="CF66" s="414">
        <f>CE66/CD66</f>
        <v>0</v>
      </c>
      <c r="CG66" s="427">
        <f>40000000+3000000+2200000</f>
        <v>45200000</v>
      </c>
      <c r="CH66" s="427">
        <f>34620000+8655000+8655000+3000000+2200000</f>
        <v>57130000</v>
      </c>
      <c r="CI66" s="417">
        <v>1</v>
      </c>
      <c r="CJ66" s="407" t="s">
        <v>1024</v>
      </c>
      <c r="CK66" s="410" t="s">
        <v>1159</v>
      </c>
      <c r="CL66" s="398">
        <v>200</v>
      </c>
      <c r="CM66" s="707">
        <v>118</v>
      </c>
      <c r="CN66" s="471">
        <f>CM66/CL66</f>
        <v>0.59</v>
      </c>
    </row>
    <row r="67" spans="1:93" ht="54" customHeight="1" x14ac:dyDescent="0.25">
      <c r="A67" s="507"/>
      <c r="B67" s="398"/>
      <c r="C67" s="505"/>
      <c r="D67" s="496"/>
      <c r="E67" s="398"/>
      <c r="F67" s="398"/>
      <c r="G67" s="398"/>
      <c r="H67" s="428"/>
      <c r="I67" s="511"/>
      <c r="J67" s="398"/>
      <c r="K67" s="464"/>
      <c r="L67" s="464"/>
      <c r="M67" s="398"/>
      <c r="N67" s="398"/>
      <c r="O67" s="398"/>
      <c r="P67" s="398"/>
      <c r="Q67" s="528"/>
      <c r="R67" s="543"/>
      <c r="S67" s="398"/>
      <c r="T67" s="414"/>
      <c r="U67" s="427"/>
      <c r="V67" s="427"/>
      <c r="W67" s="464"/>
      <c r="X67" s="534"/>
      <c r="Y67" s="543"/>
      <c r="Z67" s="398"/>
      <c r="AA67" s="414"/>
      <c r="AB67" s="427"/>
      <c r="AC67" s="427"/>
      <c r="AD67" s="464"/>
      <c r="AE67" s="534"/>
      <c r="AF67" s="566"/>
      <c r="AG67" s="428"/>
      <c r="AH67" s="414"/>
      <c r="AI67" s="554"/>
      <c r="AJ67" s="554"/>
      <c r="AK67" s="464"/>
      <c r="AL67" s="557"/>
      <c r="AM67" s="566"/>
      <c r="AN67" s="428"/>
      <c r="AO67" s="414"/>
      <c r="AP67" s="554"/>
      <c r="AQ67" s="554"/>
      <c r="AR67" s="464"/>
      <c r="AS67" s="557"/>
      <c r="AT67" s="678"/>
      <c r="AU67" s="680"/>
      <c r="AV67" s="414"/>
      <c r="AW67" s="675" t="s">
        <v>856</v>
      </c>
      <c r="AX67" s="675" t="s">
        <v>856</v>
      </c>
      <c r="AY67" s="464"/>
      <c r="AZ67" s="682" t="s">
        <v>904</v>
      </c>
      <c r="BA67" s="582"/>
      <c r="BB67" s="583"/>
      <c r="BC67" s="414"/>
      <c r="BD67" s="580"/>
      <c r="BE67" s="580"/>
      <c r="BF67" s="464"/>
      <c r="BG67" s="690"/>
      <c r="BH67" s="616"/>
      <c r="BI67" s="583"/>
      <c r="BJ67" s="617"/>
      <c r="BK67" s="580"/>
      <c r="BL67" s="580"/>
      <c r="BM67" s="583"/>
      <c r="BN67" s="618"/>
      <c r="BO67" s="543"/>
      <c r="BP67" s="398"/>
      <c r="BQ67" s="414"/>
      <c r="BR67" s="427"/>
      <c r="BS67" s="427"/>
      <c r="BT67" s="464"/>
      <c r="BU67" s="656"/>
      <c r="BV67" s="653"/>
      <c r="BW67" s="398"/>
      <c r="BX67" s="414"/>
      <c r="BY67" s="427"/>
      <c r="BZ67" s="427"/>
      <c r="CA67" s="424"/>
      <c r="CB67" s="428"/>
      <c r="CC67" s="650"/>
      <c r="CD67" s="426"/>
      <c r="CE67" s="398"/>
      <c r="CF67" s="414"/>
      <c r="CG67" s="427"/>
      <c r="CH67" s="427"/>
      <c r="CI67" s="424"/>
      <c r="CJ67" s="428"/>
      <c r="CK67" s="411"/>
      <c r="CL67" s="398"/>
      <c r="CM67" s="708"/>
      <c r="CN67" s="473"/>
    </row>
    <row r="68" spans="1:93" ht="112.5" customHeight="1" x14ac:dyDescent="0.25">
      <c r="A68" s="507"/>
      <c r="B68" s="398"/>
      <c r="C68" s="505"/>
      <c r="D68" s="496" t="s">
        <v>197</v>
      </c>
      <c r="E68" s="398" t="s">
        <v>198</v>
      </c>
      <c r="F68" s="47" t="s">
        <v>199</v>
      </c>
      <c r="G68" s="47" t="s">
        <v>195</v>
      </c>
      <c r="H68" s="85" t="s">
        <v>1024</v>
      </c>
      <c r="I68" s="32" t="s">
        <v>170</v>
      </c>
      <c r="J68" s="47" t="s">
        <v>196</v>
      </c>
      <c r="K68" s="464" t="s">
        <v>291</v>
      </c>
      <c r="L68" s="464" t="s">
        <v>354</v>
      </c>
      <c r="M68" s="398">
        <v>3301052</v>
      </c>
      <c r="N68" s="398" t="s">
        <v>357</v>
      </c>
      <c r="O68" s="398">
        <v>330105203</v>
      </c>
      <c r="P68" s="398" t="s">
        <v>358</v>
      </c>
      <c r="Q68" s="109" t="s">
        <v>196</v>
      </c>
      <c r="R68" s="93">
        <v>160</v>
      </c>
      <c r="S68" s="47">
        <v>92</v>
      </c>
      <c r="T68" s="40">
        <f>S68/R68</f>
        <v>0.57499999999999996</v>
      </c>
      <c r="U68" s="55" t="s">
        <v>474</v>
      </c>
      <c r="V68" s="55" t="s">
        <v>475</v>
      </c>
      <c r="W68" s="464"/>
      <c r="X68" s="533" t="s">
        <v>476</v>
      </c>
      <c r="Y68" s="93">
        <v>160</v>
      </c>
      <c r="Z68" s="47">
        <v>92</v>
      </c>
      <c r="AA68" s="40">
        <f>Z68/Y68</f>
        <v>0.57499999999999996</v>
      </c>
      <c r="AB68" s="55"/>
      <c r="AC68" s="55"/>
      <c r="AD68" s="464"/>
      <c r="AE68" s="534"/>
      <c r="AF68" s="177">
        <v>1</v>
      </c>
      <c r="AG68" s="85">
        <v>1</v>
      </c>
      <c r="AH68" s="40">
        <f>AG68/AF68</f>
        <v>1</v>
      </c>
      <c r="AI68" s="554"/>
      <c r="AJ68" s="554"/>
      <c r="AK68" s="464"/>
      <c r="AL68" s="557"/>
      <c r="AM68" s="177">
        <v>1</v>
      </c>
      <c r="AN68" s="85">
        <v>1</v>
      </c>
      <c r="AO68" s="40">
        <f>AN68/AM68</f>
        <v>1</v>
      </c>
      <c r="AP68" s="554"/>
      <c r="AQ68" s="554"/>
      <c r="AR68" s="464"/>
      <c r="AS68" s="557"/>
      <c r="AT68" s="171">
        <v>1</v>
      </c>
      <c r="AU68" s="125">
        <v>1</v>
      </c>
      <c r="AV68" s="40">
        <f>AU68/AT68</f>
        <v>1</v>
      </c>
      <c r="AW68" s="675"/>
      <c r="AX68" s="675"/>
      <c r="AY68" s="464"/>
      <c r="AZ68" s="682"/>
      <c r="BA68" s="148">
        <v>34</v>
      </c>
      <c r="BB68" s="74">
        <v>55</v>
      </c>
      <c r="BC68" s="40">
        <f>BB68/(2*BA68)</f>
        <v>0.80882352941176472</v>
      </c>
      <c r="BD68" s="580"/>
      <c r="BE68" s="580"/>
      <c r="BF68" s="464"/>
      <c r="BG68" s="690"/>
      <c r="BH68" s="153">
        <v>140</v>
      </c>
      <c r="BI68" s="74">
        <v>54</v>
      </c>
      <c r="BJ68" s="77">
        <f>(BI68/BH68)*1</f>
        <v>0.38571428571428573</v>
      </c>
      <c r="BK68" s="73">
        <v>139800000</v>
      </c>
      <c r="BL68" s="73">
        <v>139700000</v>
      </c>
      <c r="BM68" s="583"/>
      <c r="BN68" s="143" t="s">
        <v>562</v>
      </c>
      <c r="BO68" s="93">
        <v>160</v>
      </c>
      <c r="BP68" s="47">
        <v>92</v>
      </c>
      <c r="BQ68" s="40">
        <f>BP68/BO68</f>
        <v>0.57499999999999996</v>
      </c>
      <c r="BR68" s="55" t="s">
        <v>640</v>
      </c>
      <c r="BS68" s="55" t="s">
        <v>475</v>
      </c>
      <c r="BT68" s="464"/>
      <c r="BU68" s="143" t="s">
        <v>641</v>
      </c>
      <c r="BV68" s="68">
        <v>180</v>
      </c>
      <c r="BW68" s="47">
        <v>92</v>
      </c>
      <c r="BX68" s="40">
        <f>BW68/BV68</f>
        <v>0.51111111111111107</v>
      </c>
      <c r="BY68" s="242">
        <v>918000000</v>
      </c>
      <c r="BZ68" s="55">
        <f>23000000+148497504</f>
        <v>171497504</v>
      </c>
      <c r="CA68" s="216">
        <f>BZ68/BY68</f>
        <v>0.18681645315904138</v>
      </c>
      <c r="CB68" s="85" t="s">
        <v>1024</v>
      </c>
      <c r="CC68" s="250" t="s">
        <v>1099</v>
      </c>
      <c r="CD68" s="243">
        <v>200</v>
      </c>
      <c r="CE68" s="47">
        <v>0</v>
      </c>
      <c r="CF68" s="256">
        <f>CE68/CD68</f>
        <v>0</v>
      </c>
      <c r="CG68" s="374">
        <f>918000000+1516035847+261643826</f>
        <v>2695679673</v>
      </c>
      <c r="CH68" s="270">
        <f>23000000+148497504+87500000</f>
        <v>258997504</v>
      </c>
      <c r="CI68" s="267">
        <f>CH68/CG68</f>
        <v>9.6078739100244726E-2</v>
      </c>
      <c r="CJ68" s="85" t="s">
        <v>1024</v>
      </c>
      <c r="CK68" s="391" t="s">
        <v>1160</v>
      </c>
      <c r="CL68" s="47">
        <v>200</v>
      </c>
      <c r="CM68" s="215">
        <v>92</v>
      </c>
      <c r="CN68" s="216">
        <f>CM68/CL68</f>
        <v>0.46</v>
      </c>
    </row>
    <row r="69" spans="1:93" ht="65.25" customHeight="1" x14ac:dyDescent="0.25">
      <c r="A69" s="507"/>
      <c r="B69" s="398"/>
      <c r="C69" s="505"/>
      <c r="D69" s="496"/>
      <c r="E69" s="398"/>
      <c r="F69" s="47" t="s">
        <v>200</v>
      </c>
      <c r="G69" s="47" t="s">
        <v>195</v>
      </c>
      <c r="H69" s="85" t="s">
        <v>1024</v>
      </c>
      <c r="I69" s="32" t="s">
        <v>170</v>
      </c>
      <c r="J69" s="47" t="s">
        <v>196</v>
      </c>
      <c r="K69" s="464"/>
      <c r="L69" s="464"/>
      <c r="M69" s="398"/>
      <c r="N69" s="398"/>
      <c r="O69" s="398"/>
      <c r="P69" s="398"/>
      <c r="Q69" s="109" t="s">
        <v>196</v>
      </c>
      <c r="R69" s="94">
        <v>160</v>
      </c>
      <c r="S69" s="53">
        <v>93</v>
      </c>
      <c r="T69" s="40">
        <f>S69/R69</f>
        <v>0.58125000000000004</v>
      </c>
      <c r="U69" s="52"/>
      <c r="V69" s="52"/>
      <c r="W69" s="464"/>
      <c r="X69" s="534"/>
      <c r="Y69" s="94">
        <v>160</v>
      </c>
      <c r="Z69" s="53">
        <v>93</v>
      </c>
      <c r="AA69" s="40">
        <f>Z69/Y69</f>
        <v>0.58125000000000004</v>
      </c>
      <c r="AB69" s="52"/>
      <c r="AC69" s="52"/>
      <c r="AD69" s="464"/>
      <c r="AE69" s="534"/>
      <c r="AF69" s="177">
        <v>3</v>
      </c>
      <c r="AG69" s="85">
        <v>3</v>
      </c>
      <c r="AH69" s="40">
        <f>AG69/AF69</f>
        <v>1</v>
      </c>
      <c r="AI69" s="554"/>
      <c r="AJ69" s="554"/>
      <c r="AK69" s="464"/>
      <c r="AL69" s="192" t="s">
        <v>766</v>
      </c>
      <c r="AM69" s="147">
        <v>3</v>
      </c>
      <c r="AN69" s="68">
        <v>3</v>
      </c>
      <c r="AO69" s="40">
        <f>AN69/AM69</f>
        <v>1</v>
      </c>
      <c r="AP69" s="554"/>
      <c r="AQ69" s="554"/>
      <c r="AR69" s="464"/>
      <c r="AS69" s="557"/>
      <c r="AT69" s="171">
        <v>3</v>
      </c>
      <c r="AU69" s="125">
        <v>3</v>
      </c>
      <c r="AV69" s="40">
        <f>AU69/AT69</f>
        <v>1</v>
      </c>
      <c r="AW69" s="181" t="s">
        <v>856</v>
      </c>
      <c r="AX69" s="181" t="s">
        <v>856</v>
      </c>
      <c r="AY69" s="464"/>
      <c r="AZ69" s="174" t="s">
        <v>905</v>
      </c>
      <c r="BA69" s="148">
        <v>34</v>
      </c>
      <c r="BB69" s="74">
        <v>55</v>
      </c>
      <c r="BC69" s="40">
        <f>BB69/(2*BA69)</f>
        <v>0.80882352941176472</v>
      </c>
      <c r="BD69" s="580"/>
      <c r="BE69" s="580"/>
      <c r="BF69" s="464"/>
      <c r="BG69" s="690"/>
      <c r="BH69" s="149">
        <v>1.4</v>
      </c>
      <c r="BI69" s="79">
        <v>0</v>
      </c>
      <c r="BJ69" s="77">
        <f>(BI69/BH69)*1</f>
        <v>0</v>
      </c>
      <c r="BK69" s="82"/>
      <c r="BL69" s="82"/>
      <c r="BM69" s="583"/>
      <c r="BN69" s="143" t="s">
        <v>563</v>
      </c>
      <c r="BO69" s="94">
        <v>160</v>
      </c>
      <c r="BP69" s="53">
        <v>93</v>
      </c>
      <c r="BQ69" s="40">
        <f>BP69/BO69</f>
        <v>0.58125000000000004</v>
      </c>
      <c r="BR69" s="52"/>
      <c r="BS69" s="52"/>
      <c r="BT69" s="464"/>
      <c r="BU69" s="144" t="s">
        <v>642</v>
      </c>
      <c r="BV69" s="68">
        <v>160</v>
      </c>
      <c r="BW69" s="53">
        <v>93</v>
      </c>
      <c r="BX69" s="40">
        <f>BW69/BV69</f>
        <v>0.58125000000000004</v>
      </c>
      <c r="BY69" s="55">
        <v>918000000</v>
      </c>
      <c r="BZ69" s="55">
        <f>23000000+148497504</f>
        <v>171497504</v>
      </c>
      <c r="CA69" s="216">
        <f>BZ69/BY69</f>
        <v>0.18681645315904138</v>
      </c>
      <c r="CB69" s="85" t="s">
        <v>1024</v>
      </c>
      <c r="CC69" s="76" t="s">
        <v>1069</v>
      </c>
      <c r="CD69" s="243">
        <v>200</v>
      </c>
      <c r="CE69" s="53">
        <v>0</v>
      </c>
      <c r="CF69" s="256">
        <f>CE69/CD69</f>
        <v>0</v>
      </c>
      <c r="CG69" s="270">
        <f>918000000+600000</f>
        <v>918600000</v>
      </c>
      <c r="CH69" s="270">
        <f>23000000+148497504+600000+12000000</f>
        <v>184097504</v>
      </c>
      <c r="CI69" s="267">
        <f>CH69/CG69</f>
        <v>0.20041095580230786</v>
      </c>
      <c r="CJ69" s="85" t="s">
        <v>1024</v>
      </c>
      <c r="CK69" s="382" t="s">
        <v>1161</v>
      </c>
      <c r="CL69" s="47">
        <v>200</v>
      </c>
      <c r="CM69" s="53">
        <v>93</v>
      </c>
      <c r="CN69" s="216">
        <f t="shared" ref="CN69" si="10">CM69/CL69</f>
        <v>0.46500000000000002</v>
      </c>
    </row>
    <row r="70" spans="1:93" ht="54" customHeight="1" thickBot="1" x14ac:dyDescent="0.3">
      <c r="A70" s="507"/>
      <c r="B70" s="398"/>
      <c r="C70" s="505"/>
      <c r="D70" s="111" t="s">
        <v>201</v>
      </c>
      <c r="E70" s="47" t="s">
        <v>202</v>
      </c>
      <c r="F70" s="47" t="s">
        <v>449</v>
      </c>
      <c r="G70" s="47" t="s">
        <v>195</v>
      </c>
      <c r="H70" s="225" t="s">
        <v>1024</v>
      </c>
      <c r="I70" s="32">
        <v>6</v>
      </c>
      <c r="J70" s="47">
        <v>60</v>
      </c>
      <c r="K70" s="464"/>
      <c r="L70" s="464"/>
      <c r="M70" s="398"/>
      <c r="N70" s="398"/>
      <c r="O70" s="398"/>
      <c r="P70" s="398"/>
      <c r="Q70" s="109">
        <v>60</v>
      </c>
      <c r="R70" s="95">
        <v>48</v>
      </c>
      <c r="S70" s="47">
        <v>1</v>
      </c>
      <c r="T70" s="40">
        <v>0.5</v>
      </c>
      <c r="U70" s="55" t="s">
        <v>477</v>
      </c>
      <c r="V70" s="55" t="s">
        <v>478</v>
      </c>
      <c r="W70" s="464"/>
      <c r="X70" s="190" t="s">
        <v>488</v>
      </c>
      <c r="Y70" s="95">
        <v>48</v>
      </c>
      <c r="Z70" s="47">
        <v>1</v>
      </c>
      <c r="AA70" s="40">
        <v>0.5</v>
      </c>
      <c r="AB70" s="55"/>
      <c r="AC70" s="55"/>
      <c r="AD70" s="464"/>
      <c r="AE70" s="133"/>
      <c r="AF70" s="546">
        <v>0.8</v>
      </c>
      <c r="AG70" s="556">
        <v>0.8</v>
      </c>
      <c r="AH70" s="40">
        <v>0.5</v>
      </c>
      <c r="AI70" s="554" t="s">
        <v>694</v>
      </c>
      <c r="AJ70" s="554" t="s">
        <v>695</v>
      </c>
      <c r="AK70" s="464"/>
      <c r="AL70" s="557" t="s">
        <v>767</v>
      </c>
      <c r="AM70" s="558">
        <v>0.9</v>
      </c>
      <c r="AN70" s="455">
        <v>1</v>
      </c>
      <c r="AO70" s="40">
        <v>0.5</v>
      </c>
      <c r="AP70" s="555" t="s">
        <v>780</v>
      </c>
      <c r="AQ70" s="555" t="s">
        <v>781</v>
      </c>
      <c r="AR70" s="464"/>
      <c r="AS70" s="553" t="s">
        <v>845</v>
      </c>
      <c r="AT70" s="567">
        <v>1</v>
      </c>
      <c r="AU70" s="569">
        <v>1</v>
      </c>
      <c r="AV70" s="40">
        <v>0.5</v>
      </c>
      <c r="AW70" s="676">
        <v>25000000</v>
      </c>
      <c r="AX70" s="676">
        <v>23933333</v>
      </c>
      <c r="AY70" s="464"/>
      <c r="AZ70" s="683" t="s">
        <v>906</v>
      </c>
      <c r="BA70" s="148">
        <v>30</v>
      </c>
      <c r="BB70" s="74">
        <v>29</v>
      </c>
      <c r="BC70" s="40">
        <v>0.5</v>
      </c>
      <c r="BD70" s="580"/>
      <c r="BE70" s="580"/>
      <c r="BF70" s="464"/>
      <c r="BG70" s="690"/>
      <c r="BH70" s="150">
        <v>42</v>
      </c>
      <c r="BI70" s="74">
        <v>1</v>
      </c>
      <c r="BJ70" s="77">
        <f>(BI70/BH70)*1</f>
        <v>2.3809523809523808E-2</v>
      </c>
      <c r="BK70" s="73">
        <v>12000000</v>
      </c>
      <c r="BL70" s="73">
        <v>12000000</v>
      </c>
      <c r="BM70" s="583"/>
      <c r="BN70" s="143" t="s">
        <v>564</v>
      </c>
      <c r="BO70" s="95">
        <v>48</v>
      </c>
      <c r="BP70" s="47">
        <v>1</v>
      </c>
      <c r="BQ70" s="40">
        <v>0.5</v>
      </c>
      <c r="BR70" s="55" t="s">
        <v>643</v>
      </c>
      <c r="BS70" s="55" t="s">
        <v>478</v>
      </c>
      <c r="BT70" s="464"/>
      <c r="BU70" s="145" t="s">
        <v>644</v>
      </c>
      <c r="BV70" s="68">
        <v>54</v>
      </c>
      <c r="BW70" s="47">
        <v>1</v>
      </c>
      <c r="BX70" s="40">
        <v>1.7999999999999999E-2</v>
      </c>
      <c r="BY70" s="55">
        <f>17100000+11400000+5700000</f>
        <v>34200000</v>
      </c>
      <c r="BZ70" s="55">
        <f>17100000+11400000+5700000</f>
        <v>34200000</v>
      </c>
      <c r="CA70" s="40">
        <f>BZ70/BY70</f>
        <v>1</v>
      </c>
      <c r="CB70" s="225" t="s">
        <v>1024</v>
      </c>
      <c r="CC70" s="251" t="s">
        <v>1070</v>
      </c>
      <c r="CD70" s="68">
        <v>60</v>
      </c>
      <c r="CE70" s="47">
        <v>0</v>
      </c>
      <c r="CF70" s="256">
        <v>1.7999999999999999E-2</v>
      </c>
      <c r="CG70" s="270">
        <f>17100000+11400000+5700000+7000000+1254392020.33+6600000</f>
        <v>1302192020.3299999</v>
      </c>
      <c r="CH70" s="270">
        <f>17100000+11400000+5700000+7000000+6600000</f>
        <v>47800000</v>
      </c>
      <c r="CI70" s="256">
        <f>CH70/CG70</f>
        <v>3.6707335979440717E-2</v>
      </c>
      <c r="CJ70" s="225" t="s">
        <v>1024</v>
      </c>
      <c r="CK70" s="389" t="s">
        <v>1162</v>
      </c>
      <c r="CL70" s="57">
        <v>60</v>
      </c>
      <c r="CM70" s="57">
        <v>34</v>
      </c>
      <c r="CN70" s="216">
        <f>CM70/CL70</f>
        <v>0.56666666666666665</v>
      </c>
    </row>
    <row r="71" spans="1:93" ht="18.75" customHeight="1" x14ac:dyDescent="0.25">
      <c r="A71" s="515" t="s">
        <v>203</v>
      </c>
      <c r="B71" s="498" t="s">
        <v>204</v>
      </c>
      <c r="C71" s="500" t="s">
        <v>205</v>
      </c>
      <c r="D71" s="496" t="s">
        <v>206</v>
      </c>
      <c r="E71" s="398" t="s">
        <v>207</v>
      </c>
      <c r="F71" s="398" t="s">
        <v>208</v>
      </c>
      <c r="G71" s="398" t="s">
        <v>209</v>
      </c>
      <c r="H71" s="434" t="s">
        <v>1025</v>
      </c>
      <c r="I71" s="511">
        <v>0</v>
      </c>
      <c r="J71" s="398">
        <v>100</v>
      </c>
      <c r="K71" s="464" t="s">
        <v>291</v>
      </c>
      <c r="L71" s="464" t="s">
        <v>292</v>
      </c>
      <c r="M71" s="464" t="s">
        <v>293</v>
      </c>
      <c r="N71" s="464" t="s">
        <v>423</v>
      </c>
      <c r="O71" s="464" t="s">
        <v>293</v>
      </c>
      <c r="P71" s="464" t="s">
        <v>400</v>
      </c>
      <c r="Q71" s="527">
        <v>1</v>
      </c>
      <c r="R71" s="541">
        <v>0.5</v>
      </c>
      <c r="S71" s="432">
        <v>0.5</v>
      </c>
      <c r="T71" s="414">
        <v>1</v>
      </c>
      <c r="U71" s="427">
        <v>11540000</v>
      </c>
      <c r="V71" s="427">
        <v>0</v>
      </c>
      <c r="W71" s="398" t="s">
        <v>255</v>
      </c>
      <c r="X71" s="532" t="s">
        <v>479</v>
      </c>
      <c r="Y71" s="541">
        <v>0.5</v>
      </c>
      <c r="Z71" s="432">
        <v>0.5</v>
      </c>
      <c r="AA71" s="414">
        <v>1</v>
      </c>
      <c r="AB71" s="427"/>
      <c r="AC71" s="427"/>
      <c r="AD71" s="398" t="s">
        <v>255</v>
      </c>
      <c r="AE71" s="532"/>
      <c r="AF71" s="546"/>
      <c r="AG71" s="556"/>
      <c r="AH71" s="414">
        <v>1</v>
      </c>
      <c r="AI71" s="554"/>
      <c r="AJ71" s="554"/>
      <c r="AK71" s="398" t="s">
        <v>255</v>
      </c>
      <c r="AL71" s="557"/>
      <c r="AM71" s="558"/>
      <c r="AN71" s="455"/>
      <c r="AO71" s="414">
        <v>1</v>
      </c>
      <c r="AP71" s="555"/>
      <c r="AQ71" s="555"/>
      <c r="AR71" s="398" t="s">
        <v>255</v>
      </c>
      <c r="AS71" s="553"/>
      <c r="AT71" s="568"/>
      <c r="AU71" s="570"/>
      <c r="AV71" s="414">
        <v>1</v>
      </c>
      <c r="AW71" s="570"/>
      <c r="AX71" s="570"/>
      <c r="AY71" s="398" t="s">
        <v>255</v>
      </c>
      <c r="AZ71" s="683"/>
      <c r="BA71" s="584">
        <v>1</v>
      </c>
      <c r="BB71" s="585">
        <v>0.9</v>
      </c>
      <c r="BC71" s="414">
        <v>1</v>
      </c>
      <c r="BD71" s="580">
        <v>32000000</v>
      </c>
      <c r="BE71" s="580">
        <v>31440300</v>
      </c>
      <c r="BF71" s="398" t="s">
        <v>255</v>
      </c>
      <c r="BG71" s="581" t="s">
        <v>967</v>
      </c>
      <c r="BH71" s="546">
        <v>0.5</v>
      </c>
      <c r="BI71" s="556">
        <v>0</v>
      </c>
      <c r="BJ71" s="657">
        <v>0</v>
      </c>
      <c r="BK71" s="554"/>
      <c r="BL71" s="554"/>
      <c r="BM71" s="491" t="s">
        <v>255</v>
      </c>
      <c r="BN71" s="578" t="s">
        <v>565</v>
      </c>
      <c r="BO71" s="541">
        <v>0.5</v>
      </c>
      <c r="BP71" s="432">
        <v>0.5</v>
      </c>
      <c r="BQ71" s="414">
        <v>1</v>
      </c>
      <c r="BR71" s="427">
        <v>11540000</v>
      </c>
      <c r="BS71" s="427">
        <v>0</v>
      </c>
      <c r="BT71" s="398" t="s">
        <v>255</v>
      </c>
      <c r="BU71" s="532" t="s">
        <v>645</v>
      </c>
      <c r="BV71" s="429">
        <v>0.5</v>
      </c>
      <c r="BW71" s="432">
        <v>0.5</v>
      </c>
      <c r="BX71" s="414">
        <v>1</v>
      </c>
      <c r="BY71" s="427">
        <v>271452800</v>
      </c>
      <c r="BZ71" s="427">
        <v>223685832</v>
      </c>
      <c r="CA71" s="417">
        <f>BZ71/BY71</f>
        <v>0.82403214113098111</v>
      </c>
      <c r="CB71" s="434" t="s">
        <v>1025</v>
      </c>
      <c r="CC71" s="650" t="s">
        <v>1071</v>
      </c>
      <c r="CD71" s="429">
        <v>0.5</v>
      </c>
      <c r="CE71" s="432">
        <v>0.5</v>
      </c>
      <c r="CF71" s="414">
        <v>1</v>
      </c>
      <c r="CG71" s="427">
        <v>271452800</v>
      </c>
      <c r="CH71" s="427">
        <v>223685832</v>
      </c>
      <c r="CI71" s="417">
        <f>CH71/CG71</f>
        <v>0.82403214113098111</v>
      </c>
      <c r="CJ71" s="434" t="s">
        <v>1025</v>
      </c>
      <c r="CK71" s="435" t="s">
        <v>1143</v>
      </c>
      <c r="CL71" s="432">
        <v>1</v>
      </c>
      <c r="CM71" s="709">
        <v>0.5</v>
      </c>
      <c r="CN71" s="489">
        <f>CM71/CL71</f>
        <v>0.5</v>
      </c>
    </row>
    <row r="72" spans="1:93" ht="57.75" customHeight="1" x14ac:dyDescent="0.25">
      <c r="A72" s="509"/>
      <c r="B72" s="498"/>
      <c r="C72" s="500"/>
      <c r="D72" s="496"/>
      <c r="E72" s="398"/>
      <c r="F72" s="398"/>
      <c r="G72" s="398"/>
      <c r="H72" s="408"/>
      <c r="I72" s="511"/>
      <c r="J72" s="398"/>
      <c r="K72" s="464"/>
      <c r="L72" s="464"/>
      <c r="M72" s="464"/>
      <c r="N72" s="464"/>
      <c r="O72" s="464"/>
      <c r="P72" s="464"/>
      <c r="Q72" s="528"/>
      <c r="R72" s="541"/>
      <c r="S72" s="432"/>
      <c r="T72" s="414"/>
      <c r="U72" s="427"/>
      <c r="V72" s="427"/>
      <c r="W72" s="398"/>
      <c r="X72" s="532"/>
      <c r="Y72" s="541"/>
      <c r="Z72" s="432"/>
      <c r="AA72" s="414"/>
      <c r="AB72" s="427"/>
      <c r="AC72" s="427"/>
      <c r="AD72" s="398"/>
      <c r="AE72" s="532"/>
      <c r="AF72" s="546"/>
      <c r="AG72" s="556"/>
      <c r="AH72" s="414"/>
      <c r="AI72" s="554"/>
      <c r="AJ72" s="554"/>
      <c r="AK72" s="398"/>
      <c r="AL72" s="557"/>
      <c r="AM72" s="558"/>
      <c r="AN72" s="455"/>
      <c r="AO72" s="414"/>
      <c r="AP72" s="555"/>
      <c r="AQ72" s="555"/>
      <c r="AR72" s="398"/>
      <c r="AS72" s="553"/>
      <c r="AT72" s="568"/>
      <c r="AU72" s="570"/>
      <c r="AV72" s="414"/>
      <c r="AW72" s="570"/>
      <c r="AX72" s="570"/>
      <c r="AY72" s="398"/>
      <c r="AZ72" s="683"/>
      <c r="BA72" s="584"/>
      <c r="BB72" s="583"/>
      <c r="BC72" s="414"/>
      <c r="BD72" s="580"/>
      <c r="BE72" s="580"/>
      <c r="BF72" s="398"/>
      <c r="BG72" s="581"/>
      <c r="BH72" s="546"/>
      <c r="BI72" s="556"/>
      <c r="BJ72" s="657"/>
      <c r="BK72" s="554"/>
      <c r="BL72" s="554"/>
      <c r="BM72" s="491"/>
      <c r="BN72" s="578"/>
      <c r="BO72" s="541"/>
      <c r="BP72" s="432"/>
      <c r="BQ72" s="414"/>
      <c r="BR72" s="427"/>
      <c r="BS72" s="427"/>
      <c r="BT72" s="398"/>
      <c r="BU72" s="532"/>
      <c r="BV72" s="430"/>
      <c r="BW72" s="432"/>
      <c r="BX72" s="414"/>
      <c r="BY72" s="427"/>
      <c r="BZ72" s="427"/>
      <c r="CA72" s="433"/>
      <c r="CB72" s="408"/>
      <c r="CC72" s="650"/>
      <c r="CD72" s="430"/>
      <c r="CE72" s="432"/>
      <c r="CF72" s="414"/>
      <c r="CG72" s="427"/>
      <c r="CH72" s="427"/>
      <c r="CI72" s="433"/>
      <c r="CJ72" s="408"/>
      <c r="CK72" s="435"/>
      <c r="CL72" s="398"/>
      <c r="CM72" s="710"/>
      <c r="CN72" s="489"/>
    </row>
    <row r="73" spans="1:93" ht="82.5" customHeight="1" x14ac:dyDescent="0.25">
      <c r="A73" s="509"/>
      <c r="B73" s="498"/>
      <c r="C73" s="520"/>
      <c r="D73" s="496"/>
      <c r="E73" s="398"/>
      <c r="F73" s="398"/>
      <c r="G73" s="398"/>
      <c r="H73" s="428"/>
      <c r="I73" s="511"/>
      <c r="J73" s="398"/>
      <c r="K73" s="464"/>
      <c r="L73" s="464"/>
      <c r="M73" s="464"/>
      <c r="N73" s="464"/>
      <c r="O73" s="464"/>
      <c r="P73" s="464"/>
      <c r="Q73" s="528"/>
      <c r="R73" s="541"/>
      <c r="S73" s="432"/>
      <c r="T73" s="414"/>
      <c r="U73" s="427"/>
      <c r="V73" s="427"/>
      <c r="W73" s="398"/>
      <c r="X73" s="532"/>
      <c r="Y73" s="541"/>
      <c r="Z73" s="432"/>
      <c r="AA73" s="414"/>
      <c r="AB73" s="427"/>
      <c r="AC73" s="427"/>
      <c r="AD73" s="398"/>
      <c r="AE73" s="532"/>
      <c r="AF73" s="177">
        <v>1</v>
      </c>
      <c r="AG73" s="85">
        <v>1</v>
      </c>
      <c r="AH73" s="414"/>
      <c r="AI73" s="69" t="s">
        <v>37</v>
      </c>
      <c r="AJ73" s="69" t="s">
        <v>37</v>
      </c>
      <c r="AK73" s="398"/>
      <c r="AL73" s="192" t="s">
        <v>768</v>
      </c>
      <c r="AM73" s="147">
        <v>1</v>
      </c>
      <c r="AN73" s="68">
        <v>1</v>
      </c>
      <c r="AO73" s="414"/>
      <c r="AP73" s="120" t="s">
        <v>700</v>
      </c>
      <c r="AQ73" s="120" t="s">
        <v>700</v>
      </c>
      <c r="AR73" s="398"/>
      <c r="AS73" s="163" t="s">
        <v>846</v>
      </c>
      <c r="AT73" s="568">
        <v>1</v>
      </c>
      <c r="AU73" s="570">
        <v>5</v>
      </c>
      <c r="AV73" s="414"/>
      <c r="AW73" s="571">
        <v>25000000</v>
      </c>
      <c r="AX73" s="571">
        <v>23933333</v>
      </c>
      <c r="AY73" s="398"/>
      <c r="AZ73" s="693" t="s">
        <v>907</v>
      </c>
      <c r="BA73" s="584"/>
      <c r="BB73" s="583"/>
      <c r="BC73" s="414"/>
      <c r="BD73" s="580"/>
      <c r="BE73" s="580"/>
      <c r="BF73" s="398"/>
      <c r="BG73" s="581"/>
      <c r="BH73" s="546"/>
      <c r="BI73" s="556"/>
      <c r="BJ73" s="657"/>
      <c r="BK73" s="554"/>
      <c r="BL73" s="554"/>
      <c r="BM73" s="491"/>
      <c r="BN73" s="578"/>
      <c r="BO73" s="541"/>
      <c r="BP73" s="432"/>
      <c r="BQ73" s="414"/>
      <c r="BR73" s="427"/>
      <c r="BS73" s="427"/>
      <c r="BT73" s="398"/>
      <c r="BU73" s="532"/>
      <c r="BV73" s="431"/>
      <c r="BW73" s="432"/>
      <c r="BX73" s="414"/>
      <c r="BY73" s="427"/>
      <c r="BZ73" s="427"/>
      <c r="CA73" s="424"/>
      <c r="CB73" s="428"/>
      <c r="CC73" s="651"/>
      <c r="CD73" s="431"/>
      <c r="CE73" s="432"/>
      <c r="CF73" s="414"/>
      <c r="CG73" s="427"/>
      <c r="CH73" s="427"/>
      <c r="CI73" s="424"/>
      <c r="CJ73" s="428"/>
      <c r="CK73" s="436"/>
      <c r="CL73" s="398"/>
      <c r="CM73" s="711"/>
      <c r="CN73" s="452"/>
    </row>
    <row r="74" spans="1:93" ht="159.75" customHeight="1" x14ac:dyDescent="0.25">
      <c r="A74" s="509"/>
      <c r="B74" s="498"/>
      <c r="C74" s="108" t="s">
        <v>210</v>
      </c>
      <c r="D74" s="111" t="s">
        <v>211</v>
      </c>
      <c r="E74" s="47" t="s">
        <v>212</v>
      </c>
      <c r="F74" s="47" t="s">
        <v>213</v>
      </c>
      <c r="G74" s="47" t="s">
        <v>209</v>
      </c>
      <c r="H74" s="85" t="s">
        <v>1026</v>
      </c>
      <c r="I74" s="32">
        <v>0</v>
      </c>
      <c r="J74" s="47">
        <v>10</v>
      </c>
      <c r="K74" s="57" t="s">
        <v>295</v>
      </c>
      <c r="L74" s="57" t="s">
        <v>359</v>
      </c>
      <c r="M74" s="47">
        <v>3902017</v>
      </c>
      <c r="N74" s="47" t="s">
        <v>360</v>
      </c>
      <c r="O74" s="47">
        <v>390201700</v>
      </c>
      <c r="P74" s="47" t="s">
        <v>360</v>
      </c>
      <c r="Q74" s="109">
        <v>10</v>
      </c>
      <c r="R74" s="95">
        <v>8</v>
      </c>
      <c r="S74" s="47">
        <v>20</v>
      </c>
      <c r="T74" s="54">
        <v>1</v>
      </c>
      <c r="U74" s="55"/>
      <c r="V74" s="55"/>
      <c r="W74" s="47" t="s">
        <v>273</v>
      </c>
      <c r="X74" s="191" t="s">
        <v>480</v>
      </c>
      <c r="Y74" s="95">
        <v>8</v>
      </c>
      <c r="Z74" s="47">
        <v>20</v>
      </c>
      <c r="AA74" s="54">
        <v>1</v>
      </c>
      <c r="AB74" s="55"/>
      <c r="AC74" s="59"/>
      <c r="AD74" s="47" t="s">
        <v>273</v>
      </c>
      <c r="AE74" s="191"/>
      <c r="AF74" s="545">
        <v>1</v>
      </c>
      <c r="AG74" s="491">
        <v>1</v>
      </c>
      <c r="AH74" s="54">
        <v>1</v>
      </c>
      <c r="AI74" s="554" t="s">
        <v>694</v>
      </c>
      <c r="AJ74" s="554" t="s">
        <v>695</v>
      </c>
      <c r="AK74" s="47" t="s">
        <v>273</v>
      </c>
      <c r="AL74" s="557" t="s">
        <v>769</v>
      </c>
      <c r="AM74" s="559">
        <v>1</v>
      </c>
      <c r="AN74" s="456">
        <v>1</v>
      </c>
      <c r="AO74" s="54">
        <v>1</v>
      </c>
      <c r="AP74" s="654">
        <v>205750000</v>
      </c>
      <c r="AQ74" s="654">
        <v>102060000</v>
      </c>
      <c r="AR74" s="47" t="s">
        <v>273</v>
      </c>
      <c r="AS74" s="557" t="s">
        <v>847</v>
      </c>
      <c r="AT74" s="568"/>
      <c r="AU74" s="570"/>
      <c r="AV74" s="54">
        <v>1</v>
      </c>
      <c r="AW74" s="571"/>
      <c r="AX74" s="571"/>
      <c r="AY74" s="47" t="s">
        <v>273</v>
      </c>
      <c r="AZ74" s="693"/>
      <c r="BA74" s="148">
        <v>10</v>
      </c>
      <c r="BB74" s="74">
        <v>20</v>
      </c>
      <c r="BC74" s="54">
        <v>1</v>
      </c>
      <c r="BD74" s="73">
        <v>519754832</v>
      </c>
      <c r="BE74" s="73">
        <v>74220990</v>
      </c>
      <c r="BF74" s="47" t="s">
        <v>273</v>
      </c>
      <c r="BG74" s="142" t="s">
        <v>968</v>
      </c>
      <c r="BH74" s="154">
        <v>7</v>
      </c>
      <c r="BI74" s="85">
        <v>0</v>
      </c>
      <c r="BJ74" s="75">
        <v>0</v>
      </c>
      <c r="BK74" s="69"/>
      <c r="BL74" s="69"/>
      <c r="BM74" s="85" t="s">
        <v>273</v>
      </c>
      <c r="BN74" s="192" t="s">
        <v>566</v>
      </c>
      <c r="BO74" s="95">
        <v>8</v>
      </c>
      <c r="BP74" s="47">
        <v>20</v>
      </c>
      <c r="BQ74" s="54">
        <v>1</v>
      </c>
      <c r="BR74" s="55"/>
      <c r="BS74" s="55"/>
      <c r="BT74" s="47" t="s">
        <v>273</v>
      </c>
      <c r="BU74" s="191" t="s">
        <v>646</v>
      </c>
      <c r="BV74" s="243">
        <v>9</v>
      </c>
      <c r="BW74" s="47">
        <v>9</v>
      </c>
      <c r="BX74" s="54">
        <v>1</v>
      </c>
      <c r="BY74" s="229">
        <v>451220071</v>
      </c>
      <c r="BZ74" s="229">
        <f>BY74/2</f>
        <v>225610035.5</v>
      </c>
      <c r="CA74" s="207">
        <f>BZ74/BY74</f>
        <v>0.5</v>
      </c>
      <c r="CB74" s="85" t="s">
        <v>1026</v>
      </c>
      <c r="CC74" s="253" t="s">
        <v>1072</v>
      </c>
      <c r="CD74" s="243">
        <v>10</v>
      </c>
      <c r="CE74" s="47">
        <v>9</v>
      </c>
      <c r="CF74" s="54">
        <v>1</v>
      </c>
      <c r="CG74" s="229">
        <f>451220071+35948539+25833670+6400000</f>
        <v>519402280</v>
      </c>
      <c r="CH74" s="270">
        <f>(CG74/2)+28564200+1546720</f>
        <v>289812060</v>
      </c>
      <c r="CI74" s="207">
        <f>CH74/CG74</f>
        <v>0.55797225225888492</v>
      </c>
      <c r="CJ74" s="85" t="s">
        <v>1026</v>
      </c>
      <c r="CK74" s="391" t="s">
        <v>1144</v>
      </c>
      <c r="CL74" s="47">
        <v>10</v>
      </c>
      <c r="CM74" s="215">
        <v>43</v>
      </c>
      <c r="CN74" s="207">
        <v>1</v>
      </c>
    </row>
    <row r="75" spans="1:93" ht="27" customHeight="1" x14ac:dyDescent="0.25">
      <c r="A75" s="509"/>
      <c r="B75" s="498"/>
      <c r="C75" s="517" t="s">
        <v>214</v>
      </c>
      <c r="D75" s="496" t="s">
        <v>215</v>
      </c>
      <c r="E75" s="398" t="s">
        <v>216</v>
      </c>
      <c r="F75" s="398" t="s">
        <v>217</v>
      </c>
      <c r="G75" s="398" t="s">
        <v>209</v>
      </c>
      <c r="H75" s="407" t="s">
        <v>1026</v>
      </c>
      <c r="I75" s="511">
        <v>0</v>
      </c>
      <c r="J75" s="398">
        <v>10</v>
      </c>
      <c r="K75" s="464" t="s">
        <v>291</v>
      </c>
      <c r="L75" s="464" t="s">
        <v>312</v>
      </c>
      <c r="M75" s="464" t="s">
        <v>293</v>
      </c>
      <c r="N75" s="464" t="s">
        <v>313</v>
      </c>
      <c r="O75" s="464" t="s">
        <v>293</v>
      </c>
      <c r="P75" s="464" t="s">
        <v>314</v>
      </c>
      <c r="Q75" s="528">
        <v>10</v>
      </c>
      <c r="R75" s="536">
        <v>8</v>
      </c>
      <c r="S75" s="398">
        <v>11</v>
      </c>
      <c r="T75" s="399">
        <f>S75/S75</f>
        <v>1</v>
      </c>
      <c r="U75" s="427">
        <v>60844000</v>
      </c>
      <c r="V75" s="427">
        <v>9900000</v>
      </c>
      <c r="W75" s="398" t="s">
        <v>274</v>
      </c>
      <c r="X75" s="532" t="s">
        <v>481</v>
      </c>
      <c r="Y75" s="536">
        <v>8</v>
      </c>
      <c r="Z75" s="398">
        <v>11</v>
      </c>
      <c r="AA75" s="399">
        <f>Z75/Z75</f>
        <v>1</v>
      </c>
      <c r="AB75" s="427"/>
      <c r="AC75" s="427"/>
      <c r="AD75" s="398" t="s">
        <v>274</v>
      </c>
      <c r="AE75" s="532"/>
      <c r="AF75" s="545"/>
      <c r="AG75" s="491"/>
      <c r="AH75" s="399" t="e">
        <f>AG75/AG75</f>
        <v>#DIV/0!</v>
      </c>
      <c r="AI75" s="554"/>
      <c r="AJ75" s="554"/>
      <c r="AK75" s="398" t="s">
        <v>274</v>
      </c>
      <c r="AL75" s="557"/>
      <c r="AM75" s="559"/>
      <c r="AN75" s="456"/>
      <c r="AO75" s="399" t="e">
        <f>AN75/AN75</f>
        <v>#DIV/0!</v>
      </c>
      <c r="AP75" s="655"/>
      <c r="AQ75" s="655"/>
      <c r="AR75" s="398" t="s">
        <v>274</v>
      </c>
      <c r="AS75" s="557"/>
      <c r="AT75" s="568">
        <v>3</v>
      </c>
      <c r="AU75" s="570">
        <v>1</v>
      </c>
      <c r="AV75" s="399">
        <f>AU75/AU75</f>
        <v>1</v>
      </c>
      <c r="AW75" s="571" t="s">
        <v>856</v>
      </c>
      <c r="AX75" s="673" t="s">
        <v>856</v>
      </c>
      <c r="AY75" s="398" t="s">
        <v>274</v>
      </c>
      <c r="AZ75" s="682" t="s">
        <v>1037</v>
      </c>
      <c r="BA75" s="582">
        <v>6</v>
      </c>
      <c r="BB75" s="583" t="s">
        <v>920</v>
      </c>
      <c r="BC75" s="399" t="e">
        <f>BB75/BB75</f>
        <v>#VALUE!</v>
      </c>
      <c r="BD75" s="580">
        <v>1563620850</v>
      </c>
      <c r="BE75" s="580">
        <v>1172715638</v>
      </c>
      <c r="BF75" s="398" t="s">
        <v>274</v>
      </c>
      <c r="BG75" s="581" t="s">
        <v>969</v>
      </c>
      <c r="BH75" s="691">
        <v>7</v>
      </c>
      <c r="BI75" s="491">
        <v>2</v>
      </c>
      <c r="BJ75" s="692">
        <f>(BI75/BH75)*1</f>
        <v>0.2857142857142857</v>
      </c>
      <c r="BK75" s="554"/>
      <c r="BL75" s="554"/>
      <c r="BM75" s="491" t="s">
        <v>274</v>
      </c>
      <c r="BN75" s="603" t="s">
        <v>567</v>
      </c>
      <c r="BO75" s="536">
        <v>8</v>
      </c>
      <c r="BP75" s="398">
        <v>5</v>
      </c>
      <c r="BQ75" s="399">
        <f>BP75/BP75</f>
        <v>1</v>
      </c>
      <c r="BR75" s="427">
        <v>60844000</v>
      </c>
      <c r="BS75" s="427">
        <v>9900000</v>
      </c>
      <c r="BT75" s="398" t="s">
        <v>274</v>
      </c>
      <c r="BU75" s="610" t="s">
        <v>647</v>
      </c>
      <c r="BV75" s="395">
        <v>9</v>
      </c>
      <c r="BW75" s="398">
        <v>11</v>
      </c>
      <c r="BX75" s="399">
        <f>BW75/BW75</f>
        <v>1</v>
      </c>
      <c r="BY75" s="400">
        <v>2673832466</v>
      </c>
      <c r="BZ75" s="400">
        <f>BY75*6</f>
        <v>16042994796</v>
      </c>
      <c r="CA75" s="393">
        <v>1</v>
      </c>
      <c r="CB75" s="407" t="s">
        <v>1026</v>
      </c>
      <c r="CC75" s="649" t="s">
        <v>1073</v>
      </c>
      <c r="CD75" s="395">
        <v>10</v>
      </c>
      <c r="CE75" s="398">
        <v>11</v>
      </c>
      <c r="CF75" s="399">
        <f>CE75/CE75</f>
        <v>1</v>
      </c>
      <c r="CG75" s="400">
        <f>2759841966*6+23454000+9775000</f>
        <v>16592280796</v>
      </c>
      <c r="CH75" s="403">
        <f>2673832466+44965000+41044500</f>
        <v>2759841966</v>
      </c>
      <c r="CI75" s="393">
        <f>CH75/CG75</f>
        <v>0.16633288695700785</v>
      </c>
      <c r="CJ75" s="407" t="s">
        <v>1026</v>
      </c>
      <c r="CK75" s="410" t="s">
        <v>1145</v>
      </c>
      <c r="CL75" s="398">
        <v>10</v>
      </c>
      <c r="CM75" s="707">
        <v>11</v>
      </c>
      <c r="CN75" s="399">
        <v>1</v>
      </c>
    </row>
    <row r="76" spans="1:93" ht="107.25" customHeight="1" x14ac:dyDescent="0.25">
      <c r="A76" s="509"/>
      <c r="B76" s="498"/>
      <c r="C76" s="518"/>
      <c r="D76" s="496"/>
      <c r="E76" s="398"/>
      <c r="F76" s="398"/>
      <c r="G76" s="398"/>
      <c r="H76" s="408"/>
      <c r="I76" s="511"/>
      <c r="J76" s="398"/>
      <c r="K76" s="464"/>
      <c r="L76" s="464"/>
      <c r="M76" s="464"/>
      <c r="N76" s="464"/>
      <c r="O76" s="464"/>
      <c r="P76" s="464"/>
      <c r="Q76" s="528"/>
      <c r="R76" s="536"/>
      <c r="S76" s="398"/>
      <c r="T76" s="399"/>
      <c r="U76" s="427"/>
      <c r="V76" s="427"/>
      <c r="W76" s="398"/>
      <c r="X76" s="532"/>
      <c r="Y76" s="536"/>
      <c r="Z76" s="398"/>
      <c r="AA76" s="399"/>
      <c r="AB76" s="427"/>
      <c r="AC76" s="427"/>
      <c r="AD76" s="398"/>
      <c r="AE76" s="532"/>
      <c r="AF76" s="545"/>
      <c r="AG76" s="491"/>
      <c r="AH76" s="399"/>
      <c r="AI76" s="554"/>
      <c r="AJ76" s="554"/>
      <c r="AK76" s="398"/>
      <c r="AL76" s="557"/>
      <c r="AM76" s="559"/>
      <c r="AN76" s="456"/>
      <c r="AO76" s="399"/>
      <c r="AP76" s="655"/>
      <c r="AQ76" s="655"/>
      <c r="AR76" s="398"/>
      <c r="AS76" s="557"/>
      <c r="AT76" s="568"/>
      <c r="AU76" s="570"/>
      <c r="AV76" s="399"/>
      <c r="AW76" s="570"/>
      <c r="AX76" s="673"/>
      <c r="AY76" s="398"/>
      <c r="AZ76" s="682"/>
      <c r="BA76" s="582"/>
      <c r="BB76" s="583"/>
      <c r="BC76" s="399"/>
      <c r="BD76" s="580"/>
      <c r="BE76" s="580"/>
      <c r="BF76" s="398"/>
      <c r="BG76" s="581"/>
      <c r="BH76" s="691"/>
      <c r="BI76" s="491"/>
      <c r="BJ76" s="692"/>
      <c r="BK76" s="554"/>
      <c r="BL76" s="554"/>
      <c r="BM76" s="491"/>
      <c r="BN76" s="603"/>
      <c r="BO76" s="536"/>
      <c r="BP76" s="398"/>
      <c r="BQ76" s="399"/>
      <c r="BR76" s="427"/>
      <c r="BS76" s="427"/>
      <c r="BT76" s="398"/>
      <c r="BU76" s="610"/>
      <c r="BV76" s="396"/>
      <c r="BW76" s="398"/>
      <c r="BX76" s="399"/>
      <c r="BY76" s="401"/>
      <c r="BZ76" s="401"/>
      <c r="CA76" s="394"/>
      <c r="CB76" s="408"/>
      <c r="CC76" s="650"/>
      <c r="CD76" s="396"/>
      <c r="CE76" s="398"/>
      <c r="CF76" s="399"/>
      <c r="CG76" s="401"/>
      <c r="CH76" s="404"/>
      <c r="CI76" s="394"/>
      <c r="CJ76" s="408"/>
      <c r="CK76" s="411"/>
      <c r="CL76" s="398"/>
      <c r="CM76" s="498"/>
      <c r="CN76" s="399"/>
      <c r="CO76" s="400"/>
    </row>
    <row r="77" spans="1:93" ht="218.25" customHeight="1" thickBot="1" x14ac:dyDescent="0.3">
      <c r="A77" s="512"/>
      <c r="B77" s="513"/>
      <c r="C77" s="519"/>
      <c r="D77" s="111" t="s">
        <v>218</v>
      </c>
      <c r="E77" s="47" t="s">
        <v>219</v>
      </c>
      <c r="F77" s="398"/>
      <c r="G77" s="398"/>
      <c r="H77" s="409"/>
      <c r="I77" s="511"/>
      <c r="J77" s="398"/>
      <c r="K77" s="464"/>
      <c r="L77" s="464"/>
      <c r="M77" s="464"/>
      <c r="N77" s="464"/>
      <c r="O77" s="464"/>
      <c r="P77" s="464"/>
      <c r="Q77" s="528"/>
      <c r="R77" s="536"/>
      <c r="S77" s="398"/>
      <c r="T77" s="399"/>
      <c r="U77" s="427"/>
      <c r="V77" s="427"/>
      <c r="W77" s="398"/>
      <c r="X77" s="532"/>
      <c r="Y77" s="536"/>
      <c r="Z77" s="398"/>
      <c r="AA77" s="399"/>
      <c r="AB77" s="427"/>
      <c r="AC77" s="427"/>
      <c r="AD77" s="398"/>
      <c r="AE77" s="532"/>
      <c r="AF77" s="195">
        <v>1</v>
      </c>
      <c r="AG77" s="117">
        <v>1</v>
      </c>
      <c r="AH77" s="399"/>
      <c r="AI77" s="554" t="s">
        <v>694</v>
      </c>
      <c r="AJ77" s="554" t="s">
        <v>695</v>
      </c>
      <c r="AK77" s="398"/>
      <c r="AL77" s="192" t="s">
        <v>770</v>
      </c>
      <c r="AM77" s="147" t="s">
        <v>779</v>
      </c>
      <c r="AN77" s="68" t="s">
        <v>779</v>
      </c>
      <c r="AO77" s="399"/>
      <c r="AP77" s="121">
        <v>24350000</v>
      </c>
      <c r="AQ77" s="121">
        <v>12000000</v>
      </c>
      <c r="AR77" s="398"/>
      <c r="AS77" s="163" t="s">
        <v>848</v>
      </c>
      <c r="AT77" s="177">
        <v>12</v>
      </c>
      <c r="AU77" s="85">
        <v>12</v>
      </c>
      <c r="AV77" s="399"/>
      <c r="AW77" s="127">
        <v>25000000</v>
      </c>
      <c r="AX77" s="128">
        <v>23933333</v>
      </c>
      <c r="AY77" s="398"/>
      <c r="AZ77" s="163" t="s">
        <v>908</v>
      </c>
      <c r="BA77" s="582"/>
      <c r="BB77" s="583"/>
      <c r="BC77" s="399"/>
      <c r="BD77" s="580"/>
      <c r="BE77" s="580"/>
      <c r="BF77" s="398"/>
      <c r="BG77" s="581"/>
      <c r="BH77" s="691"/>
      <c r="BI77" s="491"/>
      <c r="BJ77" s="692"/>
      <c r="BK77" s="554"/>
      <c r="BL77" s="554"/>
      <c r="BM77" s="491"/>
      <c r="BN77" s="603"/>
      <c r="BO77" s="536"/>
      <c r="BP77" s="398"/>
      <c r="BQ77" s="399"/>
      <c r="BR77" s="427"/>
      <c r="BS77" s="427"/>
      <c r="BT77" s="398"/>
      <c r="BU77" s="610"/>
      <c r="BV77" s="397"/>
      <c r="BW77" s="398"/>
      <c r="BX77" s="399"/>
      <c r="BY77" s="402"/>
      <c r="BZ77" s="402"/>
      <c r="CA77" s="406"/>
      <c r="CB77" s="409"/>
      <c r="CC77" s="650"/>
      <c r="CD77" s="397"/>
      <c r="CE77" s="398"/>
      <c r="CF77" s="399"/>
      <c r="CG77" s="402"/>
      <c r="CH77" s="405"/>
      <c r="CI77" s="406"/>
      <c r="CJ77" s="409"/>
      <c r="CK77" s="411"/>
      <c r="CL77" s="398"/>
      <c r="CM77" s="708"/>
      <c r="CN77" s="399"/>
      <c r="CO77" s="401"/>
    </row>
    <row r="78" spans="1:93" ht="98.25" customHeight="1" x14ac:dyDescent="0.25">
      <c r="A78" s="508" t="s">
        <v>220</v>
      </c>
      <c r="B78" s="497" t="s">
        <v>221</v>
      </c>
      <c r="C78" s="499" t="s">
        <v>222</v>
      </c>
      <c r="D78" s="111" t="s">
        <v>223</v>
      </c>
      <c r="E78" s="47" t="s">
        <v>224</v>
      </c>
      <c r="F78" s="47" t="s">
        <v>225</v>
      </c>
      <c r="G78" s="47" t="s">
        <v>226</v>
      </c>
      <c r="H78" s="224" t="s">
        <v>227</v>
      </c>
      <c r="I78" s="32">
        <v>0</v>
      </c>
      <c r="J78" s="47">
        <v>1</v>
      </c>
      <c r="K78" s="57" t="s">
        <v>361</v>
      </c>
      <c r="L78" s="57" t="s">
        <v>362</v>
      </c>
      <c r="M78" s="47" t="s">
        <v>37</v>
      </c>
      <c r="N78" s="47" t="s">
        <v>363</v>
      </c>
      <c r="O78" s="47" t="s">
        <v>37</v>
      </c>
      <c r="P78" s="47" t="s">
        <v>364</v>
      </c>
      <c r="Q78" s="109">
        <v>1</v>
      </c>
      <c r="R78" s="96" t="s">
        <v>402</v>
      </c>
      <c r="S78" s="44" t="s">
        <v>422</v>
      </c>
      <c r="T78" s="54">
        <v>1</v>
      </c>
      <c r="U78" s="55"/>
      <c r="V78" s="55">
        <v>8655000</v>
      </c>
      <c r="W78" s="464" t="s">
        <v>255</v>
      </c>
      <c r="X78" s="97" t="s">
        <v>482</v>
      </c>
      <c r="Y78" s="96" t="s">
        <v>402</v>
      </c>
      <c r="Z78" s="44" t="s">
        <v>422</v>
      </c>
      <c r="AA78" s="54">
        <v>1</v>
      </c>
      <c r="AB78" s="55"/>
      <c r="AC78" s="55"/>
      <c r="AD78" s="464" t="s">
        <v>255</v>
      </c>
      <c r="AE78" s="97"/>
      <c r="AF78" s="195">
        <v>1</v>
      </c>
      <c r="AG78" s="117">
        <v>1</v>
      </c>
      <c r="AH78" s="54">
        <v>1</v>
      </c>
      <c r="AI78" s="554"/>
      <c r="AJ78" s="554"/>
      <c r="AK78" s="464" t="s">
        <v>255</v>
      </c>
      <c r="AL78" s="192" t="s">
        <v>771</v>
      </c>
      <c r="AM78" s="164">
        <v>1</v>
      </c>
      <c r="AN78" s="118">
        <v>0</v>
      </c>
      <c r="AO78" s="54">
        <v>1</v>
      </c>
      <c r="AP78" s="121">
        <v>25000000</v>
      </c>
      <c r="AQ78" s="68">
        <v>0</v>
      </c>
      <c r="AR78" s="464" t="s">
        <v>255</v>
      </c>
      <c r="AS78" s="172" t="s">
        <v>849</v>
      </c>
      <c r="AT78" s="178">
        <v>1</v>
      </c>
      <c r="AU78" s="126">
        <v>1</v>
      </c>
      <c r="AV78" s="54">
        <v>1</v>
      </c>
      <c r="AW78" s="181" t="s">
        <v>856</v>
      </c>
      <c r="AX78" s="181" t="s">
        <v>856</v>
      </c>
      <c r="AY78" s="464" t="s">
        <v>255</v>
      </c>
      <c r="AZ78" s="172" t="s">
        <v>909</v>
      </c>
      <c r="BA78" s="198">
        <v>12</v>
      </c>
      <c r="BB78" s="189">
        <v>12</v>
      </c>
      <c r="BC78" s="54">
        <v>1</v>
      </c>
      <c r="BD78" s="82">
        <v>32000000</v>
      </c>
      <c r="BE78" s="82">
        <v>31440300</v>
      </c>
      <c r="BF78" s="464" t="s">
        <v>255</v>
      </c>
      <c r="BG78" s="146" t="s">
        <v>970</v>
      </c>
      <c r="BH78" s="155" t="s">
        <v>402</v>
      </c>
      <c r="BI78" s="86" t="s">
        <v>568</v>
      </c>
      <c r="BJ78" s="75">
        <v>0</v>
      </c>
      <c r="BK78" s="73"/>
      <c r="BL78" s="73"/>
      <c r="BM78" s="583" t="s">
        <v>255</v>
      </c>
      <c r="BN78" s="146" t="s">
        <v>569</v>
      </c>
      <c r="BO78" s="96" t="s">
        <v>402</v>
      </c>
      <c r="BP78" s="44" t="s">
        <v>422</v>
      </c>
      <c r="BQ78" s="54">
        <v>1</v>
      </c>
      <c r="BR78" s="55"/>
      <c r="BS78" s="55">
        <v>8655000</v>
      </c>
      <c r="BT78" s="464" t="s">
        <v>255</v>
      </c>
      <c r="BU78" s="97" t="s">
        <v>648</v>
      </c>
      <c r="BV78" s="68">
        <v>1</v>
      </c>
      <c r="BW78" s="44" t="s">
        <v>422</v>
      </c>
      <c r="BX78" s="54">
        <v>1</v>
      </c>
      <c r="BY78" s="55">
        <v>0</v>
      </c>
      <c r="BZ78" s="55">
        <v>0</v>
      </c>
      <c r="CA78" s="208">
        <v>0</v>
      </c>
      <c r="CB78" s="224" t="s">
        <v>227</v>
      </c>
      <c r="CC78" s="252" t="s">
        <v>1074</v>
      </c>
      <c r="CD78" s="68">
        <v>1</v>
      </c>
      <c r="CE78" s="44" t="s">
        <v>422</v>
      </c>
      <c r="CF78" s="54">
        <v>1</v>
      </c>
      <c r="CG78" s="55">
        <v>0</v>
      </c>
      <c r="CH78" s="55">
        <v>0</v>
      </c>
      <c r="CI78" s="208">
        <v>0</v>
      </c>
      <c r="CJ78" s="224" t="s">
        <v>227</v>
      </c>
      <c r="CK78" s="385" t="s">
        <v>1146</v>
      </c>
      <c r="CL78" s="47">
        <v>1</v>
      </c>
      <c r="CM78" s="218" t="s">
        <v>422</v>
      </c>
      <c r="CN78" s="226">
        <v>1</v>
      </c>
      <c r="CO78" s="402"/>
    </row>
    <row r="79" spans="1:93" ht="65.25" customHeight="1" x14ac:dyDescent="0.25">
      <c r="A79" s="515"/>
      <c r="B79" s="498"/>
      <c r="C79" s="500"/>
      <c r="D79" s="111" t="s">
        <v>228</v>
      </c>
      <c r="E79" s="47" t="s">
        <v>229</v>
      </c>
      <c r="F79" s="47" t="s">
        <v>230</v>
      </c>
      <c r="G79" s="47" t="s">
        <v>226</v>
      </c>
      <c r="H79" s="85" t="s">
        <v>1027</v>
      </c>
      <c r="I79" s="32">
        <v>0</v>
      </c>
      <c r="J79" s="61">
        <v>1</v>
      </c>
      <c r="K79" s="464" t="s">
        <v>291</v>
      </c>
      <c r="L79" s="464" t="s">
        <v>292</v>
      </c>
      <c r="M79" s="464" t="s">
        <v>293</v>
      </c>
      <c r="N79" s="464" t="s">
        <v>423</v>
      </c>
      <c r="O79" s="464" t="s">
        <v>293</v>
      </c>
      <c r="P79" s="464" t="s">
        <v>392</v>
      </c>
      <c r="Q79" s="110">
        <v>1</v>
      </c>
      <c r="R79" s="98">
        <v>0.5</v>
      </c>
      <c r="S79" s="45">
        <v>0.5</v>
      </c>
      <c r="T79" s="34">
        <f>(S79/R79)*1</f>
        <v>1</v>
      </c>
      <c r="U79" s="55">
        <v>0</v>
      </c>
      <c r="V79" s="55">
        <v>8655000</v>
      </c>
      <c r="W79" s="464"/>
      <c r="X79" s="99" t="s">
        <v>483</v>
      </c>
      <c r="Y79" s="98">
        <v>0.5</v>
      </c>
      <c r="Z79" s="45">
        <v>0.5</v>
      </c>
      <c r="AA79" s="34">
        <f>(Z79/Y79)*1</f>
        <v>1</v>
      </c>
      <c r="AB79" s="55"/>
      <c r="AC79" s="55"/>
      <c r="AD79" s="464"/>
      <c r="AE79" s="99"/>
      <c r="AF79" s="545">
        <v>4</v>
      </c>
      <c r="AG79" s="491">
        <v>2</v>
      </c>
      <c r="AH79" s="34">
        <f>(AG79/AF79)*1</f>
        <v>0.5</v>
      </c>
      <c r="AI79" s="554"/>
      <c r="AJ79" s="554"/>
      <c r="AK79" s="464"/>
      <c r="AL79" s="557" t="s">
        <v>772</v>
      </c>
      <c r="AM79" s="559">
        <v>4</v>
      </c>
      <c r="AN79" s="456">
        <v>2</v>
      </c>
      <c r="AO79" s="34">
        <f>(AN79/AM79)*1</f>
        <v>0.5</v>
      </c>
      <c r="AP79" s="664">
        <v>24350000</v>
      </c>
      <c r="AQ79" s="664">
        <v>12000000</v>
      </c>
      <c r="AR79" s="464"/>
      <c r="AS79" s="557" t="s">
        <v>850</v>
      </c>
      <c r="AT79" s="568">
        <v>4</v>
      </c>
      <c r="AU79" s="570">
        <v>11</v>
      </c>
      <c r="AV79" s="34">
        <f>(AU79/AT79)*1</f>
        <v>2.75</v>
      </c>
      <c r="AW79" s="685">
        <v>25000000</v>
      </c>
      <c r="AX79" s="676">
        <v>23933333</v>
      </c>
      <c r="AY79" s="464"/>
      <c r="AZ79" s="557" t="s">
        <v>910</v>
      </c>
      <c r="BA79" s="156">
        <v>1</v>
      </c>
      <c r="BB79" s="130">
        <v>0.9</v>
      </c>
      <c r="BC79" s="34">
        <f>(BB79/BA79)*1</f>
        <v>0.9</v>
      </c>
      <c r="BD79" s="82"/>
      <c r="BE79" s="82"/>
      <c r="BF79" s="464"/>
      <c r="BG79" s="135" t="s">
        <v>971</v>
      </c>
      <c r="BH79" s="156">
        <v>0.9</v>
      </c>
      <c r="BI79" s="87">
        <v>0.9</v>
      </c>
      <c r="BJ79" s="70">
        <f>(BI79/BH79)*1</f>
        <v>1</v>
      </c>
      <c r="BK79" s="73"/>
      <c r="BL79" s="73"/>
      <c r="BM79" s="583"/>
      <c r="BN79" s="135" t="s">
        <v>570</v>
      </c>
      <c r="BO79" s="98">
        <v>0.5</v>
      </c>
      <c r="BP79" s="45">
        <v>0.5</v>
      </c>
      <c r="BQ79" s="34">
        <f>(BP79/BO79)*1</f>
        <v>1</v>
      </c>
      <c r="BR79" s="55">
        <v>0</v>
      </c>
      <c r="BS79" s="55">
        <v>8655000</v>
      </c>
      <c r="BT79" s="464"/>
      <c r="BU79" s="99" t="s">
        <v>649</v>
      </c>
      <c r="BV79" s="118">
        <v>0.5</v>
      </c>
      <c r="BW79" s="45">
        <v>0.5</v>
      </c>
      <c r="BX79" s="34">
        <f>(BW79/BV79)*1</f>
        <v>1</v>
      </c>
      <c r="BY79" s="55">
        <v>0</v>
      </c>
      <c r="BZ79" s="55">
        <v>0</v>
      </c>
      <c r="CA79" s="34">
        <v>0</v>
      </c>
      <c r="CB79" s="85" t="s">
        <v>1027</v>
      </c>
      <c r="CC79" s="248" t="s">
        <v>1085</v>
      </c>
      <c r="CD79" s="118">
        <v>0.5</v>
      </c>
      <c r="CE79" s="45">
        <v>0.5</v>
      </c>
      <c r="CF79" s="34">
        <f>(CE79/CD79)*1</f>
        <v>1</v>
      </c>
      <c r="CG79" s="55">
        <v>0</v>
      </c>
      <c r="CH79" s="55">
        <v>0</v>
      </c>
      <c r="CI79" s="34">
        <v>0</v>
      </c>
      <c r="CJ79" s="85" t="s">
        <v>1027</v>
      </c>
      <c r="CK79" s="384" t="s">
        <v>1147</v>
      </c>
      <c r="CL79" s="61">
        <v>1</v>
      </c>
      <c r="CM79" s="45">
        <v>0.5</v>
      </c>
      <c r="CN79" s="46">
        <f>CM79/CL79</f>
        <v>0.5</v>
      </c>
    </row>
    <row r="80" spans="1:93" ht="33.75" customHeight="1" x14ac:dyDescent="0.25">
      <c r="A80" s="515"/>
      <c r="B80" s="498"/>
      <c r="C80" s="500"/>
      <c r="D80" s="496" t="s">
        <v>231</v>
      </c>
      <c r="E80" s="398" t="s">
        <v>232</v>
      </c>
      <c r="F80" s="398" t="s">
        <v>233</v>
      </c>
      <c r="G80" s="398" t="s">
        <v>21</v>
      </c>
      <c r="H80" s="407" t="s">
        <v>1028</v>
      </c>
      <c r="I80" s="511">
        <v>3</v>
      </c>
      <c r="J80" s="398">
        <v>10</v>
      </c>
      <c r="K80" s="464"/>
      <c r="L80" s="464"/>
      <c r="M80" s="464"/>
      <c r="N80" s="464"/>
      <c r="O80" s="464"/>
      <c r="P80" s="464"/>
      <c r="Q80" s="528">
        <v>10</v>
      </c>
      <c r="R80" s="536">
        <v>8</v>
      </c>
      <c r="S80" s="398">
        <v>7</v>
      </c>
      <c r="T80" s="414">
        <f>(S80/R80)*1</f>
        <v>0.875</v>
      </c>
      <c r="U80" s="537">
        <v>8655000</v>
      </c>
      <c r="V80" s="427">
        <v>8655000</v>
      </c>
      <c r="W80" s="464"/>
      <c r="X80" s="533" t="s">
        <v>484</v>
      </c>
      <c r="Y80" s="536">
        <v>8</v>
      </c>
      <c r="Z80" s="398">
        <v>7</v>
      </c>
      <c r="AA80" s="414">
        <f>(Z80/Y80)*1</f>
        <v>0.875</v>
      </c>
      <c r="AB80" s="537"/>
      <c r="AC80" s="427"/>
      <c r="AD80" s="464"/>
      <c r="AE80" s="533"/>
      <c r="AF80" s="545"/>
      <c r="AG80" s="491"/>
      <c r="AH80" s="414" t="e">
        <f>(AG80/AF80)*1</f>
        <v>#DIV/0!</v>
      </c>
      <c r="AI80" s="554"/>
      <c r="AJ80" s="554"/>
      <c r="AK80" s="464"/>
      <c r="AL80" s="557"/>
      <c r="AM80" s="559"/>
      <c r="AN80" s="456"/>
      <c r="AO80" s="414" t="e">
        <f>(AN80/AM80)*1</f>
        <v>#DIV/0!</v>
      </c>
      <c r="AP80" s="664"/>
      <c r="AQ80" s="664"/>
      <c r="AR80" s="464"/>
      <c r="AS80" s="557"/>
      <c r="AT80" s="568"/>
      <c r="AU80" s="570"/>
      <c r="AV80" s="414" t="e">
        <f>(AU80/AT80)*1</f>
        <v>#DIV/0!</v>
      </c>
      <c r="AW80" s="685"/>
      <c r="AX80" s="676"/>
      <c r="AY80" s="464"/>
      <c r="AZ80" s="557"/>
      <c r="BA80" s="582">
        <v>4</v>
      </c>
      <c r="BB80" s="583">
        <v>3</v>
      </c>
      <c r="BC80" s="414">
        <f>(BB80/BA80)*1</f>
        <v>0.75</v>
      </c>
      <c r="BD80" s="580">
        <v>32000000</v>
      </c>
      <c r="BE80" s="580">
        <v>31440300</v>
      </c>
      <c r="BF80" s="464"/>
      <c r="BG80" s="581" t="s">
        <v>972</v>
      </c>
      <c r="BH80" s="689">
        <v>7</v>
      </c>
      <c r="BI80" s="583">
        <v>0</v>
      </c>
      <c r="BJ80" s="657">
        <f>(BI80/BH80)*1</f>
        <v>0</v>
      </c>
      <c r="BK80" s="615"/>
      <c r="BL80" s="580"/>
      <c r="BM80" s="583"/>
      <c r="BN80" s="690" t="s">
        <v>571</v>
      </c>
      <c r="BO80" s="536">
        <v>8</v>
      </c>
      <c r="BP80" s="398">
        <v>7</v>
      </c>
      <c r="BQ80" s="414">
        <f>(BP80/BO80)*1</f>
        <v>0.875</v>
      </c>
      <c r="BR80" s="537">
        <v>8655000</v>
      </c>
      <c r="BS80" s="427">
        <v>8655000</v>
      </c>
      <c r="BT80" s="464"/>
      <c r="BU80" s="690" t="s">
        <v>650</v>
      </c>
      <c r="BV80" s="658">
        <v>1</v>
      </c>
      <c r="BW80" s="398">
        <v>1</v>
      </c>
      <c r="BX80" s="414">
        <f>(BW80/BV80)*1</f>
        <v>1</v>
      </c>
      <c r="BY80" s="647">
        <v>28313000</v>
      </c>
      <c r="BZ80" s="421">
        <v>35000000</v>
      </c>
      <c r="CA80" s="417">
        <f>BY80/BZ80</f>
        <v>0.80894285714285719</v>
      </c>
      <c r="CB80" s="407" t="s">
        <v>1028</v>
      </c>
      <c r="CC80" s="648" t="s">
        <v>1075</v>
      </c>
      <c r="CD80" s="412">
        <v>1</v>
      </c>
      <c r="CE80" s="398">
        <v>1</v>
      </c>
      <c r="CF80" s="414">
        <f>(CE80/CD80)*1</f>
        <v>1</v>
      </c>
      <c r="CG80" s="415">
        <v>55000000</v>
      </c>
      <c r="CH80" s="403">
        <f>13973333+27400333</f>
        <v>41373666</v>
      </c>
      <c r="CI80" s="417">
        <f>CH80/CG80</f>
        <v>0.75224847272727269</v>
      </c>
      <c r="CJ80" s="407" t="s">
        <v>1028</v>
      </c>
      <c r="CK80" s="419" t="s">
        <v>1148</v>
      </c>
      <c r="CL80" s="398">
        <v>10</v>
      </c>
      <c r="CM80" s="707">
        <v>8</v>
      </c>
      <c r="CN80" s="451">
        <f>CM80/CL80</f>
        <v>0.8</v>
      </c>
    </row>
    <row r="81" spans="1:92" ht="126.75" customHeight="1" thickBot="1" x14ac:dyDescent="0.3">
      <c r="A81" s="516"/>
      <c r="B81" s="513"/>
      <c r="C81" s="514"/>
      <c r="D81" s="496"/>
      <c r="E81" s="398"/>
      <c r="F81" s="398"/>
      <c r="G81" s="398"/>
      <c r="H81" s="409"/>
      <c r="I81" s="511"/>
      <c r="J81" s="398"/>
      <c r="K81" s="464"/>
      <c r="L81" s="464"/>
      <c r="M81" s="57"/>
      <c r="N81" s="464"/>
      <c r="O81" s="464"/>
      <c r="P81" s="464"/>
      <c r="Q81" s="528"/>
      <c r="R81" s="536"/>
      <c r="S81" s="398"/>
      <c r="T81" s="414"/>
      <c r="U81" s="537"/>
      <c r="V81" s="427"/>
      <c r="W81" s="464"/>
      <c r="X81" s="533"/>
      <c r="Y81" s="536"/>
      <c r="Z81" s="398"/>
      <c r="AA81" s="414"/>
      <c r="AB81" s="537"/>
      <c r="AC81" s="427"/>
      <c r="AD81" s="464"/>
      <c r="AE81" s="533"/>
      <c r="AF81" s="196">
        <v>7</v>
      </c>
      <c r="AG81" s="116">
        <v>7</v>
      </c>
      <c r="AH81" s="414"/>
      <c r="AI81" s="554"/>
      <c r="AJ81" s="554"/>
      <c r="AK81" s="464"/>
      <c r="AL81" s="192" t="s">
        <v>773</v>
      </c>
      <c r="AM81" s="147">
        <v>12</v>
      </c>
      <c r="AN81" s="68">
        <v>12</v>
      </c>
      <c r="AO81" s="414"/>
      <c r="AP81" s="664">
        <v>24350000</v>
      </c>
      <c r="AQ81" s="664">
        <v>12000000</v>
      </c>
      <c r="AR81" s="464"/>
      <c r="AS81" s="163" t="s">
        <v>851</v>
      </c>
      <c r="AT81" s="171">
        <v>12</v>
      </c>
      <c r="AU81" s="125">
        <v>12</v>
      </c>
      <c r="AV81" s="414"/>
      <c r="AW81" s="685">
        <v>25000000</v>
      </c>
      <c r="AX81" s="673">
        <v>23933333</v>
      </c>
      <c r="AY81" s="464"/>
      <c r="AZ81" s="174" t="s">
        <v>911</v>
      </c>
      <c r="BA81" s="582"/>
      <c r="BB81" s="583"/>
      <c r="BC81" s="414"/>
      <c r="BD81" s="580"/>
      <c r="BE81" s="580"/>
      <c r="BF81" s="464"/>
      <c r="BG81" s="581"/>
      <c r="BH81" s="689"/>
      <c r="BI81" s="583"/>
      <c r="BJ81" s="657"/>
      <c r="BK81" s="615"/>
      <c r="BL81" s="580"/>
      <c r="BM81" s="583"/>
      <c r="BN81" s="690"/>
      <c r="BO81" s="536"/>
      <c r="BP81" s="398"/>
      <c r="BQ81" s="414"/>
      <c r="BR81" s="537"/>
      <c r="BS81" s="427"/>
      <c r="BT81" s="464"/>
      <c r="BU81" s="533"/>
      <c r="BV81" s="431"/>
      <c r="BW81" s="398"/>
      <c r="BX81" s="414"/>
      <c r="BY81" s="416"/>
      <c r="BZ81" s="422"/>
      <c r="CA81" s="418"/>
      <c r="CB81" s="409"/>
      <c r="CC81" s="648"/>
      <c r="CD81" s="413"/>
      <c r="CE81" s="398"/>
      <c r="CF81" s="414"/>
      <c r="CG81" s="416"/>
      <c r="CH81" s="405"/>
      <c r="CI81" s="418"/>
      <c r="CJ81" s="409"/>
      <c r="CK81" s="420"/>
      <c r="CL81" s="398"/>
      <c r="CM81" s="513"/>
      <c r="CN81" s="490"/>
    </row>
    <row r="82" spans="1:92" ht="121.5" customHeight="1" x14ac:dyDescent="0.25">
      <c r="A82" s="508" t="s">
        <v>234</v>
      </c>
      <c r="B82" s="497" t="s">
        <v>235</v>
      </c>
      <c r="C82" s="499" t="s">
        <v>236</v>
      </c>
      <c r="D82" s="111" t="s">
        <v>237</v>
      </c>
      <c r="E82" s="47" t="s">
        <v>238</v>
      </c>
      <c r="F82" s="47" t="s">
        <v>239</v>
      </c>
      <c r="G82" s="47" t="s">
        <v>209</v>
      </c>
      <c r="H82" s="224" t="s">
        <v>1029</v>
      </c>
      <c r="I82" s="47">
        <v>5</v>
      </c>
      <c r="J82" s="47">
        <v>12</v>
      </c>
      <c r="K82" s="464" t="s">
        <v>291</v>
      </c>
      <c r="L82" s="464" t="s">
        <v>292</v>
      </c>
      <c r="M82" s="464" t="s">
        <v>293</v>
      </c>
      <c r="N82" s="464" t="s">
        <v>423</v>
      </c>
      <c r="O82" s="464" t="s">
        <v>365</v>
      </c>
      <c r="P82" s="464" t="s">
        <v>392</v>
      </c>
      <c r="Q82" s="109">
        <v>12</v>
      </c>
      <c r="R82" s="100">
        <v>5</v>
      </c>
      <c r="S82" s="63">
        <v>7</v>
      </c>
      <c r="T82" s="46">
        <v>1</v>
      </c>
      <c r="U82" s="55">
        <v>8655000</v>
      </c>
      <c r="V82" s="55">
        <v>8655000</v>
      </c>
      <c r="W82" s="464" t="s">
        <v>255</v>
      </c>
      <c r="X82" s="142" t="s">
        <v>485</v>
      </c>
      <c r="Y82" s="100">
        <v>5</v>
      </c>
      <c r="Z82" s="63">
        <v>7</v>
      </c>
      <c r="AA82" s="46">
        <v>1</v>
      </c>
      <c r="AB82" s="55"/>
      <c r="AC82" s="55"/>
      <c r="AD82" s="464" t="s">
        <v>255</v>
      </c>
      <c r="AE82" s="142"/>
      <c r="AF82" s="196">
        <v>0</v>
      </c>
      <c r="AG82" s="116">
        <v>0</v>
      </c>
      <c r="AH82" s="46">
        <v>1</v>
      </c>
      <c r="AI82" s="554"/>
      <c r="AJ82" s="554"/>
      <c r="AK82" s="464" t="s">
        <v>255</v>
      </c>
      <c r="AL82" s="192" t="s">
        <v>774</v>
      </c>
      <c r="AM82" s="147">
        <v>13</v>
      </c>
      <c r="AN82" s="68">
        <v>13</v>
      </c>
      <c r="AO82" s="46">
        <v>1</v>
      </c>
      <c r="AP82" s="664"/>
      <c r="AQ82" s="664"/>
      <c r="AR82" s="464" t="s">
        <v>255</v>
      </c>
      <c r="AS82" s="163" t="s">
        <v>852</v>
      </c>
      <c r="AT82" s="171">
        <v>13</v>
      </c>
      <c r="AU82" s="125">
        <v>0</v>
      </c>
      <c r="AV82" s="46">
        <v>1</v>
      </c>
      <c r="AW82" s="685"/>
      <c r="AX82" s="673"/>
      <c r="AY82" s="464" t="s">
        <v>255</v>
      </c>
      <c r="AZ82" s="174" t="s">
        <v>912</v>
      </c>
      <c r="BA82" s="157">
        <v>12</v>
      </c>
      <c r="BB82" s="131">
        <v>7</v>
      </c>
      <c r="BC82" s="46">
        <v>1</v>
      </c>
      <c r="BD82" s="580">
        <v>32000000</v>
      </c>
      <c r="BE82" s="580">
        <v>32000000</v>
      </c>
      <c r="BF82" s="464" t="s">
        <v>255</v>
      </c>
      <c r="BG82" s="142" t="s">
        <v>973</v>
      </c>
      <c r="BH82" s="157">
        <v>3</v>
      </c>
      <c r="BI82" s="88">
        <v>4</v>
      </c>
      <c r="BJ82" s="89">
        <v>1</v>
      </c>
      <c r="BK82" s="73"/>
      <c r="BL82" s="73"/>
      <c r="BM82" s="583" t="s">
        <v>255</v>
      </c>
      <c r="BN82" s="142" t="s">
        <v>572</v>
      </c>
      <c r="BO82" s="100">
        <v>5</v>
      </c>
      <c r="BP82" s="63">
        <v>6</v>
      </c>
      <c r="BQ82" s="46">
        <v>1</v>
      </c>
      <c r="BR82" s="55">
        <v>8655000</v>
      </c>
      <c r="BS82" s="55">
        <v>8655000</v>
      </c>
      <c r="BT82" s="464" t="s">
        <v>255</v>
      </c>
      <c r="BU82" s="141" t="s">
        <v>651</v>
      </c>
      <c r="BV82" s="68">
        <v>12</v>
      </c>
      <c r="BW82" s="63">
        <v>5</v>
      </c>
      <c r="BX82" s="46">
        <f>BW82/BV82</f>
        <v>0.41666666666666669</v>
      </c>
      <c r="BY82" s="55">
        <f>34620000+
500000000</f>
        <v>534620000</v>
      </c>
      <c r="BZ82" s="240">
        <f>28800000+
50000000</f>
        <v>78800000</v>
      </c>
      <c r="CA82" s="46">
        <f>BZ82/BY82</f>
        <v>0.14739441098350231</v>
      </c>
      <c r="CB82" s="224" t="s">
        <v>1029</v>
      </c>
      <c r="CC82" s="255" t="s">
        <v>1076</v>
      </c>
      <c r="CD82" s="68">
        <v>5</v>
      </c>
      <c r="CE82" s="63">
        <v>5</v>
      </c>
      <c r="CF82" s="46">
        <f>CE82/CD82</f>
        <v>1</v>
      </c>
      <c r="CG82" s="55">
        <f>55000000+34620000+714286+
500000000</f>
        <v>590334286</v>
      </c>
      <c r="CH82" s="240">
        <f>28800000+714286+
50000000</f>
        <v>79514286</v>
      </c>
      <c r="CI82" s="46">
        <f>CH82/CG82</f>
        <v>0.13469366066940588</v>
      </c>
      <c r="CJ82" s="224" t="s">
        <v>1029</v>
      </c>
      <c r="CK82" s="392" t="s">
        <v>1149</v>
      </c>
      <c r="CL82" s="47">
        <v>12</v>
      </c>
      <c r="CM82" s="219">
        <v>5</v>
      </c>
      <c r="CN82" s="46">
        <f>CM82/CL82</f>
        <v>0.41666666666666669</v>
      </c>
    </row>
    <row r="83" spans="1:92" ht="267" customHeight="1" x14ac:dyDescent="0.25">
      <c r="A83" s="509"/>
      <c r="B83" s="498"/>
      <c r="C83" s="500"/>
      <c r="D83" s="111" t="s">
        <v>240</v>
      </c>
      <c r="E83" s="47" t="s">
        <v>241</v>
      </c>
      <c r="F83" s="47" t="s">
        <v>242</v>
      </c>
      <c r="G83" s="47" t="s">
        <v>243</v>
      </c>
      <c r="H83" s="85" t="s">
        <v>1030</v>
      </c>
      <c r="I83" s="47">
        <v>2</v>
      </c>
      <c r="J83" s="47">
        <v>13</v>
      </c>
      <c r="K83" s="464"/>
      <c r="L83" s="464"/>
      <c r="M83" s="464"/>
      <c r="N83" s="464"/>
      <c r="O83" s="464"/>
      <c r="P83" s="464"/>
      <c r="Q83" s="109">
        <v>13</v>
      </c>
      <c r="R83" s="100">
        <v>0</v>
      </c>
      <c r="S83" s="63">
        <v>12</v>
      </c>
      <c r="T83" s="46">
        <v>1</v>
      </c>
      <c r="U83" s="55">
        <v>8655000</v>
      </c>
      <c r="V83" s="55">
        <v>8655000</v>
      </c>
      <c r="W83" s="464"/>
      <c r="X83" s="97" t="s">
        <v>489</v>
      </c>
      <c r="Y83" s="100">
        <v>0</v>
      </c>
      <c r="Z83" s="63">
        <v>12</v>
      </c>
      <c r="AA83" s="46">
        <v>1</v>
      </c>
      <c r="AB83" s="55"/>
      <c r="AC83" s="55"/>
      <c r="AD83" s="464"/>
      <c r="AE83" s="97"/>
      <c r="AF83" s="196">
        <v>12</v>
      </c>
      <c r="AG83" s="116">
        <v>12</v>
      </c>
      <c r="AH83" s="46">
        <v>1</v>
      </c>
      <c r="AI83" s="554"/>
      <c r="AJ83" s="554"/>
      <c r="AK83" s="464"/>
      <c r="AL83" s="192" t="s">
        <v>775</v>
      </c>
      <c r="AM83" s="147">
        <v>12</v>
      </c>
      <c r="AN83" s="68">
        <v>12</v>
      </c>
      <c r="AO83" s="46">
        <v>1</v>
      </c>
      <c r="AP83" s="664"/>
      <c r="AQ83" s="664"/>
      <c r="AR83" s="464"/>
      <c r="AS83" s="163" t="s">
        <v>853</v>
      </c>
      <c r="AT83" s="171">
        <v>12</v>
      </c>
      <c r="AU83" s="125">
        <v>13</v>
      </c>
      <c r="AV83" s="46">
        <v>1</v>
      </c>
      <c r="AW83" s="685"/>
      <c r="AX83" s="673"/>
      <c r="AY83" s="464"/>
      <c r="AZ83" s="174" t="s">
        <v>913</v>
      </c>
      <c r="BA83" s="157">
        <v>13</v>
      </c>
      <c r="BB83" s="131">
        <v>13</v>
      </c>
      <c r="BC83" s="46">
        <v>1</v>
      </c>
      <c r="BD83" s="580"/>
      <c r="BE83" s="580"/>
      <c r="BF83" s="464"/>
      <c r="BG83" s="168" t="s">
        <v>1038</v>
      </c>
      <c r="BH83" s="157">
        <v>0</v>
      </c>
      <c r="BI83" s="88">
        <v>0</v>
      </c>
      <c r="BJ83" s="89">
        <v>1</v>
      </c>
      <c r="BK83" s="73" t="s">
        <v>573</v>
      </c>
      <c r="BL83" s="73" t="s">
        <v>574</v>
      </c>
      <c r="BM83" s="583"/>
      <c r="BN83" s="146" t="s">
        <v>575</v>
      </c>
      <c r="BO83" s="100">
        <v>0</v>
      </c>
      <c r="BP83" s="63">
        <v>12</v>
      </c>
      <c r="BQ83" s="46">
        <v>1</v>
      </c>
      <c r="BR83" s="55">
        <v>8655000</v>
      </c>
      <c r="BS83" s="55">
        <v>8655000</v>
      </c>
      <c r="BT83" s="464"/>
      <c r="BU83" s="97" t="s">
        <v>652</v>
      </c>
      <c r="BV83" s="68">
        <v>12</v>
      </c>
      <c r="BW83" s="63">
        <v>12</v>
      </c>
      <c r="BX83" s="46">
        <v>1</v>
      </c>
      <c r="BY83" s="55">
        <v>34620000</v>
      </c>
      <c r="BZ83" s="240">
        <v>28800000</v>
      </c>
      <c r="CA83" s="46">
        <f>BZ83/BY83</f>
        <v>0.83188908145580587</v>
      </c>
      <c r="CB83" s="85" t="s">
        <v>1030</v>
      </c>
      <c r="CC83" s="252" t="s">
        <v>1077</v>
      </c>
      <c r="CD83" s="68">
        <v>13</v>
      </c>
      <c r="CE83" s="63">
        <v>12</v>
      </c>
      <c r="CF83" s="46">
        <f>CE83/CD83</f>
        <v>0.92307692307692313</v>
      </c>
      <c r="CG83" s="55">
        <f>55000000+34620000+714286</f>
        <v>90334286</v>
      </c>
      <c r="CH83" s="240">
        <f>28800000+714286</f>
        <v>29514286</v>
      </c>
      <c r="CI83" s="46">
        <f>CH83/CG83</f>
        <v>0.32672296762272524</v>
      </c>
      <c r="CJ83" s="85" t="s">
        <v>1030</v>
      </c>
      <c r="CK83" s="382" t="s">
        <v>1150</v>
      </c>
      <c r="CL83" s="47">
        <v>13</v>
      </c>
      <c r="CM83" s="63">
        <v>13</v>
      </c>
      <c r="CN83" s="46">
        <f>CM83/CL83</f>
        <v>1</v>
      </c>
    </row>
    <row r="84" spans="1:92" ht="236.25" customHeight="1" x14ac:dyDescent="0.25">
      <c r="A84" s="509"/>
      <c r="B84" s="498"/>
      <c r="C84" s="500"/>
      <c r="D84" s="111" t="s">
        <v>244</v>
      </c>
      <c r="E84" s="47" t="s">
        <v>245</v>
      </c>
      <c r="F84" s="47" t="s">
        <v>246</v>
      </c>
      <c r="G84" s="47" t="s">
        <v>247</v>
      </c>
      <c r="H84" s="85" t="s">
        <v>1030</v>
      </c>
      <c r="I84" s="47">
        <v>12</v>
      </c>
      <c r="J84" s="47">
        <v>13</v>
      </c>
      <c r="K84" s="464"/>
      <c r="L84" s="464"/>
      <c r="M84" s="464"/>
      <c r="N84" s="464"/>
      <c r="O84" s="464"/>
      <c r="P84" s="464"/>
      <c r="Q84" s="109">
        <v>13</v>
      </c>
      <c r="R84" s="100">
        <v>12</v>
      </c>
      <c r="S84" s="63">
        <v>12</v>
      </c>
      <c r="T84" s="34">
        <f t="shared" ref="T84" si="11">(S84/R84)*1</f>
        <v>1</v>
      </c>
      <c r="U84" s="55">
        <v>8655000</v>
      </c>
      <c r="V84" s="55">
        <v>8655000</v>
      </c>
      <c r="W84" s="464"/>
      <c r="X84" s="97" t="s">
        <v>486</v>
      </c>
      <c r="Y84" s="100">
        <v>12</v>
      </c>
      <c r="Z84" s="63">
        <v>12</v>
      </c>
      <c r="AA84" s="34">
        <f t="shared" ref="AA84" si="12">(Z84/Y84)*1</f>
        <v>1</v>
      </c>
      <c r="AB84" s="55"/>
      <c r="AC84" s="55"/>
      <c r="AD84" s="464"/>
      <c r="AE84" s="97"/>
      <c r="AF84" s="196">
        <v>13</v>
      </c>
      <c r="AG84" s="116">
        <v>5</v>
      </c>
      <c r="AH84" s="34">
        <f t="shared" ref="AH84" si="13">(AG84/AF84)*1</f>
        <v>0.38461538461538464</v>
      </c>
      <c r="AI84" s="554"/>
      <c r="AJ84" s="554"/>
      <c r="AK84" s="464"/>
      <c r="AL84" s="192" t="s">
        <v>776</v>
      </c>
      <c r="AM84" s="147">
        <v>13</v>
      </c>
      <c r="AN84" s="68">
        <v>10</v>
      </c>
      <c r="AO84" s="34">
        <f t="shared" ref="AO84" si="14">(AN84/AM84)*1</f>
        <v>0.76923076923076927</v>
      </c>
      <c r="AP84" s="664"/>
      <c r="AQ84" s="664"/>
      <c r="AR84" s="464"/>
      <c r="AS84" s="163" t="s">
        <v>854</v>
      </c>
      <c r="AT84" s="171">
        <v>13</v>
      </c>
      <c r="AU84" s="125">
        <v>11</v>
      </c>
      <c r="AV84" s="34">
        <f t="shared" ref="AV84" si="15">(AU84/AT84)*1</f>
        <v>0.84615384615384615</v>
      </c>
      <c r="AW84" s="685"/>
      <c r="AX84" s="673"/>
      <c r="AY84" s="464"/>
      <c r="AZ84" s="174" t="s">
        <v>914</v>
      </c>
      <c r="BA84" s="157">
        <v>12</v>
      </c>
      <c r="BB84" s="131">
        <v>12</v>
      </c>
      <c r="BC84" s="34">
        <f t="shared" ref="BC84" si="16">(BB84/BA84)*1</f>
        <v>1</v>
      </c>
      <c r="BD84" s="580"/>
      <c r="BE84" s="580"/>
      <c r="BF84" s="464"/>
      <c r="BG84" s="168" t="s">
        <v>974</v>
      </c>
      <c r="BH84" s="157">
        <v>11</v>
      </c>
      <c r="BI84" s="88">
        <v>11</v>
      </c>
      <c r="BJ84" s="70">
        <f t="shared" ref="BJ84" si="17">(BI84/BH84)*1</f>
        <v>1</v>
      </c>
      <c r="BK84" s="73" t="s">
        <v>576</v>
      </c>
      <c r="BL84" s="73" t="s">
        <v>577</v>
      </c>
      <c r="BM84" s="583"/>
      <c r="BN84" s="146" t="s">
        <v>578</v>
      </c>
      <c r="BO84" s="100">
        <v>12</v>
      </c>
      <c r="BP84" s="63">
        <v>11</v>
      </c>
      <c r="BQ84" s="34">
        <f t="shared" ref="BQ84" si="18">(BP84/BO84)*1</f>
        <v>0.91666666666666663</v>
      </c>
      <c r="BR84" s="55">
        <v>8655000</v>
      </c>
      <c r="BS84" s="55">
        <v>8655000</v>
      </c>
      <c r="BT84" s="464"/>
      <c r="BU84" s="146" t="s">
        <v>653</v>
      </c>
      <c r="BV84" s="68">
        <v>13</v>
      </c>
      <c r="BW84" s="63">
        <v>13</v>
      </c>
      <c r="BX84" s="34">
        <f t="shared" ref="BX84" si="19">(BW84/BV84)*1</f>
        <v>1</v>
      </c>
      <c r="BY84" s="55">
        <v>34620000</v>
      </c>
      <c r="BZ84" s="240">
        <v>28850000</v>
      </c>
      <c r="CA84" s="34">
        <f>BZ84/BY84</f>
        <v>0.83333333333333337</v>
      </c>
      <c r="CB84" s="85" t="s">
        <v>1030</v>
      </c>
      <c r="CC84" s="252" t="s">
        <v>1078</v>
      </c>
      <c r="CD84" s="68">
        <v>13</v>
      </c>
      <c r="CE84" s="63">
        <v>13</v>
      </c>
      <c r="CF84" s="34">
        <f t="shared" ref="CF84" si="20">(CE84/CD84)*1</f>
        <v>1</v>
      </c>
      <c r="CG84" s="55">
        <f>55000000+34620000+714286</f>
        <v>90334286</v>
      </c>
      <c r="CH84" s="240">
        <f>28850000+714286</f>
        <v>29564286</v>
      </c>
      <c r="CI84" s="34">
        <f>CH84/CG84</f>
        <v>0.32727646732050331</v>
      </c>
      <c r="CJ84" s="85" t="s">
        <v>1030</v>
      </c>
      <c r="CK84" s="382" t="s">
        <v>1151</v>
      </c>
      <c r="CL84" s="47">
        <v>13</v>
      </c>
      <c r="CM84" s="63">
        <v>13</v>
      </c>
      <c r="CN84" s="46">
        <f>CM84/CL84</f>
        <v>1</v>
      </c>
    </row>
    <row r="85" spans="1:92" ht="171" customHeight="1" thickBot="1" x14ac:dyDescent="0.3">
      <c r="A85" s="512"/>
      <c r="B85" s="513"/>
      <c r="C85" s="514"/>
      <c r="D85" s="113" t="s">
        <v>248</v>
      </c>
      <c r="E85" s="64" t="s">
        <v>249</v>
      </c>
      <c r="F85" s="64" t="s">
        <v>250</v>
      </c>
      <c r="G85" s="64" t="s">
        <v>247</v>
      </c>
      <c r="H85" s="225" t="s">
        <v>1030</v>
      </c>
      <c r="I85" s="64">
        <v>0</v>
      </c>
      <c r="J85" s="64">
        <v>13</v>
      </c>
      <c r="K85" s="531"/>
      <c r="L85" s="531"/>
      <c r="M85" s="531"/>
      <c r="N85" s="531"/>
      <c r="O85" s="531"/>
      <c r="P85" s="531"/>
      <c r="Q85" s="114">
        <v>13</v>
      </c>
      <c r="R85" s="101">
        <v>13</v>
      </c>
      <c r="S85" s="102">
        <v>4</v>
      </c>
      <c r="T85" s="103">
        <f>S85/R85</f>
        <v>0.30769230769230771</v>
      </c>
      <c r="U85" s="104">
        <v>8655000</v>
      </c>
      <c r="V85" s="105">
        <v>8655000</v>
      </c>
      <c r="W85" s="531"/>
      <c r="X85" s="106" t="s">
        <v>487</v>
      </c>
      <c r="Y85" s="101">
        <v>13</v>
      </c>
      <c r="Z85" s="102">
        <v>10</v>
      </c>
      <c r="AA85" s="103">
        <f>Z85/Y85</f>
        <v>0.76923076923076927</v>
      </c>
      <c r="AB85" s="104"/>
      <c r="AC85" s="104"/>
      <c r="AD85" s="531"/>
      <c r="AE85" s="106"/>
      <c r="AF85" s="101">
        <v>13</v>
      </c>
      <c r="AG85" s="102">
        <v>4</v>
      </c>
      <c r="AH85" s="103">
        <f>AG85/AF85</f>
        <v>0.30769230769230771</v>
      </c>
      <c r="AI85" s="104">
        <v>8655000</v>
      </c>
      <c r="AJ85" s="105">
        <v>8655000</v>
      </c>
      <c r="AK85" s="531"/>
      <c r="AL85" s="106"/>
      <c r="AM85" s="101">
        <v>13</v>
      </c>
      <c r="AN85" s="102">
        <v>10</v>
      </c>
      <c r="AO85" s="103">
        <f>AN85/AM85</f>
        <v>0.76923076923076927</v>
      </c>
      <c r="AP85" s="104" t="s">
        <v>491</v>
      </c>
      <c r="AQ85" s="104" t="s">
        <v>490</v>
      </c>
      <c r="AR85" s="531"/>
      <c r="AS85" s="106" t="s">
        <v>464</v>
      </c>
      <c r="AT85" s="101">
        <v>13</v>
      </c>
      <c r="AU85" s="102">
        <v>4</v>
      </c>
      <c r="AV85" s="103">
        <f>AU85/AT85</f>
        <v>0.30769230769230771</v>
      </c>
      <c r="AW85" s="104">
        <v>8655000</v>
      </c>
      <c r="AX85" s="105">
        <v>8655000</v>
      </c>
      <c r="AY85" s="531"/>
      <c r="AZ85" s="106" t="s">
        <v>487</v>
      </c>
      <c r="BA85" s="158">
        <v>13</v>
      </c>
      <c r="BB85" s="169">
        <v>13</v>
      </c>
      <c r="BC85" s="103">
        <f>BB85/BA85</f>
        <v>1</v>
      </c>
      <c r="BD85" s="684"/>
      <c r="BE85" s="684"/>
      <c r="BF85" s="531"/>
      <c r="BG85" s="170" t="s">
        <v>975</v>
      </c>
      <c r="BH85" s="158">
        <v>13</v>
      </c>
      <c r="BI85" s="132">
        <v>7</v>
      </c>
      <c r="BJ85" s="159">
        <f>(BI85/BH85)*1</f>
        <v>0.53846153846153844</v>
      </c>
      <c r="BK85" s="160" t="s">
        <v>579</v>
      </c>
      <c r="BL85" s="161">
        <v>400</v>
      </c>
      <c r="BM85" s="619"/>
      <c r="BN85" s="162" t="s">
        <v>580</v>
      </c>
      <c r="BO85" s="101">
        <v>13</v>
      </c>
      <c r="BP85" s="102">
        <v>5</v>
      </c>
      <c r="BQ85" s="103">
        <f>BP85/BO85</f>
        <v>0.38461538461538464</v>
      </c>
      <c r="BR85" s="104">
        <v>8655000</v>
      </c>
      <c r="BS85" s="105">
        <v>8655000</v>
      </c>
      <c r="BT85" s="531"/>
      <c r="BU85" s="106" t="s">
        <v>654</v>
      </c>
      <c r="BV85" s="68">
        <v>13</v>
      </c>
      <c r="BW85" s="223">
        <v>13</v>
      </c>
      <c r="BX85" s="103">
        <f>BW85/BV85</f>
        <v>1</v>
      </c>
      <c r="BY85" s="55">
        <f>34620000+
273979122+
950000+1360000</f>
        <v>310909122</v>
      </c>
      <c r="BZ85" s="55">
        <f>28850000+
142116458+
950000+1360000</f>
        <v>173276458</v>
      </c>
      <c r="CA85" s="31">
        <f>BZ85/BY85</f>
        <v>0.55732188520348402</v>
      </c>
      <c r="CB85" s="225" t="s">
        <v>1030</v>
      </c>
      <c r="CC85" s="247" t="s">
        <v>1086</v>
      </c>
      <c r="CD85" s="68">
        <v>13</v>
      </c>
      <c r="CE85" s="223">
        <v>13</v>
      </c>
      <c r="CF85" s="103">
        <f>CE85/CD85</f>
        <v>1</v>
      </c>
      <c r="CG85" s="55">
        <f>34620000+714286+
273979122+
950000+1360000</f>
        <v>311623408</v>
      </c>
      <c r="CH85" s="55">
        <f>28850000+714286+
142116458+
950000+1360000</f>
        <v>173990744</v>
      </c>
      <c r="CI85" s="31">
        <f>CH85/CG85</f>
        <v>0.55833656757903116</v>
      </c>
      <c r="CJ85" s="225" t="s">
        <v>1030</v>
      </c>
      <c r="CK85" s="383" t="s">
        <v>1152</v>
      </c>
      <c r="CL85" s="64">
        <v>13</v>
      </c>
      <c r="CM85" s="63">
        <v>13</v>
      </c>
      <c r="CN85" s="46">
        <f>CM85/CL85</f>
        <v>1</v>
      </c>
    </row>
    <row r="86" spans="1:92" x14ac:dyDescent="0.25">
      <c r="C86" s="48"/>
      <c r="Q86" s="67"/>
      <c r="R86" s="29"/>
      <c r="T86" s="15"/>
      <c r="U86" s="51"/>
      <c r="V86" s="51"/>
      <c r="W86" s="2"/>
      <c r="X86" s="2"/>
      <c r="Y86" s="29"/>
      <c r="AA86" s="15"/>
      <c r="AB86" s="51"/>
      <c r="AC86" s="51"/>
      <c r="AD86" s="2"/>
      <c r="AE86" s="2"/>
      <c r="AI86" s="2"/>
      <c r="AJ86" s="2"/>
      <c r="AK86" s="2"/>
      <c r="AL86" s="2"/>
      <c r="AM86" s="2"/>
      <c r="AN86" s="2"/>
      <c r="AO86" s="2"/>
      <c r="AP86" s="2"/>
      <c r="AQ86" s="2"/>
      <c r="AR86" s="2"/>
      <c r="AS86" s="2"/>
      <c r="AT86" s="2"/>
      <c r="AU86" s="2"/>
      <c r="AV86" s="2"/>
      <c r="AW86" s="2"/>
      <c r="AX86" s="2"/>
      <c r="AY86" s="2"/>
      <c r="AZ86" s="2"/>
      <c r="BA86" s="2"/>
      <c r="BB86" s="2"/>
      <c r="BC86" s="2"/>
      <c r="BD86" s="2"/>
      <c r="BE86" s="2"/>
      <c r="BW86" s="2"/>
      <c r="CE86" s="2"/>
    </row>
    <row r="87" spans="1:92" ht="15.75" thickBot="1" x14ac:dyDescent="0.3">
      <c r="Q87" s="67"/>
      <c r="R87" s="29"/>
      <c r="S87" s="29"/>
      <c r="T87" s="15"/>
      <c r="U87" s="51"/>
      <c r="V87" s="51"/>
      <c r="W87" s="2"/>
      <c r="X87" s="2"/>
      <c r="Y87" s="29"/>
      <c r="Z87" s="29"/>
      <c r="AA87" s="15"/>
      <c r="AB87" s="51"/>
      <c r="AC87" s="51"/>
      <c r="AD87" s="2"/>
      <c r="AE87" s="2"/>
      <c r="AI87" s="2"/>
      <c r="AJ87" s="2"/>
      <c r="AK87" s="2"/>
      <c r="AL87" s="2"/>
      <c r="AM87" s="2"/>
      <c r="AN87" s="2"/>
      <c r="AO87" s="2"/>
      <c r="AP87" s="2"/>
      <c r="AQ87" s="2"/>
      <c r="AR87" s="2"/>
      <c r="AS87" s="2"/>
      <c r="AT87" s="2"/>
      <c r="AU87" s="2"/>
      <c r="AV87" s="2"/>
      <c r="AW87" s="2"/>
      <c r="AX87" s="2"/>
      <c r="AY87" s="2"/>
      <c r="AZ87" s="2"/>
      <c r="BA87" s="2"/>
      <c r="BB87" s="2"/>
      <c r="BC87" s="2"/>
      <c r="BD87" s="2"/>
      <c r="BE87" s="2"/>
      <c r="BX87" s="238">
        <f>AVERAGE(BX4:BX85)</f>
        <v>0.72294908925318746</v>
      </c>
      <c r="BZ87" t="s">
        <v>1032</v>
      </c>
      <c r="CA87" s="233">
        <f>AVERAGE(CA4:CA85)</f>
        <v>0.52647452829838126</v>
      </c>
      <c r="CF87" s="238">
        <f>AVERAGE(CF4:CF85)</f>
        <v>0.69349452150763624</v>
      </c>
      <c r="CH87" s="377" t="s">
        <v>1032</v>
      </c>
      <c r="CI87" s="233">
        <f>AVERAGE(CI4:CI85)</f>
        <v>0.49631211739922532</v>
      </c>
      <c r="CL87" t="s">
        <v>986</v>
      </c>
      <c r="CN87" s="236">
        <f>AVERAGE(CN4:CN85)</f>
        <v>0.63633606557377043</v>
      </c>
    </row>
    <row r="88" spans="1:92" x14ac:dyDescent="0.25">
      <c r="Q88" s="67"/>
      <c r="R88" s="29"/>
      <c r="S88" s="29"/>
      <c r="T88" s="15"/>
      <c r="U88" s="3"/>
      <c r="V88" s="3"/>
      <c r="W88" s="2"/>
      <c r="X88" s="2"/>
      <c r="Y88" s="29"/>
      <c r="Z88" s="29"/>
      <c r="AA88" s="15"/>
      <c r="AB88" s="3"/>
      <c r="AC88" s="3"/>
      <c r="AD88" s="2"/>
      <c r="AE88" s="2"/>
      <c r="AI88" s="2"/>
      <c r="AJ88" s="2"/>
      <c r="AK88" s="2"/>
      <c r="AL88" s="2"/>
      <c r="AM88" s="2"/>
      <c r="AN88" s="2"/>
      <c r="AO88" s="2"/>
      <c r="AP88" s="2"/>
      <c r="AQ88" s="2"/>
      <c r="AR88" s="2"/>
      <c r="AS88" s="2"/>
      <c r="AT88" s="2"/>
      <c r="AU88" s="2"/>
      <c r="AV88" s="2"/>
      <c r="AW88" s="2"/>
      <c r="AX88" s="2"/>
      <c r="AY88" s="2"/>
      <c r="AZ88" s="2"/>
      <c r="BA88" s="2"/>
      <c r="BB88" s="2"/>
      <c r="BC88" s="2"/>
      <c r="BD88" s="2"/>
      <c r="BE88" s="2"/>
      <c r="BU88" s="706"/>
      <c r="BV88" s="706"/>
      <c r="BW88" s="706"/>
      <c r="BX88" s="220"/>
    </row>
    <row r="89" spans="1:92" x14ac:dyDescent="0.25">
      <c r="Q89" s="67"/>
      <c r="R89" s="29"/>
      <c r="S89" s="29"/>
      <c r="T89" s="15"/>
      <c r="U89" s="3"/>
      <c r="V89" s="3"/>
      <c r="W89" s="2"/>
      <c r="X89" s="2"/>
      <c r="Y89" s="29"/>
      <c r="Z89" s="29"/>
      <c r="AA89" s="15"/>
      <c r="AB89" s="3"/>
      <c r="AC89" s="3"/>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row>
    <row r="90" spans="1:92" x14ac:dyDescent="0.25">
      <c r="Q90" s="67"/>
      <c r="R90" s="29"/>
      <c r="S90" s="29"/>
      <c r="T90" s="15"/>
      <c r="U90" s="3"/>
      <c r="V90" s="3"/>
      <c r="W90" s="2"/>
      <c r="X90" s="2"/>
      <c r="Y90" s="29"/>
      <c r="Z90" s="29"/>
      <c r="AA90" s="15"/>
      <c r="AB90" s="3"/>
      <c r="AC90" s="3"/>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row>
    <row r="91" spans="1:92" x14ac:dyDescent="0.25">
      <c r="Q91" s="67"/>
      <c r="R91" s="29"/>
      <c r="S91" s="29"/>
      <c r="T91" s="15"/>
      <c r="U91" s="3"/>
      <c r="V91" s="3"/>
      <c r="W91" s="2"/>
      <c r="X91" s="2"/>
      <c r="Y91" s="29"/>
      <c r="Z91" s="29"/>
      <c r="AA91" s="15"/>
      <c r="AB91" s="3"/>
      <c r="AC91" s="3"/>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row>
    <row r="92" spans="1:92" x14ac:dyDescent="0.25">
      <c r="Q92" s="67"/>
      <c r="R92" s="29"/>
      <c r="S92" s="29"/>
      <c r="T92" s="15"/>
      <c r="U92" s="3"/>
      <c r="V92" s="3"/>
      <c r="W92" s="2"/>
      <c r="X92" s="2"/>
      <c r="Y92" s="29"/>
      <c r="Z92" s="29"/>
      <c r="AA92" s="15"/>
      <c r="AB92" s="3"/>
      <c r="AC92" s="3"/>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row>
    <row r="93" spans="1:92" x14ac:dyDescent="0.25">
      <c r="Q93" s="67"/>
      <c r="R93" s="29"/>
      <c r="S93" s="29"/>
      <c r="T93" s="15"/>
      <c r="U93" s="3"/>
      <c r="V93" s="3"/>
      <c r="W93" s="2"/>
      <c r="X93" s="2"/>
      <c r="Y93" s="29"/>
      <c r="Z93" s="29"/>
      <c r="AA93" s="15"/>
      <c r="AB93" s="3"/>
      <c r="AC93" s="3"/>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row>
    <row r="94" spans="1:92" x14ac:dyDescent="0.25">
      <c r="Q94" s="67"/>
      <c r="R94" s="29"/>
      <c r="S94" s="29"/>
      <c r="T94" s="15"/>
      <c r="U94" s="3"/>
      <c r="V94" s="3"/>
      <c r="W94" s="2"/>
      <c r="X94" s="2"/>
      <c r="Y94" s="29"/>
      <c r="Z94" s="29"/>
      <c r="AA94" s="15"/>
      <c r="AB94" s="3"/>
      <c r="AC94" s="3"/>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row>
    <row r="95" spans="1:92" x14ac:dyDescent="0.25">
      <c r="Q95" s="67"/>
      <c r="R95" s="29"/>
      <c r="S95" s="29"/>
      <c r="T95" s="15"/>
      <c r="U95" s="3"/>
      <c r="V95" s="3"/>
      <c r="W95" s="2"/>
      <c r="X95" s="2"/>
      <c r="Y95" s="29"/>
      <c r="Z95" s="29"/>
      <c r="AA95" s="15"/>
      <c r="AB95" s="3"/>
      <c r="AC95" s="3"/>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row>
    <row r="96" spans="1:92" x14ac:dyDescent="0.25">
      <c r="Q96" s="67"/>
      <c r="R96" s="29"/>
      <c r="S96" s="29"/>
      <c r="T96" s="15"/>
      <c r="U96" s="3"/>
      <c r="V96" s="3"/>
      <c r="W96" s="2"/>
      <c r="X96" s="2"/>
      <c r="Y96" s="29"/>
      <c r="Z96" s="29"/>
      <c r="AA96" s="15"/>
      <c r="AB96" s="3"/>
      <c r="AC96" s="3"/>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row>
    <row r="97" spans="17:57" x14ac:dyDescent="0.25">
      <c r="Q97" s="67"/>
      <c r="R97" s="29"/>
      <c r="S97" s="29"/>
      <c r="T97" s="15"/>
      <c r="U97" s="3"/>
      <c r="V97" s="3"/>
      <c r="W97" s="2"/>
      <c r="X97" s="2"/>
      <c r="Y97" s="29"/>
      <c r="Z97" s="29"/>
      <c r="AA97" s="15"/>
      <c r="AB97" s="3"/>
      <c r="AC97" s="3"/>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row>
    <row r="98" spans="17:57" x14ac:dyDescent="0.25">
      <c r="Q98" s="67"/>
      <c r="R98" s="29"/>
      <c r="S98" s="29"/>
      <c r="T98" s="15"/>
      <c r="U98" s="3"/>
      <c r="V98" s="3"/>
      <c r="W98" s="2"/>
      <c r="X98" s="2"/>
      <c r="Y98" s="29"/>
      <c r="Z98" s="29"/>
      <c r="AA98" s="15"/>
      <c r="AB98" s="3"/>
      <c r="AC98" s="3"/>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row>
    <row r="99" spans="17:57" x14ac:dyDescent="0.25">
      <c r="Q99" s="67"/>
      <c r="R99" s="29"/>
      <c r="S99" s="29"/>
      <c r="T99" s="15"/>
      <c r="U99" s="3"/>
      <c r="V99" s="3"/>
      <c r="W99" s="2"/>
      <c r="X99" s="2"/>
      <c r="Y99" s="29"/>
      <c r="Z99" s="29"/>
      <c r="AA99" s="15"/>
      <c r="AB99" s="3"/>
      <c r="AC99" s="3"/>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row>
    <row r="100" spans="17:57" x14ac:dyDescent="0.25">
      <c r="Q100" s="67"/>
      <c r="R100" s="29"/>
      <c r="S100" s="29"/>
      <c r="T100" s="15"/>
      <c r="U100" s="3"/>
      <c r="V100" s="3"/>
      <c r="W100" s="2"/>
      <c r="X100" s="2"/>
      <c r="Y100" s="29"/>
      <c r="Z100" s="29"/>
      <c r="AA100" s="15"/>
      <c r="AB100" s="3"/>
      <c r="AC100" s="3"/>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row>
    <row r="101" spans="17:57" x14ac:dyDescent="0.25">
      <c r="Q101" s="67"/>
      <c r="R101" s="29"/>
      <c r="S101" s="29"/>
      <c r="T101" s="15"/>
      <c r="U101" s="3"/>
      <c r="V101" s="3"/>
      <c r="W101" s="2"/>
      <c r="X101" s="2"/>
      <c r="Y101" s="29"/>
      <c r="Z101" s="29"/>
      <c r="AA101" s="15"/>
      <c r="AB101" s="3"/>
      <c r="AC101" s="3"/>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row>
    <row r="102" spans="17:57" x14ac:dyDescent="0.25">
      <c r="Q102" s="67"/>
      <c r="R102" s="29"/>
      <c r="S102" s="29"/>
      <c r="T102" s="15"/>
      <c r="U102" s="3"/>
      <c r="V102" s="3"/>
      <c r="W102" s="2"/>
      <c r="X102" s="2"/>
      <c r="Y102" s="29"/>
      <c r="Z102" s="29"/>
      <c r="AA102" s="15"/>
      <c r="AB102" s="3"/>
      <c r="AC102" s="3"/>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row>
    <row r="103" spans="17:57" x14ac:dyDescent="0.25">
      <c r="Q103" s="67"/>
      <c r="R103" s="29"/>
      <c r="S103" s="29"/>
      <c r="T103" s="15"/>
      <c r="U103" s="3"/>
      <c r="V103" s="3"/>
      <c r="W103" s="2"/>
      <c r="X103" s="2"/>
      <c r="Y103" s="29"/>
      <c r="Z103" s="29"/>
      <c r="AA103" s="15"/>
      <c r="AB103" s="3"/>
      <c r="AC103" s="3"/>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row>
    <row r="104" spans="17:57" x14ac:dyDescent="0.25">
      <c r="Q104" s="67"/>
      <c r="R104" s="29"/>
      <c r="S104" s="29"/>
      <c r="T104" s="15"/>
      <c r="U104" s="3"/>
      <c r="V104" s="3"/>
      <c r="W104" s="2"/>
      <c r="X104" s="2"/>
      <c r="Y104" s="29"/>
      <c r="Z104" s="29"/>
      <c r="AA104" s="15"/>
      <c r="AB104" s="3"/>
      <c r="AC104" s="3"/>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row>
    <row r="105" spans="17:57" x14ac:dyDescent="0.25">
      <c r="Q105" s="67"/>
      <c r="R105" s="29"/>
      <c r="S105" s="29"/>
      <c r="T105" s="15"/>
      <c r="U105" s="3"/>
      <c r="V105" s="3"/>
      <c r="W105" s="2"/>
      <c r="X105" s="2"/>
      <c r="Y105" s="29"/>
      <c r="Z105" s="29"/>
      <c r="AA105" s="15"/>
      <c r="AB105" s="3"/>
      <c r="AC105" s="3"/>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row>
    <row r="106" spans="17:57" x14ac:dyDescent="0.25">
      <c r="Q106" s="67"/>
      <c r="R106" s="29"/>
      <c r="S106" s="29"/>
      <c r="T106" s="15"/>
      <c r="U106" s="3"/>
      <c r="V106" s="3"/>
      <c r="W106" s="2"/>
      <c r="X106" s="2"/>
      <c r="Y106" s="29"/>
      <c r="Z106" s="29"/>
      <c r="AA106" s="15"/>
      <c r="AB106" s="3"/>
      <c r="AC106" s="3"/>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row>
    <row r="107" spans="17:57" x14ac:dyDescent="0.25">
      <c r="Q107" s="67"/>
      <c r="R107" s="29"/>
      <c r="S107" s="29"/>
      <c r="T107" s="15"/>
      <c r="U107" s="3"/>
      <c r="V107" s="3"/>
      <c r="W107" s="2"/>
      <c r="X107" s="2"/>
      <c r="Y107" s="29"/>
      <c r="Z107" s="29"/>
      <c r="AA107" s="15"/>
      <c r="AB107" s="3"/>
      <c r="AC107" s="3"/>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row>
    <row r="108" spans="17:57" x14ac:dyDescent="0.25">
      <c r="Q108" s="67"/>
      <c r="R108" s="29"/>
      <c r="S108" s="29"/>
      <c r="T108" s="15"/>
      <c r="U108" s="3"/>
      <c r="V108" s="3"/>
      <c r="W108" s="2"/>
      <c r="X108" s="2"/>
      <c r="Y108" s="29"/>
      <c r="Z108" s="29"/>
      <c r="AA108" s="15"/>
      <c r="AB108" s="3"/>
      <c r="AC108" s="3"/>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row>
    <row r="109" spans="17:57" x14ac:dyDescent="0.25">
      <c r="Q109" s="67"/>
      <c r="R109" s="29"/>
      <c r="S109" s="29"/>
      <c r="T109" s="15"/>
      <c r="U109" s="3"/>
      <c r="V109" s="3"/>
      <c r="W109" s="2"/>
      <c r="X109" s="2"/>
      <c r="Y109" s="29"/>
      <c r="Z109" s="29"/>
      <c r="AA109" s="15"/>
      <c r="AB109" s="3"/>
      <c r="AC109" s="3"/>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row>
    <row r="110" spans="17:57" x14ac:dyDescent="0.25">
      <c r="R110" s="29"/>
      <c r="S110" s="29"/>
      <c r="T110" s="15"/>
      <c r="U110" s="3"/>
      <c r="V110" s="3"/>
      <c r="W110" s="2"/>
      <c r="X110" s="2"/>
      <c r="Y110" s="29"/>
      <c r="Z110" s="29"/>
      <c r="AA110" s="15"/>
      <c r="AB110" s="3"/>
      <c r="AC110" s="3"/>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row>
    <row r="111" spans="17:57" x14ac:dyDescent="0.25">
      <c r="R111" s="29"/>
      <c r="S111" s="29"/>
      <c r="T111" s="15"/>
      <c r="U111" s="3"/>
      <c r="V111" s="3"/>
      <c r="W111" s="2"/>
      <c r="X111" s="2"/>
      <c r="Y111" s="29"/>
      <c r="Z111" s="29"/>
      <c r="AA111" s="15"/>
      <c r="AB111" s="3"/>
      <c r="AC111" s="3"/>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row>
    <row r="112" spans="17:57" x14ac:dyDescent="0.25">
      <c r="R112" s="29"/>
      <c r="S112" s="29"/>
      <c r="T112" s="15"/>
      <c r="U112" s="3"/>
      <c r="V112" s="3"/>
      <c r="W112" s="2"/>
      <c r="X112" s="2"/>
      <c r="Y112" s="29"/>
      <c r="Z112" s="29"/>
      <c r="AA112" s="15"/>
      <c r="AB112" s="3"/>
      <c r="AC112" s="3"/>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row>
    <row r="113" spans="18:57" x14ac:dyDescent="0.25">
      <c r="R113" s="29"/>
      <c r="S113" s="29"/>
      <c r="T113" s="15"/>
      <c r="U113" s="3"/>
      <c r="V113" s="3"/>
      <c r="W113" s="2"/>
      <c r="X113" s="2"/>
      <c r="Y113" s="29"/>
      <c r="Z113" s="29"/>
      <c r="AA113" s="15"/>
      <c r="AB113" s="3"/>
      <c r="AC113" s="3"/>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row>
    <row r="114" spans="18:57" x14ac:dyDescent="0.25">
      <c r="R114" s="29"/>
      <c r="S114" s="29"/>
      <c r="T114" s="15"/>
      <c r="U114" s="3"/>
      <c r="V114" s="3"/>
      <c r="W114" s="2"/>
      <c r="X114" s="2"/>
      <c r="Y114" s="29"/>
      <c r="Z114" s="29"/>
      <c r="AA114" s="15"/>
      <c r="AB114" s="3"/>
      <c r="AC114" s="3"/>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row>
    <row r="115" spans="18:57" x14ac:dyDescent="0.25">
      <c r="R115" s="29"/>
      <c r="S115" s="29"/>
      <c r="T115" s="15"/>
      <c r="U115" s="3"/>
      <c r="V115" s="3"/>
      <c r="W115" s="2"/>
      <c r="X115" s="2"/>
      <c r="Y115" s="29"/>
      <c r="Z115" s="29"/>
      <c r="AA115" s="15"/>
      <c r="AB115" s="3"/>
      <c r="AC115" s="3"/>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row>
    <row r="116" spans="18:57" x14ac:dyDescent="0.25">
      <c r="R116" s="29"/>
      <c r="S116" s="29"/>
      <c r="T116" s="15"/>
      <c r="U116" s="3"/>
      <c r="V116" s="3"/>
      <c r="W116" s="2"/>
      <c r="X116" s="2"/>
      <c r="Y116" s="29"/>
      <c r="Z116" s="29"/>
      <c r="AA116" s="15"/>
      <c r="AB116" s="3"/>
      <c r="AC116" s="3"/>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row>
    <row r="117" spans="18:57" x14ac:dyDescent="0.25">
      <c r="R117" s="29"/>
      <c r="S117" s="29"/>
      <c r="T117" s="15"/>
      <c r="U117" s="3"/>
      <c r="V117" s="3"/>
      <c r="W117" s="2"/>
      <c r="X117" s="2"/>
      <c r="Y117" s="29"/>
      <c r="Z117" s="29"/>
      <c r="AA117" s="15"/>
      <c r="AB117" s="3"/>
      <c r="AC117" s="3"/>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row>
    <row r="118" spans="18:57" x14ac:dyDescent="0.25">
      <c r="R118" s="29"/>
      <c r="S118" s="29"/>
      <c r="T118" s="15"/>
      <c r="U118" s="3"/>
      <c r="V118" s="3"/>
      <c r="W118" s="2"/>
      <c r="X118" s="2"/>
      <c r="Y118" s="29"/>
      <c r="Z118" s="29"/>
      <c r="AA118" s="15"/>
      <c r="AB118" s="3"/>
      <c r="AC118" s="3"/>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row>
    <row r="119" spans="18:57" x14ac:dyDescent="0.25">
      <c r="R119" s="29"/>
      <c r="S119" s="29"/>
      <c r="T119" s="15"/>
      <c r="U119" s="3"/>
      <c r="V119" s="3"/>
      <c r="W119" s="2"/>
      <c r="X119" s="2"/>
      <c r="Y119" s="29"/>
      <c r="Z119" s="29"/>
      <c r="AA119" s="15"/>
      <c r="AB119" s="3"/>
      <c r="AC119" s="3"/>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row>
    <row r="120" spans="18:57" x14ac:dyDescent="0.25">
      <c r="R120" s="29"/>
      <c r="S120" s="29"/>
      <c r="T120" s="15"/>
      <c r="U120" s="3"/>
      <c r="V120" s="3"/>
      <c r="W120" s="2"/>
      <c r="X120" s="2"/>
      <c r="Y120" s="29"/>
      <c r="Z120" s="29"/>
      <c r="AA120" s="15"/>
      <c r="AB120" s="3"/>
      <c r="AC120" s="3"/>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row>
    <row r="121" spans="18:57" x14ac:dyDescent="0.25">
      <c r="R121" s="29"/>
      <c r="S121" s="29"/>
      <c r="T121" s="15"/>
      <c r="U121" s="3"/>
      <c r="V121" s="3"/>
      <c r="W121" s="2"/>
      <c r="X121" s="2"/>
      <c r="Y121" s="29"/>
      <c r="Z121" s="29"/>
      <c r="AA121" s="15"/>
      <c r="AB121" s="3"/>
      <c r="AC121" s="3"/>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row>
    <row r="122" spans="18:57" x14ac:dyDescent="0.25">
      <c r="R122" s="29"/>
      <c r="S122" s="29"/>
      <c r="T122" s="15"/>
      <c r="U122" s="3"/>
      <c r="V122" s="3"/>
      <c r="W122" s="2"/>
      <c r="X122" s="2"/>
      <c r="Y122" s="29"/>
      <c r="Z122" s="29"/>
      <c r="AA122" s="15"/>
      <c r="AB122" s="3"/>
      <c r="AC122" s="3"/>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row>
    <row r="123" spans="18:57" x14ac:dyDescent="0.25">
      <c r="R123" s="29"/>
      <c r="S123" s="29"/>
      <c r="T123" s="15"/>
      <c r="U123" s="3"/>
      <c r="V123" s="3"/>
      <c r="W123" s="2"/>
      <c r="X123" s="2"/>
      <c r="Y123" s="29"/>
      <c r="Z123" s="29"/>
      <c r="AA123" s="15"/>
      <c r="AB123" s="3"/>
      <c r="AC123" s="3"/>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row>
    <row r="124" spans="18:57" x14ac:dyDescent="0.25">
      <c r="R124" s="29"/>
      <c r="S124" s="29"/>
      <c r="T124" s="15"/>
      <c r="U124" s="3"/>
      <c r="V124" s="3"/>
      <c r="W124" s="2"/>
      <c r="X124" s="2"/>
      <c r="Y124" s="29"/>
      <c r="Z124" s="29"/>
      <c r="AA124" s="15"/>
      <c r="AB124" s="3"/>
      <c r="AC124" s="3"/>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row>
    <row r="125" spans="18:57" x14ac:dyDescent="0.25">
      <c r="R125" s="29"/>
      <c r="S125" s="29"/>
      <c r="T125" s="15"/>
      <c r="U125" s="3"/>
      <c r="V125" s="3"/>
      <c r="W125" s="2"/>
      <c r="X125" s="2"/>
      <c r="Y125" s="29"/>
      <c r="Z125" s="29"/>
      <c r="AA125" s="15"/>
      <c r="AB125" s="3"/>
      <c r="AC125" s="3"/>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row>
    <row r="126" spans="18:57" x14ac:dyDescent="0.25">
      <c r="R126" s="29"/>
      <c r="S126" s="29"/>
      <c r="T126" s="15"/>
      <c r="U126" s="3"/>
      <c r="V126" s="3"/>
      <c r="W126" s="2"/>
      <c r="X126" s="2"/>
      <c r="Y126" s="29"/>
      <c r="Z126" s="29"/>
      <c r="AA126" s="15"/>
      <c r="AB126" s="3"/>
      <c r="AC126" s="3"/>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row>
    <row r="127" spans="18:57" x14ac:dyDescent="0.25">
      <c r="R127" s="29"/>
      <c r="S127" s="29"/>
      <c r="T127" s="15"/>
      <c r="U127" s="3"/>
      <c r="V127" s="3"/>
      <c r="W127" s="2"/>
      <c r="X127" s="2"/>
      <c r="Y127" s="29"/>
      <c r="Z127" s="29"/>
      <c r="AA127" s="15"/>
      <c r="AB127" s="3"/>
      <c r="AC127" s="3"/>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row>
    <row r="128" spans="18:57" x14ac:dyDescent="0.25">
      <c r="R128" s="29"/>
      <c r="S128" s="29"/>
      <c r="T128" s="15"/>
      <c r="U128" s="3"/>
      <c r="V128" s="3"/>
      <c r="W128" s="2"/>
      <c r="X128" s="2"/>
      <c r="Y128" s="29"/>
      <c r="Z128" s="29"/>
      <c r="AA128" s="15"/>
      <c r="AB128" s="3"/>
      <c r="AC128" s="3"/>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row>
    <row r="129" spans="18:57" x14ac:dyDescent="0.25">
      <c r="R129" s="29"/>
      <c r="S129" s="29"/>
      <c r="T129" s="15"/>
      <c r="U129" s="3"/>
      <c r="V129" s="3"/>
      <c r="W129" s="2"/>
      <c r="X129" s="2"/>
      <c r="Y129" s="29"/>
      <c r="Z129" s="29"/>
      <c r="AA129" s="15"/>
      <c r="AB129" s="3"/>
      <c r="AC129" s="3"/>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row>
    <row r="130" spans="18:57" x14ac:dyDescent="0.25">
      <c r="R130" s="29"/>
      <c r="S130" s="29"/>
      <c r="T130" s="15"/>
      <c r="U130" s="3"/>
      <c r="V130" s="3"/>
      <c r="W130" s="2"/>
      <c r="X130" s="2"/>
      <c r="Y130" s="29"/>
      <c r="Z130" s="29"/>
      <c r="AA130" s="15"/>
      <c r="AB130" s="3"/>
      <c r="AC130" s="3"/>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row>
    <row r="131" spans="18:57" x14ac:dyDescent="0.25">
      <c r="R131" s="29"/>
      <c r="S131" s="29"/>
      <c r="T131" s="15"/>
      <c r="U131" s="3"/>
      <c r="V131" s="3"/>
      <c r="W131" s="2"/>
      <c r="X131" s="2"/>
      <c r="Y131" s="29"/>
      <c r="Z131" s="29"/>
      <c r="AA131" s="15"/>
      <c r="AB131" s="3"/>
      <c r="AC131" s="3"/>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row>
    <row r="132" spans="18:57" x14ac:dyDescent="0.25">
      <c r="R132" s="29"/>
      <c r="S132" s="29"/>
      <c r="T132" s="15"/>
      <c r="U132" s="3"/>
      <c r="V132" s="3"/>
      <c r="W132" s="2"/>
      <c r="X132" s="2"/>
      <c r="Y132" s="29"/>
      <c r="Z132" s="29"/>
      <c r="AA132" s="15"/>
      <c r="AB132" s="3"/>
      <c r="AC132" s="3"/>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row>
    <row r="133" spans="18:57" x14ac:dyDescent="0.25">
      <c r="R133" s="29"/>
      <c r="S133" s="29"/>
      <c r="T133" s="15"/>
      <c r="U133" s="3"/>
      <c r="V133" s="3"/>
      <c r="W133" s="2"/>
      <c r="X133" s="2"/>
      <c r="Y133" s="29"/>
      <c r="Z133" s="29"/>
      <c r="AA133" s="15"/>
      <c r="AB133" s="3"/>
      <c r="AC133" s="3"/>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row>
    <row r="134" spans="18:57" x14ac:dyDescent="0.25">
      <c r="R134" s="29"/>
      <c r="S134" s="29"/>
      <c r="T134" s="15"/>
      <c r="U134" s="3"/>
      <c r="V134" s="3"/>
      <c r="W134" s="2"/>
      <c r="X134" s="2"/>
      <c r="Y134" s="29"/>
      <c r="Z134" s="29"/>
      <c r="AA134" s="15"/>
      <c r="AB134" s="3"/>
      <c r="AC134" s="3"/>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row>
    <row r="135" spans="18:57" x14ac:dyDescent="0.25">
      <c r="R135" s="29"/>
      <c r="S135" s="29"/>
      <c r="T135" s="15"/>
      <c r="U135" s="3"/>
      <c r="V135" s="3"/>
      <c r="W135" s="2"/>
      <c r="X135" s="2"/>
      <c r="Y135" s="29"/>
      <c r="Z135" s="29"/>
      <c r="AA135" s="15"/>
      <c r="AB135" s="3"/>
      <c r="AC135" s="3"/>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row>
    <row r="136" spans="18:57" x14ac:dyDescent="0.25">
      <c r="R136" s="29"/>
      <c r="S136" s="29"/>
      <c r="T136" s="15"/>
      <c r="U136" s="3"/>
      <c r="V136" s="3"/>
      <c r="W136" s="2"/>
      <c r="X136" s="2"/>
      <c r="Y136" s="29"/>
      <c r="Z136" s="29"/>
      <c r="AA136" s="15"/>
      <c r="AB136" s="3"/>
      <c r="AC136" s="3"/>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row>
    <row r="137" spans="18:57" x14ac:dyDescent="0.25">
      <c r="R137" s="29"/>
      <c r="S137" s="29"/>
      <c r="T137" s="15"/>
      <c r="U137" s="3"/>
      <c r="V137" s="3"/>
      <c r="W137" s="2"/>
      <c r="X137" s="2"/>
      <c r="Y137" s="29"/>
      <c r="Z137" s="29"/>
      <c r="AA137" s="15"/>
      <c r="AB137" s="3"/>
      <c r="AC137" s="3"/>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row>
    <row r="138" spans="18:57" x14ac:dyDescent="0.25">
      <c r="R138" s="29"/>
      <c r="S138" s="29"/>
      <c r="T138" s="15"/>
      <c r="U138" s="3"/>
      <c r="V138" s="3"/>
      <c r="W138" s="2"/>
      <c r="X138" s="2"/>
      <c r="Y138" s="29"/>
      <c r="Z138" s="29"/>
      <c r="AA138" s="15"/>
      <c r="AB138" s="3"/>
      <c r="AC138" s="3"/>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row>
    <row r="139" spans="18:57" x14ac:dyDescent="0.25">
      <c r="R139" s="29"/>
      <c r="S139" s="29"/>
      <c r="T139" s="15"/>
      <c r="U139" s="3"/>
      <c r="V139" s="3"/>
      <c r="W139" s="2"/>
      <c r="X139" s="2"/>
      <c r="Y139" s="29"/>
      <c r="Z139" s="29"/>
      <c r="AA139" s="15"/>
      <c r="AB139" s="3"/>
      <c r="AC139" s="3"/>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row>
    <row r="140" spans="18:57" x14ac:dyDescent="0.25">
      <c r="R140" s="29"/>
      <c r="S140" s="29"/>
      <c r="T140" s="15"/>
      <c r="U140" s="3"/>
      <c r="V140" s="3"/>
      <c r="W140" s="2"/>
      <c r="X140" s="2"/>
      <c r="Y140" s="29"/>
      <c r="Z140" s="29"/>
      <c r="AA140" s="15"/>
      <c r="AB140" s="3"/>
      <c r="AC140" s="3"/>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row>
    <row r="141" spans="18:57" x14ac:dyDescent="0.25">
      <c r="R141" s="29"/>
      <c r="S141" s="29"/>
      <c r="T141" s="15"/>
      <c r="U141" s="3"/>
      <c r="V141" s="3"/>
      <c r="W141" s="2"/>
      <c r="X141" s="2"/>
      <c r="Y141" s="29"/>
      <c r="Z141" s="29"/>
      <c r="AA141" s="15"/>
      <c r="AB141" s="3"/>
      <c r="AC141" s="3"/>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row>
    <row r="142" spans="18:57" x14ac:dyDescent="0.25">
      <c r="R142" s="29"/>
      <c r="S142" s="29"/>
      <c r="T142" s="15"/>
      <c r="U142" s="3"/>
      <c r="V142" s="3"/>
      <c r="W142" s="2"/>
      <c r="X142" s="2"/>
      <c r="Y142" s="29"/>
      <c r="Z142" s="29"/>
      <c r="AA142" s="15"/>
      <c r="AB142" s="3"/>
      <c r="AC142" s="3"/>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row>
    <row r="143" spans="18:57" x14ac:dyDescent="0.25">
      <c r="R143" s="29"/>
      <c r="S143" s="29"/>
      <c r="T143" s="15"/>
      <c r="U143" s="3"/>
      <c r="V143" s="3"/>
      <c r="W143" s="2"/>
      <c r="X143" s="2"/>
      <c r="Y143" s="29"/>
      <c r="Z143" s="29"/>
      <c r="AA143" s="15"/>
      <c r="AB143" s="3"/>
      <c r="AC143" s="3"/>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row>
    <row r="144" spans="18:57" x14ac:dyDescent="0.25">
      <c r="R144" s="29"/>
      <c r="S144" s="29"/>
      <c r="T144" s="15"/>
      <c r="U144" s="3"/>
      <c r="V144" s="3"/>
      <c r="W144" s="2"/>
      <c r="X144" s="2"/>
      <c r="Y144" s="29"/>
      <c r="Z144" s="29"/>
      <c r="AA144" s="15"/>
      <c r="AB144" s="3"/>
      <c r="AC144" s="3"/>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row>
    <row r="145" spans="18:57" x14ac:dyDescent="0.25">
      <c r="R145" s="29"/>
      <c r="S145" s="29"/>
      <c r="T145" s="15"/>
      <c r="U145" s="3"/>
      <c r="V145" s="3"/>
      <c r="W145" s="2"/>
      <c r="X145" s="2"/>
      <c r="Y145" s="29"/>
      <c r="Z145" s="29"/>
      <c r="AA145" s="15"/>
      <c r="AB145" s="3"/>
      <c r="AC145" s="3"/>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row>
    <row r="146" spans="18:57" x14ac:dyDescent="0.25">
      <c r="R146" s="29"/>
      <c r="S146" s="29"/>
      <c r="T146" s="15"/>
      <c r="U146" s="3"/>
      <c r="V146" s="3"/>
      <c r="W146" s="2"/>
      <c r="X146" s="2"/>
      <c r="Y146" s="29"/>
      <c r="Z146" s="29"/>
      <c r="AA146" s="15"/>
      <c r="AB146" s="3"/>
      <c r="AC146" s="3"/>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row>
    <row r="147" spans="18:57" x14ac:dyDescent="0.25">
      <c r="R147" s="29"/>
      <c r="S147" s="29"/>
      <c r="T147" s="15"/>
      <c r="U147" s="3"/>
      <c r="V147" s="3"/>
      <c r="W147" s="2"/>
      <c r="X147" s="2"/>
      <c r="Y147" s="29"/>
      <c r="Z147" s="29"/>
      <c r="AA147" s="15"/>
      <c r="AB147" s="3"/>
      <c r="AC147" s="3"/>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row>
    <row r="148" spans="18:57" x14ac:dyDescent="0.25">
      <c r="R148" s="29"/>
      <c r="S148" s="29"/>
      <c r="T148" s="15"/>
      <c r="U148" s="3"/>
      <c r="V148" s="3"/>
      <c r="W148" s="2"/>
      <c r="X148" s="2"/>
      <c r="Y148" s="29"/>
      <c r="Z148" s="29"/>
      <c r="AA148" s="15"/>
      <c r="AB148" s="3"/>
      <c r="AC148" s="3"/>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row>
    <row r="149" spans="18:57" x14ac:dyDescent="0.25">
      <c r="R149" s="29"/>
      <c r="S149" s="29"/>
      <c r="T149" s="15"/>
      <c r="U149" s="3"/>
      <c r="V149" s="3"/>
      <c r="W149" s="2"/>
      <c r="X149" s="2"/>
      <c r="Y149" s="29"/>
      <c r="Z149" s="29"/>
      <c r="AA149" s="15"/>
      <c r="AB149" s="3"/>
      <c r="AC149" s="3"/>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row>
    <row r="150" spans="18:57" x14ac:dyDescent="0.25">
      <c r="R150" s="29"/>
      <c r="S150" s="29"/>
      <c r="T150" s="15"/>
      <c r="U150" s="3"/>
      <c r="V150" s="3"/>
      <c r="W150" s="2"/>
      <c r="X150" s="2"/>
      <c r="Y150" s="29"/>
      <c r="Z150" s="29"/>
      <c r="AA150" s="15"/>
      <c r="AB150" s="3"/>
      <c r="AC150" s="3"/>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row>
    <row r="151" spans="18:57" x14ac:dyDescent="0.25">
      <c r="R151" s="29"/>
      <c r="S151" s="29"/>
      <c r="T151" s="15"/>
      <c r="U151" s="3"/>
      <c r="V151" s="3"/>
      <c r="W151" s="2"/>
      <c r="X151" s="2"/>
      <c r="Y151" s="29"/>
      <c r="Z151" s="29"/>
      <c r="AA151" s="15"/>
      <c r="AB151" s="3"/>
      <c r="AC151" s="3"/>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row>
    <row r="152" spans="18:57" x14ac:dyDescent="0.25">
      <c r="R152" s="29"/>
      <c r="S152" s="29"/>
      <c r="T152" s="15"/>
      <c r="U152" s="3"/>
      <c r="V152" s="3"/>
      <c r="W152" s="2"/>
      <c r="X152" s="2"/>
      <c r="Y152" s="29"/>
      <c r="Z152" s="29"/>
      <c r="AA152" s="15"/>
      <c r="AB152" s="3"/>
      <c r="AC152" s="3"/>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row>
    <row r="153" spans="18:57" x14ac:dyDescent="0.25">
      <c r="R153" s="29"/>
      <c r="S153" s="29"/>
      <c r="T153" s="15"/>
      <c r="U153" s="3"/>
      <c r="V153" s="3"/>
      <c r="W153" s="2"/>
      <c r="X153" s="2"/>
      <c r="Y153" s="29"/>
      <c r="Z153" s="29"/>
      <c r="AA153" s="15"/>
      <c r="AB153" s="3"/>
      <c r="AC153" s="3"/>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row>
    <row r="154" spans="18:57" x14ac:dyDescent="0.25">
      <c r="R154" s="29"/>
      <c r="S154" s="29"/>
      <c r="T154" s="15"/>
      <c r="U154" s="3"/>
      <c r="V154" s="3"/>
      <c r="W154" s="2"/>
      <c r="X154" s="2"/>
      <c r="Y154" s="29"/>
      <c r="Z154" s="29"/>
      <c r="AA154" s="15"/>
      <c r="AB154" s="3"/>
      <c r="AC154" s="3"/>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row>
    <row r="155" spans="18:57" x14ac:dyDescent="0.25">
      <c r="R155" s="29"/>
      <c r="S155" s="29"/>
      <c r="T155" s="15"/>
      <c r="U155" s="3"/>
      <c r="V155" s="3"/>
      <c r="W155" s="2"/>
      <c r="X155" s="2"/>
      <c r="Y155" s="29"/>
      <c r="Z155" s="29"/>
      <c r="AA155" s="15"/>
      <c r="AB155" s="3"/>
      <c r="AC155" s="3"/>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row>
    <row r="156" spans="18:57" x14ac:dyDescent="0.25">
      <c r="R156" s="29"/>
      <c r="S156" s="29"/>
      <c r="T156" s="15"/>
      <c r="U156" s="3"/>
      <c r="V156" s="3"/>
      <c r="W156" s="2"/>
      <c r="X156" s="2"/>
      <c r="Y156" s="29"/>
      <c r="Z156" s="29"/>
      <c r="AA156" s="15"/>
      <c r="AB156" s="3"/>
      <c r="AC156" s="3"/>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row>
    <row r="157" spans="18:57" x14ac:dyDescent="0.25">
      <c r="R157" s="29"/>
      <c r="S157" s="29"/>
      <c r="T157" s="15"/>
      <c r="U157" s="3"/>
      <c r="V157" s="3"/>
      <c r="W157" s="2"/>
      <c r="X157" s="2"/>
      <c r="Y157" s="29"/>
      <c r="Z157" s="29"/>
      <c r="AA157" s="15"/>
      <c r="AB157" s="3"/>
      <c r="AC157" s="3"/>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row>
    <row r="158" spans="18:57" x14ac:dyDescent="0.25">
      <c r="R158" s="29"/>
      <c r="S158" s="29"/>
      <c r="T158" s="15"/>
      <c r="U158" s="3"/>
      <c r="V158" s="3"/>
      <c r="W158" s="2"/>
      <c r="X158" s="2"/>
      <c r="Y158" s="29"/>
      <c r="Z158" s="29"/>
      <c r="AA158" s="15"/>
      <c r="AB158" s="3"/>
      <c r="AC158" s="3"/>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row>
    <row r="159" spans="18:57" x14ac:dyDescent="0.25">
      <c r="R159" s="29"/>
      <c r="S159" s="29"/>
      <c r="T159" s="15"/>
      <c r="U159" s="3"/>
      <c r="V159" s="3"/>
      <c r="W159" s="2"/>
      <c r="X159" s="2"/>
      <c r="Y159" s="29"/>
      <c r="Z159" s="29"/>
      <c r="AA159" s="15"/>
      <c r="AB159" s="3"/>
      <c r="AC159" s="3"/>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row>
    <row r="160" spans="18:57" x14ac:dyDescent="0.25">
      <c r="R160" s="29"/>
      <c r="S160" s="29"/>
      <c r="T160" s="15"/>
      <c r="U160" s="3"/>
      <c r="V160" s="3"/>
      <c r="W160" s="2"/>
      <c r="X160" s="2"/>
      <c r="Y160" s="29"/>
      <c r="Z160" s="29"/>
      <c r="AA160" s="15"/>
      <c r="AB160" s="3"/>
      <c r="AC160" s="3"/>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row>
    <row r="161" spans="18:57" x14ac:dyDescent="0.25">
      <c r="R161" s="29"/>
      <c r="S161" s="29"/>
      <c r="T161" s="15"/>
      <c r="U161" s="3"/>
      <c r="V161" s="3"/>
      <c r="W161" s="2"/>
      <c r="X161" s="2"/>
      <c r="Y161" s="29"/>
      <c r="Z161" s="29"/>
      <c r="AA161" s="15"/>
      <c r="AB161" s="3"/>
      <c r="AC161" s="3"/>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row>
    <row r="162" spans="18:57" x14ac:dyDescent="0.25">
      <c r="R162" s="29"/>
      <c r="S162" s="29"/>
      <c r="T162" s="15"/>
      <c r="U162" s="3"/>
      <c r="V162" s="3"/>
      <c r="W162" s="2"/>
      <c r="X162" s="2"/>
      <c r="Y162" s="29"/>
      <c r="Z162" s="29"/>
      <c r="AA162" s="15"/>
      <c r="AB162" s="3"/>
      <c r="AC162" s="3"/>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row>
    <row r="163" spans="18:57" x14ac:dyDescent="0.25">
      <c r="R163" s="29"/>
      <c r="S163" s="29"/>
      <c r="T163" s="15"/>
      <c r="U163" s="3"/>
      <c r="V163" s="3"/>
      <c r="W163" s="2"/>
      <c r="X163" s="2"/>
      <c r="Y163" s="29"/>
      <c r="Z163" s="29"/>
      <c r="AA163" s="15"/>
      <c r="AB163" s="3"/>
      <c r="AC163" s="3"/>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row>
    <row r="164" spans="18:57" x14ac:dyDescent="0.25">
      <c r="R164" s="29"/>
      <c r="S164" s="29"/>
      <c r="T164" s="15"/>
      <c r="U164" s="3"/>
      <c r="V164" s="3"/>
      <c r="W164" s="2"/>
      <c r="X164" s="2"/>
      <c r="Y164" s="29"/>
      <c r="Z164" s="29"/>
      <c r="AA164" s="15"/>
      <c r="AB164" s="3"/>
      <c r="AC164" s="3"/>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row>
    <row r="165" spans="18:57" x14ac:dyDescent="0.25">
      <c r="R165" s="29"/>
      <c r="S165" s="29"/>
      <c r="T165" s="15"/>
      <c r="U165" s="3"/>
      <c r="V165" s="3"/>
      <c r="W165" s="2"/>
      <c r="X165" s="2"/>
      <c r="Y165" s="29"/>
      <c r="Z165" s="29"/>
      <c r="AA165" s="15"/>
      <c r="AB165" s="3"/>
      <c r="AC165" s="3"/>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row>
    <row r="166" spans="18:57" x14ac:dyDescent="0.25">
      <c r="R166" s="29"/>
      <c r="S166" s="29"/>
      <c r="T166" s="15"/>
      <c r="U166" s="3"/>
      <c r="V166" s="3"/>
      <c r="W166" s="2"/>
      <c r="X166" s="2"/>
      <c r="Y166" s="29"/>
      <c r="Z166" s="29"/>
      <c r="AA166" s="15"/>
      <c r="AB166" s="3"/>
      <c r="AC166" s="3"/>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row>
    <row r="167" spans="18:57" x14ac:dyDescent="0.25">
      <c r="R167" s="29"/>
      <c r="S167" s="29"/>
      <c r="T167" s="15"/>
      <c r="U167" s="3"/>
      <c r="V167" s="3"/>
      <c r="W167" s="2"/>
      <c r="X167" s="2"/>
      <c r="Y167" s="29"/>
      <c r="Z167" s="29"/>
      <c r="AA167" s="15"/>
      <c r="AB167" s="3"/>
      <c r="AC167" s="3"/>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row>
    <row r="168" spans="18:57" x14ac:dyDescent="0.25">
      <c r="R168" s="29"/>
      <c r="S168" s="29"/>
      <c r="T168" s="15"/>
      <c r="U168" s="3"/>
      <c r="V168" s="3"/>
      <c r="W168" s="2"/>
      <c r="X168" s="2"/>
      <c r="Y168" s="29"/>
      <c r="Z168" s="29"/>
      <c r="AA168" s="15"/>
      <c r="AB168" s="3"/>
      <c r="AC168" s="3"/>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row>
    <row r="169" spans="18:57" x14ac:dyDescent="0.25">
      <c r="R169" s="29"/>
      <c r="S169" s="29"/>
      <c r="T169" s="15"/>
      <c r="U169" s="3"/>
      <c r="V169" s="3"/>
      <c r="W169" s="2"/>
      <c r="X169" s="2"/>
      <c r="Y169" s="29"/>
      <c r="Z169" s="29"/>
      <c r="AA169" s="15"/>
      <c r="AB169" s="3"/>
      <c r="AC169" s="3"/>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row>
    <row r="170" spans="18:57" x14ac:dyDescent="0.25">
      <c r="R170" s="29"/>
      <c r="S170" s="29"/>
      <c r="T170" s="15"/>
      <c r="U170" s="3"/>
      <c r="V170" s="3"/>
      <c r="W170" s="2"/>
      <c r="X170" s="2"/>
      <c r="Y170" s="29"/>
      <c r="Z170" s="29"/>
      <c r="AA170" s="15"/>
      <c r="AB170" s="3"/>
      <c r="AC170" s="3"/>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row>
    <row r="171" spans="18:57" x14ac:dyDescent="0.25">
      <c r="R171" s="29"/>
      <c r="S171" s="29"/>
      <c r="T171" s="15"/>
      <c r="U171" s="3"/>
      <c r="V171" s="3"/>
      <c r="W171" s="2"/>
      <c r="X171" s="2"/>
      <c r="Y171" s="29"/>
      <c r="Z171" s="29"/>
      <c r="AA171" s="15"/>
      <c r="AB171" s="3"/>
      <c r="AC171" s="3"/>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row>
    <row r="172" spans="18:57" x14ac:dyDescent="0.25">
      <c r="R172" s="29"/>
      <c r="S172" s="29"/>
      <c r="T172" s="15"/>
      <c r="U172" s="3"/>
      <c r="V172" s="3"/>
      <c r="W172" s="2"/>
      <c r="X172" s="2"/>
      <c r="Y172" s="29"/>
      <c r="Z172" s="29"/>
      <c r="AA172" s="15"/>
      <c r="AB172" s="3"/>
      <c r="AC172" s="3"/>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row>
    <row r="173" spans="18:57" x14ac:dyDescent="0.25">
      <c r="R173" s="29"/>
      <c r="S173" s="29"/>
      <c r="T173" s="15"/>
      <c r="U173" s="3"/>
      <c r="V173" s="3"/>
      <c r="W173" s="2"/>
      <c r="X173" s="2"/>
      <c r="Y173" s="29"/>
      <c r="Z173" s="29"/>
      <c r="AA173" s="15"/>
      <c r="AB173" s="3"/>
      <c r="AC173" s="3"/>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row>
    <row r="174" spans="18:57" x14ac:dyDescent="0.25">
      <c r="R174" s="29"/>
      <c r="S174" s="29"/>
      <c r="T174" s="15"/>
      <c r="U174" s="3"/>
      <c r="V174" s="3"/>
      <c r="W174" s="2"/>
      <c r="X174" s="2"/>
      <c r="Y174" s="29"/>
      <c r="Z174" s="29"/>
      <c r="AA174" s="15"/>
      <c r="AB174" s="3"/>
      <c r="AC174" s="3"/>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row>
    <row r="175" spans="18:57" x14ac:dyDescent="0.25">
      <c r="R175" s="29"/>
      <c r="S175" s="29"/>
      <c r="T175" s="15"/>
      <c r="U175" s="3"/>
      <c r="V175" s="3"/>
      <c r="W175" s="2"/>
      <c r="X175" s="2"/>
      <c r="Y175" s="29"/>
      <c r="Z175" s="29"/>
      <c r="AA175" s="15"/>
      <c r="AB175" s="3"/>
      <c r="AC175" s="3"/>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row>
    <row r="176" spans="18:57" x14ac:dyDescent="0.25">
      <c r="R176" s="29"/>
      <c r="S176" s="29"/>
      <c r="T176" s="15"/>
      <c r="U176" s="3"/>
      <c r="V176" s="3"/>
      <c r="W176" s="2"/>
      <c r="X176" s="2"/>
      <c r="Y176" s="29"/>
      <c r="Z176" s="29"/>
      <c r="AA176" s="15"/>
      <c r="AB176" s="3"/>
      <c r="AC176" s="3"/>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row>
    <row r="177" spans="18:57" x14ac:dyDescent="0.25">
      <c r="R177" s="29"/>
      <c r="S177" s="29"/>
      <c r="T177" s="15"/>
      <c r="U177" s="3"/>
      <c r="V177" s="3"/>
      <c r="W177" s="2"/>
      <c r="X177" s="2"/>
      <c r="Y177" s="29"/>
      <c r="Z177" s="29"/>
      <c r="AA177" s="15"/>
      <c r="AB177" s="3"/>
      <c r="AC177" s="3"/>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row>
    <row r="178" spans="18:57" x14ac:dyDescent="0.25">
      <c r="R178" s="29"/>
      <c r="S178" s="29"/>
      <c r="T178" s="15"/>
      <c r="U178" s="3"/>
      <c r="V178" s="3"/>
      <c r="W178" s="2"/>
      <c r="X178" s="2"/>
      <c r="Y178" s="29"/>
      <c r="Z178" s="29"/>
      <c r="AA178" s="15"/>
      <c r="AB178" s="3"/>
      <c r="AC178" s="3"/>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row>
    <row r="179" spans="18:57" x14ac:dyDescent="0.25">
      <c r="R179" s="29"/>
      <c r="S179" s="29"/>
      <c r="T179" s="15"/>
      <c r="U179" s="3"/>
      <c r="V179" s="3"/>
      <c r="W179" s="2"/>
      <c r="X179" s="2"/>
      <c r="Y179" s="29"/>
      <c r="Z179" s="29"/>
      <c r="AA179" s="15"/>
      <c r="AB179" s="3"/>
      <c r="AC179" s="3"/>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row>
    <row r="180" spans="18:57" x14ac:dyDescent="0.25">
      <c r="R180" s="29"/>
      <c r="S180" s="29"/>
      <c r="T180" s="15"/>
      <c r="U180" s="3"/>
      <c r="V180" s="3"/>
      <c r="W180" s="2"/>
      <c r="X180" s="2"/>
      <c r="Y180" s="29"/>
      <c r="Z180" s="29"/>
      <c r="AA180" s="15"/>
      <c r="AB180" s="3"/>
      <c r="AC180" s="3"/>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row>
    <row r="181" spans="18:57" x14ac:dyDescent="0.25">
      <c r="R181" s="29"/>
      <c r="S181" s="29"/>
      <c r="T181" s="15"/>
      <c r="U181" s="3"/>
      <c r="V181" s="3"/>
      <c r="W181" s="2"/>
      <c r="X181" s="2"/>
      <c r="Y181" s="29"/>
      <c r="Z181" s="29"/>
      <c r="AA181" s="15"/>
      <c r="AB181" s="3"/>
      <c r="AC181" s="3"/>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row>
    <row r="182" spans="18:57" x14ac:dyDescent="0.25">
      <c r="R182" s="29"/>
      <c r="S182" s="29"/>
      <c r="T182" s="15"/>
      <c r="U182" s="3"/>
      <c r="V182" s="3"/>
      <c r="W182" s="2"/>
      <c r="X182" s="2"/>
      <c r="Y182" s="29"/>
      <c r="Z182" s="29"/>
      <c r="AA182" s="15"/>
      <c r="AB182" s="3"/>
      <c r="AC182" s="3"/>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row>
    <row r="183" spans="18:57" x14ac:dyDescent="0.25">
      <c r="R183" s="29"/>
      <c r="S183" s="29"/>
      <c r="T183" s="15"/>
      <c r="U183" s="3"/>
      <c r="V183" s="3"/>
      <c r="W183" s="2"/>
      <c r="X183" s="2"/>
      <c r="Y183" s="29"/>
      <c r="Z183" s="29"/>
      <c r="AA183" s="15"/>
      <c r="AB183" s="3"/>
      <c r="AC183" s="3"/>
      <c r="AD183" s="2"/>
      <c r="AE183" s="2"/>
      <c r="AK183" s="2"/>
      <c r="AL183" s="2"/>
      <c r="AM183" s="2"/>
      <c r="AN183" s="2"/>
      <c r="AO183" s="2"/>
      <c r="AP183" s="2"/>
      <c r="AQ183" s="2"/>
      <c r="AR183" s="2"/>
      <c r="AS183" s="2"/>
      <c r="AT183" s="2"/>
      <c r="AU183" s="2"/>
      <c r="AV183" s="2"/>
      <c r="AW183" s="2"/>
      <c r="AX183" s="2"/>
      <c r="AY183" s="2"/>
      <c r="AZ183" s="2"/>
      <c r="BA183" s="2"/>
      <c r="BB183" s="2"/>
      <c r="BC183" s="2"/>
      <c r="BD183" s="2"/>
      <c r="BE183" s="2"/>
    </row>
    <row r="184" spans="18:57" x14ac:dyDescent="0.25">
      <c r="R184" s="29"/>
      <c r="S184" s="29"/>
      <c r="T184" s="15"/>
      <c r="U184" s="3"/>
      <c r="V184" s="3"/>
      <c r="W184" s="2"/>
      <c r="X184" s="2"/>
      <c r="Y184" s="29"/>
      <c r="Z184" s="29"/>
      <c r="AA184" s="15"/>
      <c r="AB184" s="3"/>
      <c r="AC184" s="3"/>
      <c r="AD184" s="2"/>
      <c r="AE184" s="2"/>
      <c r="AK184" s="2"/>
      <c r="AL184" s="2"/>
      <c r="AM184" s="2"/>
      <c r="AN184" s="2"/>
      <c r="AO184" s="2"/>
      <c r="AP184" s="2"/>
      <c r="AQ184" s="2"/>
      <c r="AS184" s="2"/>
      <c r="AT184" s="2"/>
      <c r="AU184" s="2"/>
      <c r="AV184" s="2"/>
      <c r="AW184" s="2"/>
      <c r="AX184" s="2"/>
      <c r="AY184" s="2"/>
      <c r="AZ184" s="2"/>
      <c r="BA184" s="2"/>
      <c r="BB184" s="2"/>
      <c r="BC184" s="2"/>
      <c r="BD184" s="2"/>
      <c r="BE184" s="2"/>
    </row>
    <row r="185" spans="18:57" x14ac:dyDescent="0.25">
      <c r="R185" s="29"/>
      <c r="S185" s="29"/>
      <c r="T185" s="15"/>
      <c r="U185" s="3"/>
      <c r="V185" s="3"/>
      <c r="W185" s="2"/>
      <c r="X185" s="2"/>
      <c r="Y185" s="29"/>
      <c r="Z185" s="29"/>
      <c r="AA185" s="15"/>
      <c r="AB185" s="3"/>
      <c r="AC185" s="3"/>
      <c r="AD185" s="2"/>
      <c r="AE185" s="2"/>
      <c r="AK185" s="2"/>
      <c r="AL185" s="2"/>
      <c r="AM185" s="2"/>
      <c r="AN185" s="2"/>
      <c r="AO185" s="2"/>
      <c r="AP185" s="2"/>
      <c r="AQ185" s="2"/>
      <c r="AS185" s="2"/>
      <c r="AT185" s="2"/>
      <c r="AU185" s="2"/>
      <c r="AV185" s="2"/>
      <c r="AW185" s="2"/>
      <c r="AX185" s="2"/>
      <c r="AY185" s="2"/>
      <c r="AZ185" s="2"/>
      <c r="BA185" s="2"/>
      <c r="BB185" s="2"/>
      <c r="BC185" s="2"/>
      <c r="BD185" s="2"/>
      <c r="BE185" s="2"/>
    </row>
    <row r="186" spans="18:57" x14ac:dyDescent="0.25">
      <c r="R186" s="29"/>
      <c r="S186" s="29"/>
      <c r="T186" s="15"/>
      <c r="U186" s="3"/>
      <c r="V186" s="3"/>
      <c r="W186" s="2"/>
      <c r="X186" s="2"/>
      <c r="Y186" s="29"/>
      <c r="Z186" s="29"/>
      <c r="AA186" s="15"/>
      <c r="AB186" s="3"/>
      <c r="AC186" s="3"/>
      <c r="AD186" s="2"/>
      <c r="AE186" s="2"/>
      <c r="AK186" s="2"/>
      <c r="AL186" s="2"/>
      <c r="AM186" s="2"/>
      <c r="AN186" s="2"/>
      <c r="AO186" s="2"/>
      <c r="AP186" s="2"/>
      <c r="AQ186" s="2"/>
      <c r="AS186" s="2"/>
      <c r="AT186" s="2"/>
      <c r="AU186" s="2"/>
      <c r="AV186" s="2"/>
      <c r="AW186" s="2"/>
      <c r="AX186" s="2"/>
      <c r="AY186" s="2"/>
      <c r="AZ186" s="2"/>
      <c r="BA186" s="2"/>
      <c r="BB186" s="2"/>
      <c r="BC186" s="2"/>
      <c r="BD186" s="2"/>
      <c r="BE186" s="2"/>
    </row>
    <row r="187" spans="18:57" x14ac:dyDescent="0.25">
      <c r="R187" s="29"/>
      <c r="S187" s="29"/>
      <c r="T187" s="15"/>
      <c r="U187" s="3"/>
      <c r="V187" s="3"/>
      <c r="W187" s="2"/>
      <c r="X187" s="2"/>
      <c r="Y187" s="29"/>
      <c r="Z187" s="29"/>
      <c r="AA187" s="15"/>
      <c r="AB187" s="3"/>
      <c r="AC187" s="3"/>
      <c r="AD187" s="2"/>
      <c r="AE187" s="2"/>
      <c r="AK187" s="2"/>
      <c r="AL187" s="2"/>
      <c r="AM187" s="2"/>
      <c r="AN187" s="2"/>
      <c r="AO187" s="2"/>
      <c r="AP187" s="2"/>
      <c r="AQ187" s="2"/>
      <c r="AS187" s="2"/>
      <c r="AT187" s="2"/>
      <c r="AU187" s="2"/>
      <c r="AV187" s="2"/>
      <c r="AW187" s="2"/>
      <c r="AX187" s="2"/>
      <c r="AY187" s="2"/>
      <c r="AZ187" s="2"/>
      <c r="BA187" s="2"/>
      <c r="BB187" s="2"/>
      <c r="BC187" s="2"/>
      <c r="BD187" s="2"/>
      <c r="BE187" s="2"/>
    </row>
    <row r="188" spans="18:57" x14ac:dyDescent="0.25">
      <c r="R188" s="29"/>
      <c r="S188" s="29"/>
      <c r="T188" s="15"/>
      <c r="U188" s="3"/>
      <c r="V188" s="3"/>
      <c r="W188" s="2"/>
      <c r="X188" s="2"/>
      <c r="Y188" s="29"/>
      <c r="Z188" s="29"/>
      <c r="AA188" s="15"/>
      <c r="AB188" s="3"/>
      <c r="AC188" s="3"/>
      <c r="AD188" s="2"/>
      <c r="AE188" s="2"/>
      <c r="AS188" s="2"/>
      <c r="AT188" s="2"/>
      <c r="AU188" s="2"/>
      <c r="AV188" s="2"/>
      <c r="AW188" s="2"/>
      <c r="AX188" s="2"/>
      <c r="AY188" s="2"/>
      <c r="AZ188" s="2"/>
      <c r="BA188" s="2"/>
      <c r="BB188" s="2"/>
      <c r="BC188" s="2"/>
      <c r="BD188" s="2"/>
      <c r="BE188" s="2"/>
    </row>
    <row r="189" spans="18:57" x14ac:dyDescent="0.25">
      <c r="R189" s="29"/>
      <c r="S189" s="29"/>
      <c r="T189" s="15"/>
      <c r="U189" s="3"/>
      <c r="V189" s="3"/>
      <c r="W189" s="2"/>
      <c r="X189" s="2"/>
      <c r="Y189" s="29"/>
      <c r="Z189" s="29"/>
      <c r="AA189" s="15"/>
      <c r="AB189" s="3"/>
      <c r="AC189" s="3"/>
      <c r="AD189" s="2"/>
      <c r="AE189" s="2"/>
    </row>
    <row r="190" spans="18:57" x14ac:dyDescent="0.25">
      <c r="R190" s="29"/>
      <c r="S190" s="29"/>
      <c r="T190" s="15"/>
      <c r="U190" s="3"/>
      <c r="V190" s="3"/>
      <c r="W190" s="2"/>
      <c r="X190" s="2"/>
      <c r="Y190" s="29"/>
      <c r="Z190" s="29"/>
      <c r="AA190" s="15"/>
      <c r="AB190" s="3"/>
      <c r="AC190" s="3"/>
      <c r="AD190" s="2"/>
      <c r="AE190" s="2"/>
    </row>
    <row r="191" spans="18:57" x14ac:dyDescent="0.25">
      <c r="R191" s="29"/>
      <c r="S191" s="29"/>
      <c r="T191" s="15"/>
      <c r="U191" s="3"/>
      <c r="V191" s="3"/>
      <c r="W191" s="2"/>
      <c r="X191" s="2"/>
      <c r="Y191" s="29"/>
      <c r="Z191" s="29"/>
      <c r="AA191" s="15"/>
      <c r="AB191" s="3"/>
      <c r="AC191" s="3"/>
      <c r="AD191" s="2"/>
      <c r="AE191" s="2"/>
    </row>
    <row r="192" spans="18:57" x14ac:dyDescent="0.25">
      <c r="R192" s="29"/>
      <c r="S192" s="29"/>
      <c r="T192" s="15"/>
      <c r="U192" s="3"/>
      <c r="V192" s="3"/>
      <c r="W192" s="2"/>
      <c r="X192" s="2"/>
      <c r="Y192" s="29"/>
      <c r="Z192" s="29"/>
      <c r="AA192" s="15"/>
      <c r="AB192" s="3"/>
      <c r="AC192" s="3"/>
      <c r="AD192" s="2"/>
      <c r="AE192" s="2"/>
    </row>
  </sheetData>
  <mergeCells count="1689">
    <mergeCell ref="CO76:CO78"/>
    <mergeCell ref="BU88:BW88"/>
    <mergeCell ref="CM66:CM67"/>
    <mergeCell ref="CM71:CM73"/>
    <mergeCell ref="CM75:CM77"/>
    <mergeCell ref="CM80:CM81"/>
    <mergeCell ref="CL1:CN1"/>
    <mergeCell ref="CM2:CM3"/>
    <mergeCell ref="CA2:CA3"/>
    <mergeCell ref="CM9:CM11"/>
    <mergeCell ref="CM14:CM15"/>
    <mergeCell ref="CM19:CM20"/>
    <mergeCell ref="CM21:CM24"/>
    <mergeCell ref="CM37:CM39"/>
    <mergeCell ref="CM44:CM45"/>
    <mergeCell ref="CM51:CM52"/>
    <mergeCell ref="CM56:CM57"/>
    <mergeCell ref="CM46:CM47"/>
    <mergeCell ref="CL2:CL3"/>
    <mergeCell ref="CL9:CL11"/>
    <mergeCell ref="CL14:CL15"/>
    <mergeCell ref="CL21:CL24"/>
    <mergeCell ref="CL37:CL39"/>
    <mergeCell ref="CL44:CL45"/>
    <mergeCell ref="CL46:CL47"/>
    <mergeCell ref="CL51:CL52"/>
    <mergeCell ref="CL53:CL54"/>
    <mergeCell ref="CL56:CL57"/>
    <mergeCell ref="CL66:CL67"/>
    <mergeCell ref="CL71:CL73"/>
    <mergeCell ref="CA9:CA11"/>
    <mergeCell ref="CL75:CL77"/>
    <mergeCell ref="CM53:CM54"/>
    <mergeCell ref="CN2:CN3"/>
    <mergeCell ref="CN9:CN11"/>
    <mergeCell ref="CN14:CN15"/>
    <mergeCell ref="CN21:CN24"/>
    <mergeCell ref="CN37:CN39"/>
    <mergeCell ref="CN44:CN45"/>
    <mergeCell ref="CN46:CN47"/>
    <mergeCell ref="CN51:CN52"/>
    <mergeCell ref="CN53:CN54"/>
    <mergeCell ref="CN66:CN67"/>
    <mergeCell ref="CN71:CN73"/>
    <mergeCell ref="CN75:CN77"/>
    <mergeCell ref="CC46:CC47"/>
    <mergeCell ref="CN19:CN20"/>
    <mergeCell ref="CN56:CN57"/>
    <mergeCell ref="CC75:CC77"/>
    <mergeCell ref="CD14:CD15"/>
    <mergeCell ref="CE14:CE15"/>
    <mergeCell ref="CF14:CF15"/>
    <mergeCell ref="CG14:CG15"/>
    <mergeCell ref="CH14:CH15"/>
    <mergeCell ref="CI14:CI15"/>
    <mergeCell ref="CJ14:CJ15"/>
    <mergeCell ref="CK14:CK15"/>
    <mergeCell ref="CG16:CG17"/>
    <mergeCell ref="CH16:CH17"/>
    <mergeCell ref="CK16:CK17"/>
    <mergeCell ref="CG18:CG20"/>
    <mergeCell ref="CH18:CH20"/>
    <mergeCell ref="CI18:CI20"/>
    <mergeCell ref="CE19:CE20"/>
    <mergeCell ref="CN80:CN81"/>
    <mergeCell ref="CM27:CM28"/>
    <mergeCell ref="CL27:CL28"/>
    <mergeCell ref="CA66:CA67"/>
    <mergeCell ref="CA71:CA73"/>
    <mergeCell ref="CA75:CA77"/>
    <mergeCell ref="CA55:CA57"/>
    <mergeCell ref="CA60:CA61"/>
    <mergeCell ref="CA62:CA63"/>
    <mergeCell ref="BE82:BE85"/>
    <mergeCell ref="BG27:BG29"/>
    <mergeCell ref="BG42:BG45"/>
    <mergeCell ref="BG56:BG57"/>
    <mergeCell ref="BG66:BG70"/>
    <mergeCell ref="BZ75:BZ77"/>
    <mergeCell ref="CB75:CB77"/>
    <mergeCell ref="BZ55:BZ57"/>
    <mergeCell ref="CC55:CC57"/>
    <mergeCell ref="BW56:BW57"/>
    <mergeCell ref="BX56:BX57"/>
    <mergeCell ref="CB56:CB57"/>
    <mergeCell ref="BY60:BY61"/>
    <mergeCell ref="BZ60:BZ61"/>
    <mergeCell ref="BV51:BV52"/>
    <mergeCell ref="CB80:CB81"/>
    <mergeCell ref="BW51:BW52"/>
    <mergeCell ref="BX51:BX52"/>
    <mergeCell ref="BY51:BY52"/>
    <mergeCell ref="BZ51:BZ52"/>
    <mergeCell ref="CB51:CB52"/>
    <mergeCell ref="CC51:CC52"/>
    <mergeCell ref="CL80:CL81"/>
    <mergeCell ref="BV53:BV54"/>
    <mergeCell ref="BX53:BX54"/>
    <mergeCell ref="BY53:BY54"/>
    <mergeCell ref="BZ53:BZ54"/>
    <mergeCell ref="CB53:CB54"/>
    <mergeCell ref="CC53:CC54"/>
    <mergeCell ref="BZ46:BZ47"/>
    <mergeCell ref="CB46:CB47"/>
    <mergeCell ref="CA80:CA81"/>
    <mergeCell ref="AZ73:AZ74"/>
    <mergeCell ref="AZ75:AZ76"/>
    <mergeCell ref="AZ79:AZ80"/>
    <mergeCell ref="BA19:BA20"/>
    <mergeCell ref="BD4:BD8"/>
    <mergeCell ref="BE4:BE8"/>
    <mergeCell ref="BD12:BD15"/>
    <mergeCell ref="BE12:BE15"/>
    <mergeCell ref="BD31:BD34"/>
    <mergeCell ref="BE31:BE34"/>
    <mergeCell ref="BD42:BD45"/>
    <mergeCell ref="BE42:BE45"/>
    <mergeCell ref="BD56:BD57"/>
    <mergeCell ref="BE56:BE57"/>
    <mergeCell ref="BD66:BD70"/>
    <mergeCell ref="BE66:BE70"/>
    <mergeCell ref="BY49:BY50"/>
    <mergeCell ref="BZ49:BZ50"/>
    <mergeCell ref="CA46:CA47"/>
    <mergeCell ref="CA51:CA52"/>
    <mergeCell ref="CA53:CA54"/>
    <mergeCell ref="BV37:BV39"/>
    <mergeCell ref="BW37:BW39"/>
    <mergeCell ref="BY37:BY39"/>
    <mergeCell ref="BZ37:BZ39"/>
    <mergeCell ref="BF82:BF85"/>
    <mergeCell ref="BA66:BA67"/>
    <mergeCell ref="BB66:BB67"/>
    <mergeCell ref="BD60:BD61"/>
    <mergeCell ref="BF60:BF61"/>
    <mergeCell ref="BC56:BC57"/>
    <mergeCell ref="BF56:BF57"/>
    <mergeCell ref="BC51:BC52"/>
    <mergeCell ref="BD51:BD52"/>
    <mergeCell ref="BE51:BE52"/>
    <mergeCell ref="BF51:BF52"/>
    <mergeCell ref="BD16:BD17"/>
    <mergeCell ref="BE16:BE17"/>
    <mergeCell ref="BF16:BF17"/>
    <mergeCell ref="BT78:BT81"/>
    <mergeCell ref="BH80:BH81"/>
    <mergeCell ref="BI80:BI81"/>
    <mergeCell ref="BJ80:BJ81"/>
    <mergeCell ref="BK80:BK81"/>
    <mergeCell ref="BL80:BL81"/>
    <mergeCell ref="BN80:BN81"/>
    <mergeCell ref="BO80:BO81"/>
    <mergeCell ref="BS80:BS81"/>
    <mergeCell ref="BU80:BU81"/>
    <mergeCell ref="BH75:BH77"/>
    <mergeCell ref="BI75:BI77"/>
    <mergeCell ref="BJ75:BJ77"/>
    <mergeCell ref="BK75:BK77"/>
    <mergeCell ref="BL75:BL77"/>
    <mergeCell ref="BW53:BW54"/>
    <mergeCell ref="BM78:BM81"/>
    <mergeCell ref="BF7:BF8"/>
    <mergeCell ref="BD82:BD85"/>
    <mergeCell ref="AY4:AY6"/>
    <mergeCell ref="BD62:BD63"/>
    <mergeCell ref="BE62:BE63"/>
    <mergeCell ref="BF62:BF63"/>
    <mergeCell ref="BA56:BA57"/>
    <mergeCell ref="BB56:BB57"/>
    <mergeCell ref="BC46:BC47"/>
    <mergeCell ref="BD46:BD47"/>
    <mergeCell ref="BE46:BE47"/>
    <mergeCell ref="BF46:BF47"/>
    <mergeCell ref="AW75:AW76"/>
    <mergeCell ref="AX75:AX76"/>
    <mergeCell ref="AW79:AW80"/>
    <mergeCell ref="AX79:AX80"/>
    <mergeCell ref="AW81:AW84"/>
    <mergeCell ref="AX81:AX84"/>
    <mergeCell ref="AZ15:AZ16"/>
    <mergeCell ref="AZ17:AZ19"/>
    <mergeCell ref="AZ20:AZ21"/>
    <mergeCell ref="AZ22:AZ23"/>
    <mergeCell ref="AZ26:AZ27"/>
    <mergeCell ref="AZ29:AZ30"/>
    <mergeCell ref="AZ37:AZ38"/>
    <mergeCell ref="AZ43:AZ44"/>
    <mergeCell ref="AZ45:AZ46"/>
    <mergeCell ref="AZ50:AZ51"/>
    <mergeCell ref="AZ52:AZ53"/>
    <mergeCell ref="AZ55:AZ56"/>
    <mergeCell ref="AZ59:AZ60"/>
    <mergeCell ref="AZ65:AZ66"/>
    <mergeCell ref="AZ67:AZ68"/>
    <mergeCell ref="AZ70:AZ72"/>
    <mergeCell ref="AY82:AY85"/>
    <mergeCell ref="AY66:AY70"/>
    <mergeCell ref="AY60:AY61"/>
    <mergeCell ref="AY62:AY63"/>
    <mergeCell ref="AY56:AY57"/>
    <mergeCell ref="AW4:AW6"/>
    <mergeCell ref="AX4:AX6"/>
    <mergeCell ref="AW17:AW19"/>
    <mergeCell ref="AX17:AX19"/>
    <mergeCell ref="AW20:AW21"/>
    <mergeCell ref="AX20:AX21"/>
    <mergeCell ref="AW22:AW23"/>
    <mergeCell ref="AX22:AX23"/>
    <mergeCell ref="AW26:AW27"/>
    <mergeCell ref="AX26:AX27"/>
    <mergeCell ref="AW7:AW8"/>
    <mergeCell ref="AX7:AX8"/>
    <mergeCell ref="AY7:AY8"/>
    <mergeCell ref="AT59:AT60"/>
    <mergeCell ref="AU59:AU60"/>
    <mergeCell ref="AT70:AT72"/>
    <mergeCell ref="AU70:AU72"/>
    <mergeCell ref="AT73:AT74"/>
    <mergeCell ref="AU73:AU74"/>
    <mergeCell ref="AW65:AW66"/>
    <mergeCell ref="AX65:AX66"/>
    <mergeCell ref="AW67:AW68"/>
    <mergeCell ref="AV66:AV67"/>
    <mergeCell ref="AX67:AX68"/>
    <mergeCell ref="AW70:AW72"/>
    <mergeCell ref="AX70:AX72"/>
    <mergeCell ref="AW59:AW60"/>
    <mergeCell ref="AX59:AX60"/>
    <mergeCell ref="AV56:AV57"/>
    <mergeCell ref="AW73:AW74"/>
    <mergeCell ref="AX73:AX74"/>
    <mergeCell ref="AT66:AT67"/>
    <mergeCell ref="AU66:AU67"/>
    <mergeCell ref="AW55:AW56"/>
    <mergeCell ref="AX55:AX56"/>
    <mergeCell ref="AP20:AP23"/>
    <mergeCell ref="AQ20:AQ23"/>
    <mergeCell ref="AT75:AT76"/>
    <mergeCell ref="AU75:AU76"/>
    <mergeCell ref="AS65:AS69"/>
    <mergeCell ref="AS70:AS72"/>
    <mergeCell ref="AS74:AS76"/>
    <mergeCell ref="AS79:AS80"/>
    <mergeCell ref="AT18:AT19"/>
    <mergeCell ref="AU18:AU19"/>
    <mergeCell ref="AT20:AT21"/>
    <mergeCell ref="AU20:AU21"/>
    <mergeCell ref="AT22:AT23"/>
    <mergeCell ref="AU22:AU23"/>
    <mergeCell ref="AT26:AT27"/>
    <mergeCell ref="AU26:AU27"/>
    <mergeCell ref="AT29:AT30"/>
    <mergeCell ref="AU29:AU30"/>
    <mergeCell ref="AT37:AT38"/>
    <mergeCell ref="AU37:AU38"/>
    <mergeCell ref="AT43:AT44"/>
    <mergeCell ref="AU43:AU44"/>
    <mergeCell ref="AT45:AT46"/>
    <mergeCell ref="AU45:AU46"/>
    <mergeCell ref="AT50:AT51"/>
    <mergeCell ref="AU50:AU51"/>
    <mergeCell ref="AT52:AT53"/>
    <mergeCell ref="AU52:AU53"/>
    <mergeCell ref="AT79:AT80"/>
    <mergeCell ref="AU79:AU80"/>
    <mergeCell ref="AT55:AT56"/>
    <mergeCell ref="AU55:AU56"/>
    <mergeCell ref="AF18:AF19"/>
    <mergeCell ref="AG18:AG19"/>
    <mergeCell ref="AP79:AP80"/>
    <mergeCell ref="AQ79:AQ80"/>
    <mergeCell ref="AP81:AP84"/>
    <mergeCell ref="AQ81:AQ84"/>
    <mergeCell ref="AS12:AS14"/>
    <mergeCell ref="AS15:AS16"/>
    <mergeCell ref="AS17:AS19"/>
    <mergeCell ref="AS20:AS23"/>
    <mergeCell ref="AS26:AS28"/>
    <mergeCell ref="AS30:AS33"/>
    <mergeCell ref="AS36:AS38"/>
    <mergeCell ref="AS41:AS42"/>
    <mergeCell ref="AS43:AS44"/>
    <mergeCell ref="AS45:AS46"/>
    <mergeCell ref="AS48:AS49"/>
    <mergeCell ref="AS50:AS51"/>
    <mergeCell ref="AS52:AS53"/>
    <mergeCell ref="AS54:AS56"/>
    <mergeCell ref="AS59:AS60"/>
    <mergeCell ref="AS61:AS62"/>
    <mergeCell ref="AP52:AP53"/>
    <mergeCell ref="AQ52:AQ53"/>
    <mergeCell ref="AP54:AP56"/>
    <mergeCell ref="AQ54:AQ56"/>
    <mergeCell ref="AP59:AP60"/>
    <mergeCell ref="AQ59:AQ60"/>
    <mergeCell ref="AP61:AP62"/>
    <mergeCell ref="AQ61:AQ62"/>
    <mergeCell ref="AP12:AP14"/>
    <mergeCell ref="AQ12:AQ14"/>
    <mergeCell ref="AP26:AP28"/>
    <mergeCell ref="AQ26:AQ28"/>
    <mergeCell ref="BY62:BY63"/>
    <mergeCell ref="BV56:BV57"/>
    <mergeCell ref="AP30:AP33"/>
    <mergeCell ref="AQ30:AQ33"/>
    <mergeCell ref="AP36:AP38"/>
    <mergeCell ref="AQ36:AQ38"/>
    <mergeCell ref="AP41:AP42"/>
    <mergeCell ref="AQ41:AQ42"/>
    <mergeCell ref="AP43:AP44"/>
    <mergeCell ref="AQ43:AQ44"/>
    <mergeCell ref="AP45:AP46"/>
    <mergeCell ref="R8:R9"/>
    <mergeCell ref="Y8:Y9"/>
    <mergeCell ref="Z57:Z58"/>
    <mergeCell ref="AE20:AE21"/>
    <mergeCell ref="AE27:AE28"/>
    <mergeCell ref="AE29:AE30"/>
    <mergeCell ref="AE32:AE34"/>
    <mergeCell ref="AE37:AE38"/>
    <mergeCell ref="AE41:AE42"/>
    <mergeCell ref="AE44:AE49"/>
    <mergeCell ref="AE52:AE54"/>
    <mergeCell ref="AE56:AE58"/>
    <mergeCell ref="AF55:AF56"/>
    <mergeCell ref="AG55:AG56"/>
    <mergeCell ref="AI54:AI56"/>
    <mergeCell ref="AJ54:AJ56"/>
    <mergeCell ref="AL54:AL56"/>
    <mergeCell ref="AM55:AM56"/>
    <mergeCell ref="AN55:AN56"/>
    <mergeCell ref="BP80:BP81"/>
    <mergeCell ref="BQ80:BQ81"/>
    <mergeCell ref="BR80:BR81"/>
    <mergeCell ref="AP74:AP76"/>
    <mergeCell ref="AQ74:AQ76"/>
    <mergeCell ref="AF20:AF23"/>
    <mergeCell ref="AG20:AG23"/>
    <mergeCell ref="AF27:AF28"/>
    <mergeCell ref="AG27:AG28"/>
    <mergeCell ref="AF36:AF38"/>
    <mergeCell ref="AG36:AG38"/>
    <mergeCell ref="AF43:AF44"/>
    <mergeCell ref="BV75:BV77"/>
    <mergeCell ref="BW75:BW77"/>
    <mergeCell ref="BX75:BX77"/>
    <mergeCell ref="BY75:BY77"/>
    <mergeCell ref="BY55:BY57"/>
    <mergeCell ref="BV46:BV47"/>
    <mergeCell ref="BW46:BW47"/>
    <mergeCell ref="BX46:BX47"/>
    <mergeCell ref="BY46:BY47"/>
    <mergeCell ref="BY27:BY29"/>
    <mergeCell ref="AL36:AL38"/>
    <mergeCell ref="AL41:AL44"/>
    <mergeCell ref="AL45:AL46"/>
    <mergeCell ref="AL48:AL49"/>
    <mergeCell ref="BU66:BU67"/>
    <mergeCell ref="BH71:BH73"/>
    <mergeCell ref="BI71:BI73"/>
    <mergeCell ref="BJ71:BJ73"/>
    <mergeCell ref="BK71:BK73"/>
    <mergeCell ref="BV80:BV81"/>
    <mergeCell ref="BW80:BW81"/>
    <mergeCell ref="BX80:BX81"/>
    <mergeCell ref="BY80:BY81"/>
    <mergeCell ref="BZ80:BZ81"/>
    <mergeCell ref="CC80:CC81"/>
    <mergeCell ref="CC66:CC67"/>
    <mergeCell ref="BV71:BV73"/>
    <mergeCell ref="BW71:BW73"/>
    <mergeCell ref="BX71:BX73"/>
    <mergeCell ref="BY71:BY73"/>
    <mergeCell ref="BZ71:BZ73"/>
    <mergeCell ref="CB71:CB73"/>
    <mergeCell ref="CC71:CC73"/>
    <mergeCell ref="BZ62:BZ63"/>
    <mergeCell ref="BV66:BV67"/>
    <mergeCell ref="BW66:BW67"/>
    <mergeCell ref="BX66:BX67"/>
    <mergeCell ref="BY66:BY67"/>
    <mergeCell ref="BZ66:BZ67"/>
    <mergeCell ref="CB66:CB67"/>
    <mergeCell ref="CB37:CB39"/>
    <mergeCell ref="CC37:CC39"/>
    <mergeCell ref="BV44:BV45"/>
    <mergeCell ref="BW44:BW45"/>
    <mergeCell ref="BX44:BX45"/>
    <mergeCell ref="BY44:BY45"/>
    <mergeCell ref="BZ44:BZ45"/>
    <mergeCell ref="CC44:CC45"/>
    <mergeCell ref="CB44:CB45"/>
    <mergeCell ref="CA49:CA50"/>
    <mergeCell ref="BZ27:BZ29"/>
    <mergeCell ref="BX28:BX29"/>
    <mergeCell ref="CC28:CC29"/>
    <mergeCell ref="CC31:CC32"/>
    <mergeCell ref="CA37:CA39"/>
    <mergeCell ref="CA44:CA45"/>
    <mergeCell ref="BY18:BY20"/>
    <mergeCell ref="BZ18:BZ20"/>
    <mergeCell ref="CC18:CC20"/>
    <mergeCell ref="BW19:BW20"/>
    <mergeCell ref="BX19:BX20"/>
    <mergeCell ref="BV21:BV24"/>
    <mergeCell ref="BW21:BW24"/>
    <mergeCell ref="BX21:BX24"/>
    <mergeCell ref="BY21:BY24"/>
    <mergeCell ref="BZ21:BZ24"/>
    <mergeCell ref="CB21:CB24"/>
    <mergeCell ref="CC21:CC24"/>
    <mergeCell ref="CB19:CB20"/>
    <mergeCell ref="CB28:CB29"/>
    <mergeCell ref="CA27:CA29"/>
    <mergeCell ref="BX37:BX39"/>
    <mergeCell ref="BV14:BV15"/>
    <mergeCell ref="BW14:BW15"/>
    <mergeCell ref="BX14:BX15"/>
    <mergeCell ref="BY14:BY15"/>
    <mergeCell ref="BZ14:BZ15"/>
    <mergeCell ref="CC14:CC15"/>
    <mergeCell ref="BY16:BY17"/>
    <mergeCell ref="BZ16:BZ17"/>
    <mergeCell ref="CC16:CC17"/>
    <mergeCell ref="CA14:CA15"/>
    <mergeCell ref="CA18:CA20"/>
    <mergeCell ref="CA21:CA24"/>
    <mergeCell ref="BY7:BY8"/>
    <mergeCell ref="BZ7:BZ8"/>
    <mergeCell ref="BV9:BV11"/>
    <mergeCell ref="BW9:BW11"/>
    <mergeCell ref="BX9:BX11"/>
    <mergeCell ref="BY9:BY11"/>
    <mergeCell ref="BZ9:BZ11"/>
    <mergeCell ref="CB9:CB11"/>
    <mergeCell ref="CB14:CB15"/>
    <mergeCell ref="CC9:CC11"/>
    <mergeCell ref="BV19:BV20"/>
    <mergeCell ref="BV1:CC1"/>
    <mergeCell ref="BV2:BV3"/>
    <mergeCell ref="BW2:BW3"/>
    <mergeCell ref="BX2:BX3"/>
    <mergeCell ref="BY2:BY3"/>
    <mergeCell ref="BZ2:BZ3"/>
    <mergeCell ref="CB2:CB3"/>
    <mergeCell ref="CC2:CC3"/>
    <mergeCell ref="BM82:BM85"/>
    <mergeCell ref="BT82:BT85"/>
    <mergeCell ref="D1:Q1"/>
    <mergeCell ref="S4:S9"/>
    <mergeCell ref="T4:T9"/>
    <mergeCell ref="S10:S19"/>
    <mergeCell ref="T10:T19"/>
    <mergeCell ref="S20:S26"/>
    <mergeCell ref="T20:T26"/>
    <mergeCell ref="S27:S50"/>
    <mergeCell ref="T27:T50"/>
    <mergeCell ref="BQ75:BQ77"/>
    <mergeCell ref="BR75:BR77"/>
    <mergeCell ref="BS75:BS77"/>
    <mergeCell ref="BT75:BT77"/>
    <mergeCell ref="BQ66:BQ67"/>
    <mergeCell ref="BR66:BR67"/>
    <mergeCell ref="BS66:BS67"/>
    <mergeCell ref="BT66:BT70"/>
    <mergeCell ref="AM74:AM76"/>
    <mergeCell ref="AL17:AL19"/>
    <mergeCell ref="AL20:AL23"/>
    <mergeCell ref="AL27:AL28"/>
    <mergeCell ref="AL31:AL32"/>
    <mergeCell ref="BM75:BM77"/>
    <mergeCell ref="BN75:BN77"/>
    <mergeCell ref="BO75:BO77"/>
    <mergeCell ref="BP75:BP77"/>
    <mergeCell ref="BL71:BL73"/>
    <mergeCell ref="BM71:BM73"/>
    <mergeCell ref="BN71:BN73"/>
    <mergeCell ref="BO71:BO73"/>
    <mergeCell ref="BP71:BP73"/>
    <mergeCell ref="BQ71:BQ73"/>
    <mergeCell ref="BR71:BR73"/>
    <mergeCell ref="BS71:BS73"/>
    <mergeCell ref="BT71:BT73"/>
    <mergeCell ref="BU71:BU73"/>
    <mergeCell ref="BH66:BH67"/>
    <mergeCell ref="BI66:BI67"/>
    <mergeCell ref="BJ66:BJ67"/>
    <mergeCell ref="BK66:BK67"/>
    <mergeCell ref="BL66:BL67"/>
    <mergeCell ref="BM66:BM70"/>
    <mergeCell ref="BN66:BN67"/>
    <mergeCell ref="BO66:BO67"/>
    <mergeCell ref="BP66:BP67"/>
    <mergeCell ref="BU75:BU77"/>
    <mergeCell ref="BK60:BK61"/>
    <mergeCell ref="BL60:BL61"/>
    <mergeCell ref="BM60:BM61"/>
    <mergeCell ref="BR60:BR61"/>
    <mergeCell ref="BS60:BS61"/>
    <mergeCell ref="BT60:BT61"/>
    <mergeCell ref="BL62:BL63"/>
    <mergeCell ref="BM62:BM63"/>
    <mergeCell ref="BR62:BR63"/>
    <mergeCell ref="BS62:BS63"/>
    <mergeCell ref="BT62:BT63"/>
    <mergeCell ref="BK55:BK57"/>
    <mergeCell ref="BL55:BL57"/>
    <mergeCell ref="BN55:BN57"/>
    <mergeCell ref="BR55:BR57"/>
    <mergeCell ref="BS55:BS57"/>
    <mergeCell ref="BU55:BU57"/>
    <mergeCell ref="BH56:BH57"/>
    <mergeCell ref="BI56:BI57"/>
    <mergeCell ref="BJ56:BJ57"/>
    <mergeCell ref="BM56:BM57"/>
    <mergeCell ref="BO56:BO57"/>
    <mergeCell ref="BP56:BP57"/>
    <mergeCell ref="BQ56:BQ57"/>
    <mergeCell ref="BT56:BT57"/>
    <mergeCell ref="BQ51:BQ52"/>
    <mergeCell ref="BR51:BR52"/>
    <mergeCell ref="BS51:BS52"/>
    <mergeCell ref="BT51:BT52"/>
    <mergeCell ref="BU51:BU52"/>
    <mergeCell ref="BH53:BH54"/>
    <mergeCell ref="BI53:BI54"/>
    <mergeCell ref="BJ53:BJ54"/>
    <mergeCell ref="BK53:BK54"/>
    <mergeCell ref="BL53:BL54"/>
    <mergeCell ref="BM53:BM54"/>
    <mergeCell ref="BN53:BN54"/>
    <mergeCell ref="BO53:BO54"/>
    <mergeCell ref="BP53:BP54"/>
    <mergeCell ref="BQ53:BQ54"/>
    <mergeCell ref="BR53:BR54"/>
    <mergeCell ref="BS53:BS54"/>
    <mergeCell ref="BT53:BT54"/>
    <mergeCell ref="BU53:BU54"/>
    <mergeCell ref="BH51:BH52"/>
    <mergeCell ref="BI51:BI52"/>
    <mergeCell ref="BJ51:BJ52"/>
    <mergeCell ref="BK51:BK52"/>
    <mergeCell ref="BL51:BL52"/>
    <mergeCell ref="BM51:BM52"/>
    <mergeCell ref="BN51:BN52"/>
    <mergeCell ref="BO51:BO52"/>
    <mergeCell ref="BP51:BP52"/>
    <mergeCell ref="BQ46:BQ47"/>
    <mergeCell ref="BR46:BR47"/>
    <mergeCell ref="BS46:BS47"/>
    <mergeCell ref="BT46:BT47"/>
    <mergeCell ref="BU46:BU47"/>
    <mergeCell ref="BK49:BK50"/>
    <mergeCell ref="BL49:BL50"/>
    <mergeCell ref="BM49:BM50"/>
    <mergeCell ref="BR49:BR50"/>
    <mergeCell ref="BS49:BS50"/>
    <mergeCell ref="BT49:BT50"/>
    <mergeCell ref="BH46:BH47"/>
    <mergeCell ref="BI46:BI47"/>
    <mergeCell ref="BJ46:BJ47"/>
    <mergeCell ref="BK46:BK47"/>
    <mergeCell ref="BL46:BL47"/>
    <mergeCell ref="BM46:BM47"/>
    <mergeCell ref="BN46:BN47"/>
    <mergeCell ref="BO46:BO47"/>
    <mergeCell ref="BP46:BP47"/>
    <mergeCell ref="BQ37:BQ39"/>
    <mergeCell ref="BR37:BR39"/>
    <mergeCell ref="BS37:BS39"/>
    <mergeCell ref="BT37:BT39"/>
    <mergeCell ref="BU37:BU39"/>
    <mergeCell ref="BM42:BM45"/>
    <mergeCell ref="BT42:BT45"/>
    <mergeCell ref="BH44:BH45"/>
    <mergeCell ref="BI44:BI45"/>
    <mergeCell ref="BJ44:BJ45"/>
    <mergeCell ref="BK44:BK45"/>
    <mergeCell ref="BL44:BL45"/>
    <mergeCell ref="BN44:BN45"/>
    <mergeCell ref="BO44:BO45"/>
    <mergeCell ref="BP44:BP45"/>
    <mergeCell ref="BQ44:BQ45"/>
    <mergeCell ref="BR44:BR45"/>
    <mergeCell ref="BS44:BS45"/>
    <mergeCell ref="BU44:BU45"/>
    <mergeCell ref="BH37:BH39"/>
    <mergeCell ref="BI37:BI39"/>
    <mergeCell ref="BJ37:BJ39"/>
    <mergeCell ref="BK37:BK39"/>
    <mergeCell ref="BL37:BL39"/>
    <mergeCell ref="BM37:BM39"/>
    <mergeCell ref="BN37:BN39"/>
    <mergeCell ref="BO37:BO39"/>
    <mergeCell ref="BP37:BP39"/>
    <mergeCell ref="BH28:BH29"/>
    <mergeCell ref="BI28:BI29"/>
    <mergeCell ref="BJ28:BJ29"/>
    <mergeCell ref="BN28:BN29"/>
    <mergeCell ref="BO28:BO29"/>
    <mergeCell ref="BP28:BP29"/>
    <mergeCell ref="BQ28:BQ29"/>
    <mergeCell ref="BU28:BU29"/>
    <mergeCell ref="BM31:BM34"/>
    <mergeCell ref="BT31:BT34"/>
    <mergeCell ref="BQ21:BQ24"/>
    <mergeCell ref="BR21:BR24"/>
    <mergeCell ref="BS21:BS24"/>
    <mergeCell ref="BT21:BT24"/>
    <mergeCell ref="BU21:BU24"/>
    <mergeCell ref="BK27:BK29"/>
    <mergeCell ref="BM27:BM29"/>
    <mergeCell ref="BR27:BR29"/>
    <mergeCell ref="BS27:BS29"/>
    <mergeCell ref="BT27:BT29"/>
    <mergeCell ref="BH21:BH24"/>
    <mergeCell ref="BI21:BI24"/>
    <mergeCell ref="BJ21:BJ24"/>
    <mergeCell ref="BK21:BK24"/>
    <mergeCell ref="BL21:BL24"/>
    <mergeCell ref="BM21:BM24"/>
    <mergeCell ref="BN21:BN24"/>
    <mergeCell ref="BO21:BO24"/>
    <mergeCell ref="BP21:BP24"/>
    <mergeCell ref="BK16:BK17"/>
    <mergeCell ref="BL16:BL17"/>
    <mergeCell ref="BM16:BM17"/>
    <mergeCell ref="BN16:BN17"/>
    <mergeCell ref="BR16:BR17"/>
    <mergeCell ref="BS16:BS17"/>
    <mergeCell ref="BT16:BT17"/>
    <mergeCell ref="BU16:BU17"/>
    <mergeCell ref="BH18:BH20"/>
    <mergeCell ref="BK18:BK20"/>
    <mergeCell ref="BL18:BL20"/>
    <mergeCell ref="BM18:BM20"/>
    <mergeCell ref="BN18:BN20"/>
    <mergeCell ref="BO18:BO20"/>
    <mergeCell ref="BR18:BR20"/>
    <mergeCell ref="BS18:BS20"/>
    <mergeCell ref="BT18:BT20"/>
    <mergeCell ref="BU18:BU20"/>
    <mergeCell ref="BI19:BI20"/>
    <mergeCell ref="BJ19:BJ20"/>
    <mergeCell ref="BP19:BP20"/>
    <mergeCell ref="BQ19:BQ20"/>
    <mergeCell ref="BU9:BU11"/>
    <mergeCell ref="BM12:BM15"/>
    <mergeCell ref="BT12:BT15"/>
    <mergeCell ref="BH14:BH15"/>
    <mergeCell ref="BI14:BI15"/>
    <mergeCell ref="BJ14:BJ15"/>
    <mergeCell ref="BK14:BK15"/>
    <mergeCell ref="BL14:BL15"/>
    <mergeCell ref="BN14:BN15"/>
    <mergeCell ref="BO14:BO15"/>
    <mergeCell ref="BP14:BP15"/>
    <mergeCell ref="BQ14:BQ15"/>
    <mergeCell ref="BR14:BR15"/>
    <mergeCell ref="BS14:BS15"/>
    <mergeCell ref="BU14:BU15"/>
    <mergeCell ref="BS7:BS8"/>
    <mergeCell ref="BT7:BT8"/>
    <mergeCell ref="BH9:BH11"/>
    <mergeCell ref="BI9:BI11"/>
    <mergeCell ref="BJ9:BJ11"/>
    <mergeCell ref="BK9:BK11"/>
    <mergeCell ref="BL9:BL11"/>
    <mergeCell ref="BM9:BM11"/>
    <mergeCell ref="BN9:BN11"/>
    <mergeCell ref="BO9:BO11"/>
    <mergeCell ref="BP9:BP11"/>
    <mergeCell ref="BQ9:BQ11"/>
    <mergeCell ref="BR9:BR11"/>
    <mergeCell ref="BS9:BS11"/>
    <mergeCell ref="BT9:BT11"/>
    <mergeCell ref="BN7:BN8"/>
    <mergeCell ref="BK7:BK8"/>
    <mergeCell ref="BH1:BN1"/>
    <mergeCell ref="BO1:BU1"/>
    <mergeCell ref="BH2:BH3"/>
    <mergeCell ref="BI2:BI3"/>
    <mergeCell ref="BJ2:BJ3"/>
    <mergeCell ref="BK2:BK3"/>
    <mergeCell ref="BL2:BL3"/>
    <mergeCell ref="BM2:BM3"/>
    <mergeCell ref="BN2:BN3"/>
    <mergeCell ref="BO2:BO3"/>
    <mergeCell ref="BP2:BP3"/>
    <mergeCell ref="BQ2:BQ3"/>
    <mergeCell ref="BR2:BR3"/>
    <mergeCell ref="BS2:BS3"/>
    <mergeCell ref="BT2:BT3"/>
    <mergeCell ref="BU2:BU3"/>
    <mergeCell ref="BM4:BM6"/>
    <mergeCell ref="BT4:BT6"/>
    <mergeCell ref="BL7:BL8"/>
    <mergeCell ref="BM7:BM8"/>
    <mergeCell ref="BR7:BR8"/>
    <mergeCell ref="BC75:BC77"/>
    <mergeCell ref="BD75:BD77"/>
    <mergeCell ref="BE75:BE77"/>
    <mergeCell ref="BF75:BF77"/>
    <mergeCell ref="BG75:BG77"/>
    <mergeCell ref="AY78:AY81"/>
    <mergeCell ref="BF78:BF81"/>
    <mergeCell ref="AV80:AV81"/>
    <mergeCell ref="BA80:BA81"/>
    <mergeCell ref="BB80:BB81"/>
    <mergeCell ref="BC80:BC81"/>
    <mergeCell ref="BD80:BD81"/>
    <mergeCell ref="BE80:BE81"/>
    <mergeCell ref="BG80:BG81"/>
    <mergeCell ref="AV75:AV77"/>
    <mergeCell ref="AY75:AY77"/>
    <mergeCell ref="BA75:BA77"/>
    <mergeCell ref="BB75:BB77"/>
    <mergeCell ref="BC66:BC67"/>
    <mergeCell ref="BF66:BF70"/>
    <mergeCell ref="AV71:AV73"/>
    <mergeCell ref="AY71:AY73"/>
    <mergeCell ref="BA71:BA73"/>
    <mergeCell ref="BB71:BB73"/>
    <mergeCell ref="BC71:BC73"/>
    <mergeCell ref="BD71:BD73"/>
    <mergeCell ref="BE71:BE73"/>
    <mergeCell ref="BF71:BF73"/>
    <mergeCell ref="BG71:BG73"/>
    <mergeCell ref="BG51:BG52"/>
    <mergeCell ref="AV53:AV54"/>
    <mergeCell ref="AY53:AY54"/>
    <mergeCell ref="BA53:BA54"/>
    <mergeCell ref="BB53:BB54"/>
    <mergeCell ref="BC53:BC54"/>
    <mergeCell ref="BD53:BD54"/>
    <mergeCell ref="BE53:BE54"/>
    <mergeCell ref="BF53:BF54"/>
    <mergeCell ref="BG53:BG54"/>
    <mergeCell ref="AW50:AW51"/>
    <mergeCell ref="AX50:AX51"/>
    <mergeCell ref="AW52:AW53"/>
    <mergeCell ref="AX52:AX53"/>
    <mergeCell ref="AV51:AV52"/>
    <mergeCell ref="AY51:AY52"/>
    <mergeCell ref="BA51:BA52"/>
    <mergeCell ref="BB51:BB52"/>
    <mergeCell ref="BG46:BG47"/>
    <mergeCell ref="AY49:AY50"/>
    <mergeCell ref="BD49:BD50"/>
    <mergeCell ref="BE49:BE50"/>
    <mergeCell ref="BF49:BF50"/>
    <mergeCell ref="AW45:AW46"/>
    <mergeCell ref="AX45:AX46"/>
    <mergeCell ref="AV46:AV47"/>
    <mergeCell ref="AY46:AY47"/>
    <mergeCell ref="BA46:BA47"/>
    <mergeCell ref="BB46:BB47"/>
    <mergeCell ref="BC37:BC39"/>
    <mergeCell ref="BD37:BD39"/>
    <mergeCell ref="BE37:BE39"/>
    <mergeCell ref="BF37:BF39"/>
    <mergeCell ref="BG37:BG39"/>
    <mergeCell ref="AY42:AY45"/>
    <mergeCell ref="BF42:BF45"/>
    <mergeCell ref="AV44:AV45"/>
    <mergeCell ref="BA44:BA45"/>
    <mergeCell ref="BB44:BB45"/>
    <mergeCell ref="BC44:BC45"/>
    <mergeCell ref="AW37:AW38"/>
    <mergeCell ref="AX37:AX38"/>
    <mergeCell ref="AW43:AW44"/>
    <mergeCell ref="AX43:AX44"/>
    <mergeCell ref="AV37:AV39"/>
    <mergeCell ref="AY37:AY39"/>
    <mergeCell ref="BA37:BA39"/>
    <mergeCell ref="BB37:BB39"/>
    <mergeCell ref="AV28:AV29"/>
    <mergeCell ref="BA28:BA29"/>
    <mergeCell ref="BB28:BB29"/>
    <mergeCell ref="BC28:BC29"/>
    <mergeCell ref="AY31:AY34"/>
    <mergeCell ref="BF31:BF34"/>
    <mergeCell ref="AW29:AW30"/>
    <mergeCell ref="AX29:AX30"/>
    <mergeCell ref="BC21:BC24"/>
    <mergeCell ref="BD21:BD24"/>
    <mergeCell ref="BE21:BE24"/>
    <mergeCell ref="BF21:BF24"/>
    <mergeCell ref="BG21:BG24"/>
    <mergeCell ref="AY27:AY29"/>
    <mergeCell ref="BD27:BD29"/>
    <mergeCell ref="BE27:BE29"/>
    <mergeCell ref="BF27:BF29"/>
    <mergeCell ref="AV21:AV24"/>
    <mergeCell ref="AY21:AY24"/>
    <mergeCell ref="BA21:BA24"/>
    <mergeCell ref="BB21:BB24"/>
    <mergeCell ref="BG16:BG17"/>
    <mergeCell ref="AY18:AY20"/>
    <mergeCell ref="BD18:BD20"/>
    <mergeCell ref="BE18:BE20"/>
    <mergeCell ref="BF18:BF20"/>
    <mergeCell ref="BG18:BG20"/>
    <mergeCell ref="AV19:AV20"/>
    <mergeCell ref="BB19:BB20"/>
    <mergeCell ref="BC19:BC20"/>
    <mergeCell ref="BG9:BG11"/>
    <mergeCell ref="AY12:AY15"/>
    <mergeCell ref="BF12:BF15"/>
    <mergeCell ref="AV14:AV15"/>
    <mergeCell ref="BA14:BA15"/>
    <mergeCell ref="BB14:BB15"/>
    <mergeCell ref="BC14:BC15"/>
    <mergeCell ref="BG14:BG15"/>
    <mergeCell ref="AY16:AY17"/>
    <mergeCell ref="AT9:AT11"/>
    <mergeCell ref="AU9:AU11"/>
    <mergeCell ref="AV9:AV11"/>
    <mergeCell ref="AW9:AW11"/>
    <mergeCell ref="AX9:AX11"/>
    <mergeCell ref="AY9:AY11"/>
    <mergeCell ref="AZ9:AZ11"/>
    <mergeCell ref="BA9:BA11"/>
    <mergeCell ref="BB9:BB11"/>
    <mergeCell ref="BC9:BC11"/>
    <mergeCell ref="BD9:BD11"/>
    <mergeCell ref="BE9:BE11"/>
    <mergeCell ref="BF9:BF11"/>
    <mergeCell ref="AK82:AK85"/>
    <mergeCell ref="AR82:AR85"/>
    <mergeCell ref="AT1:AZ1"/>
    <mergeCell ref="BA1:BG1"/>
    <mergeCell ref="AT2:AT3"/>
    <mergeCell ref="AU2:AU3"/>
    <mergeCell ref="AV2:AV3"/>
    <mergeCell ref="AW2:AW3"/>
    <mergeCell ref="AX2:AX3"/>
    <mergeCell ref="AY2:AY3"/>
    <mergeCell ref="AZ2:AZ3"/>
    <mergeCell ref="BA2:BA3"/>
    <mergeCell ref="BB2:BB3"/>
    <mergeCell ref="BC2:BC3"/>
    <mergeCell ref="BD2:BD3"/>
    <mergeCell ref="BE2:BE3"/>
    <mergeCell ref="BF2:BF3"/>
    <mergeCell ref="BG2:BG3"/>
    <mergeCell ref="BF4:BF6"/>
    <mergeCell ref="AR75:AR77"/>
    <mergeCell ref="AK78:AK81"/>
    <mergeCell ref="AR78:AR81"/>
    <mergeCell ref="AH80:AH81"/>
    <mergeCell ref="AO80:AO81"/>
    <mergeCell ref="AG74:AG76"/>
    <mergeCell ref="AG79:AG80"/>
    <mergeCell ref="AI74:AI76"/>
    <mergeCell ref="AJ74:AJ76"/>
    <mergeCell ref="AI77:AI84"/>
    <mergeCell ref="AJ77:AJ84"/>
    <mergeCell ref="AL74:AL76"/>
    <mergeCell ref="AH75:AH77"/>
    <mergeCell ref="AK75:AK77"/>
    <mergeCell ref="AO75:AO77"/>
    <mergeCell ref="AN74:AN76"/>
    <mergeCell ref="AR66:AR70"/>
    <mergeCell ref="AH71:AH73"/>
    <mergeCell ref="AK71:AK73"/>
    <mergeCell ref="AO71:AO73"/>
    <mergeCell ref="AR71:AR73"/>
    <mergeCell ref="AG66:AG67"/>
    <mergeCell ref="AM66:AM67"/>
    <mergeCell ref="AN66:AN67"/>
    <mergeCell ref="AL79:AL80"/>
    <mergeCell ref="AP65:AP69"/>
    <mergeCell ref="AQ65:AQ69"/>
    <mergeCell ref="AM79:AM80"/>
    <mergeCell ref="AN79:AN80"/>
    <mergeCell ref="AH56:AH57"/>
    <mergeCell ref="AK56:AK57"/>
    <mergeCell ref="AO56:AO57"/>
    <mergeCell ref="AR56:AR57"/>
    <mergeCell ref="AR46:AR47"/>
    <mergeCell ref="AI45:AI46"/>
    <mergeCell ref="AJ45:AJ46"/>
    <mergeCell ref="AR51:AR52"/>
    <mergeCell ref="AF70:AF72"/>
    <mergeCell ref="AG70:AG72"/>
    <mergeCell ref="AH66:AH67"/>
    <mergeCell ref="AK66:AK70"/>
    <mergeCell ref="AO66:AO67"/>
    <mergeCell ref="AI65:AI69"/>
    <mergeCell ref="AJ65:AJ69"/>
    <mergeCell ref="AI70:AI72"/>
    <mergeCell ref="AJ70:AJ72"/>
    <mergeCell ref="AL65:AL68"/>
    <mergeCell ref="AL70:AL72"/>
    <mergeCell ref="AK60:AK61"/>
    <mergeCell ref="AR60:AR61"/>
    <mergeCell ref="AK62:AK63"/>
    <mergeCell ref="AR62:AR63"/>
    <mergeCell ref="AI59:AI60"/>
    <mergeCell ref="AJ59:AJ60"/>
    <mergeCell ref="AI61:AI62"/>
    <mergeCell ref="AJ61:AJ62"/>
    <mergeCell ref="AM70:AM72"/>
    <mergeCell ref="AN70:AN72"/>
    <mergeCell ref="AP70:AP72"/>
    <mergeCell ref="AQ70:AQ72"/>
    <mergeCell ref="AF66:AF67"/>
    <mergeCell ref="AH53:AH54"/>
    <mergeCell ref="AK53:AK54"/>
    <mergeCell ref="AO53:AO54"/>
    <mergeCell ref="AR53:AR54"/>
    <mergeCell ref="AF50:AF51"/>
    <mergeCell ref="AG50:AG51"/>
    <mergeCell ref="AF52:AF53"/>
    <mergeCell ref="AG52:AG53"/>
    <mergeCell ref="AI50:AI51"/>
    <mergeCell ref="AJ50:AJ51"/>
    <mergeCell ref="AH51:AH52"/>
    <mergeCell ref="AK51:AK52"/>
    <mergeCell ref="AO51:AO52"/>
    <mergeCell ref="AI52:AI53"/>
    <mergeCell ref="AJ52:AJ53"/>
    <mergeCell ref="AL52:AL53"/>
    <mergeCell ref="AK49:AK50"/>
    <mergeCell ref="AR49:AR50"/>
    <mergeCell ref="AL50:AL51"/>
    <mergeCell ref="AM50:AM51"/>
    <mergeCell ref="AN50:AN51"/>
    <mergeCell ref="AM52:AM53"/>
    <mergeCell ref="AN52:AN53"/>
    <mergeCell ref="AP48:AP49"/>
    <mergeCell ref="AI48:AI49"/>
    <mergeCell ref="AJ48:AJ49"/>
    <mergeCell ref="AP50:AP51"/>
    <mergeCell ref="AQ50:AQ51"/>
    <mergeCell ref="AQ48:AQ49"/>
    <mergeCell ref="AO46:AO47"/>
    <mergeCell ref="AG45:AG46"/>
    <mergeCell ref="AR37:AR39"/>
    <mergeCell ref="AK42:AK45"/>
    <mergeCell ref="AR42:AR45"/>
    <mergeCell ref="AH44:AH45"/>
    <mergeCell ref="AO44:AO45"/>
    <mergeCell ref="AG43:AG44"/>
    <mergeCell ref="AF45:AF46"/>
    <mergeCell ref="AI36:AI38"/>
    <mergeCell ref="AJ36:AJ38"/>
    <mergeCell ref="AI41:AI44"/>
    <mergeCell ref="AJ41:AJ44"/>
    <mergeCell ref="AH37:AH39"/>
    <mergeCell ref="AK37:AK39"/>
    <mergeCell ref="AO37:AO39"/>
    <mergeCell ref="AM36:AM38"/>
    <mergeCell ref="AN36:AN38"/>
    <mergeCell ref="AM43:AM44"/>
    <mergeCell ref="AN43:AN44"/>
    <mergeCell ref="AM45:AM46"/>
    <mergeCell ref="AN45:AN46"/>
    <mergeCell ref="AQ45:AQ46"/>
    <mergeCell ref="AH46:AH47"/>
    <mergeCell ref="AK46:AK47"/>
    <mergeCell ref="AH28:AH29"/>
    <mergeCell ref="AO28:AO29"/>
    <mergeCell ref="AK31:AK34"/>
    <mergeCell ref="AR31:AR34"/>
    <mergeCell ref="AI26:AI28"/>
    <mergeCell ref="AJ26:AJ28"/>
    <mergeCell ref="AI30:AI33"/>
    <mergeCell ref="AJ30:AJ33"/>
    <mergeCell ref="AR21:AR24"/>
    <mergeCell ref="AK27:AK29"/>
    <mergeCell ref="AR27:AR29"/>
    <mergeCell ref="AI20:AI23"/>
    <mergeCell ref="AJ20:AJ23"/>
    <mergeCell ref="AH21:AH24"/>
    <mergeCell ref="AK21:AK24"/>
    <mergeCell ref="AO21:AO24"/>
    <mergeCell ref="AK16:AK17"/>
    <mergeCell ref="AR16:AR17"/>
    <mergeCell ref="AK18:AK20"/>
    <mergeCell ref="AR18:AR20"/>
    <mergeCell ref="AH19:AH20"/>
    <mergeCell ref="AO19:AO20"/>
    <mergeCell ref="AI17:AI19"/>
    <mergeCell ref="AJ17:AJ19"/>
    <mergeCell ref="AM18:AM19"/>
    <mergeCell ref="AN18:AN19"/>
    <mergeCell ref="AM20:AM23"/>
    <mergeCell ref="AN20:AN23"/>
    <mergeCell ref="AM27:AM28"/>
    <mergeCell ref="AN27:AN28"/>
    <mergeCell ref="AP17:AP19"/>
    <mergeCell ref="AQ17:AQ19"/>
    <mergeCell ref="AS9:AS11"/>
    <mergeCell ref="AK12:AK15"/>
    <mergeCell ref="AR12:AR15"/>
    <mergeCell ref="AH14:AH15"/>
    <mergeCell ref="AO14:AO15"/>
    <mergeCell ref="AI12:AI14"/>
    <mergeCell ref="AJ12:AJ14"/>
    <mergeCell ref="AL15:AL16"/>
    <mergeCell ref="AK4:AK6"/>
    <mergeCell ref="AR4:AR6"/>
    <mergeCell ref="AI7:AI8"/>
    <mergeCell ref="AJ7:AJ8"/>
    <mergeCell ref="AK7:AK8"/>
    <mergeCell ref="AP7:AP8"/>
    <mergeCell ref="AQ7:AQ8"/>
    <mergeCell ref="AR7:AR8"/>
    <mergeCell ref="AG9:AG11"/>
    <mergeCell ref="AH9:AH11"/>
    <mergeCell ref="AI9:AI11"/>
    <mergeCell ref="AJ9:AJ11"/>
    <mergeCell ref="AK9:AK11"/>
    <mergeCell ref="AL9:AL11"/>
    <mergeCell ref="AM9:AM11"/>
    <mergeCell ref="AN9:AN11"/>
    <mergeCell ref="AO9:AO11"/>
    <mergeCell ref="AP9:AP11"/>
    <mergeCell ref="AQ9:AQ11"/>
    <mergeCell ref="AR9:AR11"/>
    <mergeCell ref="AI4:AI6"/>
    <mergeCell ref="AJ4:AJ6"/>
    <mergeCell ref="AP4:AP6"/>
    <mergeCell ref="AQ4:AQ6"/>
    <mergeCell ref="Y1:AE1"/>
    <mergeCell ref="AF1:AL1"/>
    <mergeCell ref="AM1:AS1"/>
    <mergeCell ref="AF2:AF3"/>
    <mergeCell ref="AG2:AG3"/>
    <mergeCell ref="AH2:AH3"/>
    <mergeCell ref="AI2:AI3"/>
    <mergeCell ref="AJ2:AJ3"/>
    <mergeCell ref="AK2:AK3"/>
    <mergeCell ref="AL2:AL3"/>
    <mergeCell ref="AM2:AM3"/>
    <mergeCell ref="AN2:AN3"/>
    <mergeCell ref="AO2:AO3"/>
    <mergeCell ref="AP2:AP3"/>
    <mergeCell ref="AQ2:AQ3"/>
    <mergeCell ref="AR2:AR3"/>
    <mergeCell ref="AS2:AS3"/>
    <mergeCell ref="AE2:AE3"/>
    <mergeCell ref="R1:X1"/>
    <mergeCell ref="R75:R77"/>
    <mergeCell ref="S75:S77"/>
    <mergeCell ref="T75:T77"/>
    <mergeCell ref="U75:U77"/>
    <mergeCell ref="V75:V77"/>
    <mergeCell ref="W75:W77"/>
    <mergeCell ref="X75:X77"/>
    <mergeCell ref="W78:W81"/>
    <mergeCell ref="R80:R81"/>
    <mergeCell ref="S80:S81"/>
    <mergeCell ref="T80:T81"/>
    <mergeCell ref="U80:U81"/>
    <mergeCell ref="V80:V81"/>
    <mergeCell ref="X80:X81"/>
    <mergeCell ref="X66:X67"/>
    <mergeCell ref="X68:X69"/>
    <mergeCell ref="R71:R73"/>
    <mergeCell ref="S71:S73"/>
    <mergeCell ref="T71:T73"/>
    <mergeCell ref="U71:U73"/>
    <mergeCell ref="V71:V73"/>
    <mergeCell ref="W56:W57"/>
    <mergeCell ref="W71:W73"/>
    <mergeCell ref="X71:X73"/>
    <mergeCell ref="W60:W61"/>
    <mergeCell ref="W62:W63"/>
    <mergeCell ref="R66:R67"/>
    <mergeCell ref="S66:S67"/>
    <mergeCell ref="T66:T67"/>
    <mergeCell ref="U66:U67"/>
    <mergeCell ref="V55:V58"/>
    <mergeCell ref="O82:O85"/>
    <mergeCell ref="O71:O73"/>
    <mergeCell ref="P71:P73"/>
    <mergeCell ref="Q71:Q73"/>
    <mergeCell ref="P82:P85"/>
    <mergeCell ref="V66:V67"/>
    <mergeCell ref="O79:O81"/>
    <mergeCell ref="W53:W54"/>
    <mergeCell ref="S51:S54"/>
    <mergeCell ref="T51:T54"/>
    <mergeCell ref="U51:U54"/>
    <mergeCell ref="V51:V54"/>
    <mergeCell ref="X52:X54"/>
    <mergeCell ref="W46:W47"/>
    <mergeCell ref="W49:W50"/>
    <mergeCell ref="U27:U50"/>
    <mergeCell ref="V27:V50"/>
    <mergeCell ref="X27:X28"/>
    <mergeCell ref="X29:X30"/>
    <mergeCell ref="X32:X34"/>
    <mergeCell ref="X37:X38"/>
    <mergeCell ref="X41:X42"/>
    <mergeCell ref="X44:X49"/>
    <mergeCell ref="W37:W39"/>
    <mergeCell ref="W42:W45"/>
    <mergeCell ref="W31:W34"/>
    <mergeCell ref="W82:W85"/>
    <mergeCell ref="X56:X58"/>
    <mergeCell ref="V59:V61"/>
    <mergeCell ref="X59:X61"/>
    <mergeCell ref="V62:V65"/>
    <mergeCell ref="X62:X65"/>
    <mergeCell ref="K82:K85"/>
    <mergeCell ref="K79:K81"/>
    <mergeCell ref="L82:L85"/>
    <mergeCell ref="L79:L81"/>
    <mergeCell ref="M82:M85"/>
    <mergeCell ref="M79:M80"/>
    <mergeCell ref="N82:N85"/>
    <mergeCell ref="K68:K70"/>
    <mergeCell ref="L68:L70"/>
    <mergeCell ref="M68:M70"/>
    <mergeCell ref="N68:N70"/>
    <mergeCell ref="K71:K73"/>
    <mergeCell ref="L71:L73"/>
    <mergeCell ref="M71:M73"/>
    <mergeCell ref="N71:N73"/>
    <mergeCell ref="K75:K77"/>
    <mergeCell ref="L75:L77"/>
    <mergeCell ref="M75:M77"/>
    <mergeCell ref="N75:N77"/>
    <mergeCell ref="N79:N81"/>
    <mergeCell ref="P79:P81"/>
    <mergeCell ref="O66:O67"/>
    <mergeCell ref="P66:P67"/>
    <mergeCell ref="Q66:Q67"/>
    <mergeCell ref="O68:O70"/>
    <mergeCell ref="P68:P70"/>
    <mergeCell ref="O75:O77"/>
    <mergeCell ref="P75:P77"/>
    <mergeCell ref="Q75:Q77"/>
    <mergeCell ref="K62:K63"/>
    <mergeCell ref="L62:L63"/>
    <mergeCell ref="M62:M63"/>
    <mergeCell ref="N62:N63"/>
    <mergeCell ref="O62:O63"/>
    <mergeCell ref="P62:P63"/>
    <mergeCell ref="K66:K67"/>
    <mergeCell ref="L66:L67"/>
    <mergeCell ref="M66:M67"/>
    <mergeCell ref="N66:N67"/>
    <mergeCell ref="L21:L24"/>
    <mergeCell ref="M21:M24"/>
    <mergeCell ref="K55:K57"/>
    <mergeCell ref="L55:L57"/>
    <mergeCell ref="M55:M57"/>
    <mergeCell ref="N55:N57"/>
    <mergeCell ref="O55:O57"/>
    <mergeCell ref="P55:P57"/>
    <mergeCell ref="K60:K61"/>
    <mergeCell ref="L60:L61"/>
    <mergeCell ref="M60:M61"/>
    <mergeCell ref="N60:N61"/>
    <mergeCell ref="O60:O61"/>
    <mergeCell ref="P60:P61"/>
    <mergeCell ref="K53:K54"/>
    <mergeCell ref="L53:L54"/>
    <mergeCell ref="M53:M54"/>
    <mergeCell ref="N53:N54"/>
    <mergeCell ref="L46:L47"/>
    <mergeCell ref="M46:M47"/>
    <mergeCell ref="N46:N47"/>
    <mergeCell ref="O46:O47"/>
    <mergeCell ref="P46:P47"/>
    <mergeCell ref="K49:K50"/>
    <mergeCell ref="L51:L52"/>
    <mergeCell ref="M51:M52"/>
    <mergeCell ref="N51:N52"/>
    <mergeCell ref="O51:O52"/>
    <mergeCell ref="P51:P52"/>
    <mergeCell ref="AD27:AD29"/>
    <mergeCell ref="AC27:AC29"/>
    <mergeCell ref="AB62:AB63"/>
    <mergeCell ref="AE68:AE69"/>
    <mergeCell ref="O32:O33"/>
    <mergeCell ref="P32:P33"/>
    <mergeCell ref="W16:W17"/>
    <mergeCell ref="W18:W20"/>
    <mergeCell ref="AD21:AD24"/>
    <mergeCell ref="AB27:AB29"/>
    <mergeCell ref="AD18:AD20"/>
    <mergeCell ref="AD12:AD15"/>
    <mergeCell ref="AB14:AB15"/>
    <mergeCell ref="AC18:AC20"/>
    <mergeCell ref="AD16:AD17"/>
    <mergeCell ref="AC37:AC39"/>
    <mergeCell ref="AD37:AD39"/>
    <mergeCell ref="AD46:AD47"/>
    <mergeCell ref="AA46:AA47"/>
    <mergeCell ref="AC44:AC45"/>
    <mergeCell ref="AC21:AC24"/>
    <mergeCell ref="AB21:AB24"/>
    <mergeCell ref="AB51:AB52"/>
    <mergeCell ref="P53:P54"/>
    <mergeCell ref="Q44:Q45"/>
    <mergeCell ref="AA44:AA45"/>
    <mergeCell ref="P27:P29"/>
    <mergeCell ref="AA19:AA20"/>
    <mergeCell ref="AB18:AB20"/>
    <mergeCell ref="W21:W24"/>
    <mergeCell ref="W27:W29"/>
    <mergeCell ref="W12:W15"/>
    <mergeCell ref="AF74:AF76"/>
    <mergeCell ref="AF79:AF80"/>
    <mergeCell ref="K32:K33"/>
    <mergeCell ref="K37:K39"/>
    <mergeCell ref="L37:L39"/>
    <mergeCell ref="M37:M39"/>
    <mergeCell ref="N37:N39"/>
    <mergeCell ref="Z66:Z67"/>
    <mergeCell ref="AF9:AF11"/>
    <mergeCell ref="AA51:AA52"/>
    <mergeCell ref="AA28:AA29"/>
    <mergeCell ref="AA21:AA24"/>
    <mergeCell ref="AB46:AB47"/>
    <mergeCell ref="AC46:AC47"/>
    <mergeCell ref="AD42:AD45"/>
    <mergeCell ref="AD31:AD34"/>
    <mergeCell ref="AB44:AB45"/>
    <mergeCell ref="AA37:AA39"/>
    <mergeCell ref="AB37:AB39"/>
    <mergeCell ref="L49:L50"/>
    <mergeCell ref="M49:M50"/>
    <mergeCell ref="N49:N50"/>
    <mergeCell ref="O49:O50"/>
    <mergeCell ref="P49:P50"/>
    <mergeCell ref="K46:K47"/>
    <mergeCell ref="AC51:AC52"/>
    <mergeCell ref="Z80:Z81"/>
    <mergeCell ref="Q37:Q39"/>
    <mergeCell ref="Y75:Y77"/>
    <mergeCell ref="AA75:AA77"/>
    <mergeCell ref="Q46:Q47"/>
    <mergeCell ref="O53:O54"/>
    <mergeCell ref="AA53:AA54"/>
    <mergeCell ref="J44:J45"/>
    <mergeCell ref="I19:I20"/>
    <mergeCell ref="Q21:Q24"/>
    <mergeCell ref="Q28:Q29"/>
    <mergeCell ref="N27:N29"/>
    <mergeCell ref="L32:L33"/>
    <mergeCell ref="M32:M33"/>
    <mergeCell ref="N32:N33"/>
    <mergeCell ref="O21:O24"/>
    <mergeCell ref="P21:P24"/>
    <mergeCell ref="O27:O29"/>
    <mergeCell ref="O37:O39"/>
    <mergeCell ref="P37:P39"/>
    <mergeCell ref="K51:K52"/>
    <mergeCell ref="K42:K43"/>
    <mergeCell ref="L42:L43"/>
    <mergeCell ref="M42:M43"/>
    <mergeCell ref="N42:N43"/>
    <mergeCell ref="O42:O43"/>
    <mergeCell ref="P42:P43"/>
    <mergeCell ref="K44:K45"/>
    <mergeCell ref="N44:N45"/>
    <mergeCell ref="O44:O45"/>
    <mergeCell ref="P44:P45"/>
    <mergeCell ref="N21:N24"/>
    <mergeCell ref="L44:L45"/>
    <mergeCell ref="M44:M45"/>
    <mergeCell ref="K27:K29"/>
    <mergeCell ref="L27:L29"/>
    <mergeCell ref="M27:M29"/>
    <mergeCell ref="K21:K24"/>
    <mergeCell ref="AB80:AB81"/>
    <mergeCell ref="Q56:Q57"/>
    <mergeCell ref="Q51:Q52"/>
    <mergeCell ref="AB53:AB54"/>
    <mergeCell ref="AA71:AA73"/>
    <mergeCell ref="AC62:AC63"/>
    <mergeCell ref="AD62:AD63"/>
    <mergeCell ref="AD56:AD57"/>
    <mergeCell ref="AC53:AC54"/>
    <mergeCell ref="AD53:AD54"/>
    <mergeCell ref="AC60:AC61"/>
    <mergeCell ref="Q80:Q81"/>
    <mergeCell ref="Q53:Q54"/>
    <mergeCell ref="AD66:AD70"/>
    <mergeCell ref="AB60:AB61"/>
    <mergeCell ref="AD60:AD61"/>
    <mergeCell ref="W66:W70"/>
    <mergeCell ref="S55:S58"/>
    <mergeCell ref="T55:T58"/>
    <mergeCell ref="W51:W52"/>
    <mergeCell ref="S59:S61"/>
    <mergeCell ref="T59:T61"/>
    <mergeCell ref="U59:U61"/>
    <mergeCell ref="S62:S65"/>
    <mergeCell ref="T62:T65"/>
    <mergeCell ref="U62:U65"/>
    <mergeCell ref="U55:U58"/>
    <mergeCell ref="Y71:Y73"/>
    <mergeCell ref="Y66:Y67"/>
    <mergeCell ref="AA66:AA67"/>
    <mergeCell ref="AA56:AA57"/>
    <mergeCell ref="Z71:Z73"/>
    <mergeCell ref="K16:K17"/>
    <mergeCell ref="L16:L17"/>
    <mergeCell ref="M16:M17"/>
    <mergeCell ref="K18:K20"/>
    <mergeCell ref="L18:L20"/>
    <mergeCell ref="M18:M20"/>
    <mergeCell ref="AD82:AD85"/>
    <mergeCell ref="AC80:AC81"/>
    <mergeCell ref="AD75:AD77"/>
    <mergeCell ref="AE75:AE77"/>
    <mergeCell ref="AC55:AC57"/>
    <mergeCell ref="AB55:AB57"/>
    <mergeCell ref="AD51:AD52"/>
    <mergeCell ref="AC49:AC50"/>
    <mergeCell ref="AE80:AE81"/>
    <mergeCell ref="AB71:AB73"/>
    <mergeCell ref="AC71:AC73"/>
    <mergeCell ref="AB66:AB67"/>
    <mergeCell ref="AC66:AC67"/>
    <mergeCell ref="AB75:AB77"/>
    <mergeCell ref="AC75:AC77"/>
    <mergeCell ref="AE71:AE73"/>
    <mergeCell ref="AD49:AD50"/>
    <mergeCell ref="AE66:AE67"/>
    <mergeCell ref="AB49:AB50"/>
    <mergeCell ref="AD71:AD73"/>
    <mergeCell ref="AE59:AE61"/>
    <mergeCell ref="AE62:AE65"/>
    <mergeCell ref="Y80:Y81"/>
    <mergeCell ref="AA80:AA81"/>
    <mergeCell ref="AD78:AD81"/>
    <mergeCell ref="Z75:Z77"/>
    <mergeCell ref="K9:K11"/>
    <mergeCell ref="L9:L11"/>
    <mergeCell ref="AC14:AC15"/>
    <mergeCell ref="M9:M11"/>
    <mergeCell ref="N9:N11"/>
    <mergeCell ref="O9:O11"/>
    <mergeCell ref="P9:P11"/>
    <mergeCell ref="Q9:Q11"/>
    <mergeCell ref="N14:N15"/>
    <mergeCell ref="O14:O15"/>
    <mergeCell ref="P14:P15"/>
    <mergeCell ref="Q14:Q15"/>
    <mergeCell ref="AA14:AA15"/>
    <mergeCell ref="W9:W11"/>
    <mergeCell ref="P16:P17"/>
    <mergeCell ref="AB16:AB17"/>
    <mergeCell ref="AC16:AC17"/>
    <mergeCell ref="X8:X9"/>
    <mergeCell ref="N16:N17"/>
    <mergeCell ref="O16:O17"/>
    <mergeCell ref="K14:K15"/>
    <mergeCell ref="L14:L15"/>
    <mergeCell ref="U10:U19"/>
    <mergeCell ref="V10:V19"/>
    <mergeCell ref="N18:N20"/>
    <mergeCell ref="O18:O20"/>
    <mergeCell ref="P18:P20"/>
    <mergeCell ref="Q19:Q20"/>
    <mergeCell ref="U20:U26"/>
    <mergeCell ref="V20:V26"/>
    <mergeCell ref="X20:X21"/>
    <mergeCell ref="M14:M15"/>
    <mergeCell ref="AD4:AD6"/>
    <mergeCell ref="AD7:AD8"/>
    <mergeCell ref="AD9:AD11"/>
    <mergeCell ref="AA9:AA11"/>
    <mergeCell ref="AB9:AB11"/>
    <mergeCell ref="AC9:AC11"/>
    <mergeCell ref="AD2:AD3"/>
    <mergeCell ref="K2:Q2"/>
    <mergeCell ref="Y2:Y3"/>
    <mergeCell ref="AA2:AA3"/>
    <mergeCell ref="AB2:AB3"/>
    <mergeCell ref="AC2:AC3"/>
    <mergeCell ref="Z2:Z3"/>
    <mergeCell ref="K4:K8"/>
    <mergeCell ref="L4:L8"/>
    <mergeCell ref="M4:M8"/>
    <mergeCell ref="N4:N8"/>
    <mergeCell ref="O4:O8"/>
    <mergeCell ref="P4:P8"/>
    <mergeCell ref="AB7:AB8"/>
    <mergeCell ref="AC7:AC8"/>
    <mergeCell ref="R2:R3"/>
    <mergeCell ref="S2:S3"/>
    <mergeCell ref="T2:T3"/>
    <mergeCell ref="U2:U3"/>
    <mergeCell ref="V2:V3"/>
    <mergeCell ref="W2:W3"/>
    <mergeCell ref="X2:X3"/>
    <mergeCell ref="W4:W6"/>
    <mergeCell ref="W7:W8"/>
    <mergeCell ref="U4:U9"/>
    <mergeCell ref="V4:V9"/>
    <mergeCell ref="H80:H81"/>
    <mergeCell ref="I80:I81"/>
    <mergeCell ref="J80:J81"/>
    <mergeCell ref="A82:A85"/>
    <mergeCell ref="B82:B85"/>
    <mergeCell ref="C82:C85"/>
    <mergeCell ref="H75:H77"/>
    <mergeCell ref="I75:I77"/>
    <mergeCell ref="J75:J77"/>
    <mergeCell ref="A78:A81"/>
    <mergeCell ref="B78:B81"/>
    <mergeCell ref="C78:C81"/>
    <mergeCell ref="D80:D81"/>
    <mergeCell ref="E80:E81"/>
    <mergeCell ref="F80:F81"/>
    <mergeCell ref="G80:G81"/>
    <mergeCell ref="A71:A77"/>
    <mergeCell ref="B71:B77"/>
    <mergeCell ref="F71:F73"/>
    <mergeCell ref="G71:G73"/>
    <mergeCell ref="H71:H73"/>
    <mergeCell ref="I71:I73"/>
    <mergeCell ref="J71:J73"/>
    <mergeCell ref="C75:C77"/>
    <mergeCell ref="D75:D76"/>
    <mergeCell ref="E75:E76"/>
    <mergeCell ref="F75:F77"/>
    <mergeCell ref="G75:G77"/>
    <mergeCell ref="C71:C73"/>
    <mergeCell ref="D71:D73"/>
    <mergeCell ref="E71:E73"/>
    <mergeCell ref="H44:H45"/>
    <mergeCell ref="B66:B70"/>
    <mergeCell ref="C66:C70"/>
    <mergeCell ref="D66:D67"/>
    <mergeCell ref="E66:E67"/>
    <mergeCell ref="E46:E47"/>
    <mergeCell ref="H53:H54"/>
    <mergeCell ref="F46:F47"/>
    <mergeCell ref="G46:G47"/>
    <mergeCell ref="D46:D47"/>
    <mergeCell ref="I66:I67"/>
    <mergeCell ref="J66:J67"/>
    <mergeCell ref="D68:D69"/>
    <mergeCell ref="E68:E69"/>
    <mergeCell ref="F66:F67"/>
    <mergeCell ref="G66:G67"/>
    <mergeCell ref="I56:I57"/>
    <mergeCell ref="J56:J57"/>
    <mergeCell ref="F56:F57"/>
    <mergeCell ref="G56:G57"/>
    <mergeCell ref="B59:B65"/>
    <mergeCell ref="C59:C65"/>
    <mergeCell ref="D60:D61"/>
    <mergeCell ref="E60:E61"/>
    <mergeCell ref="D62:D63"/>
    <mergeCell ref="E62:E63"/>
    <mergeCell ref="B55:B58"/>
    <mergeCell ref="C55:C58"/>
    <mergeCell ref="D55:D57"/>
    <mergeCell ref="H56:H57"/>
    <mergeCell ref="H66:H67"/>
    <mergeCell ref="A2:A3"/>
    <mergeCell ref="B2:B3"/>
    <mergeCell ref="C2:C3"/>
    <mergeCell ref="D2:D3"/>
    <mergeCell ref="E2:E3"/>
    <mergeCell ref="F2:F3"/>
    <mergeCell ref="E7:E8"/>
    <mergeCell ref="D9:D11"/>
    <mergeCell ref="E9:E11"/>
    <mergeCell ref="F9:F11"/>
    <mergeCell ref="G9:G11"/>
    <mergeCell ref="I14:I15"/>
    <mergeCell ref="J53:J54"/>
    <mergeCell ref="I46:I47"/>
    <mergeCell ref="J46:J47"/>
    <mergeCell ref="D49:D50"/>
    <mergeCell ref="E49:E50"/>
    <mergeCell ref="D51:D52"/>
    <mergeCell ref="E51:E52"/>
    <mergeCell ref="F51:F52"/>
    <mergeCell ref="G51:G52"/>
    <mergeCell ref="H51:H52"/>
    <mergeCell ref="I51:I52"/>
    <mergeCell ref="J51:J52"/>
    <mergeCell ref="D53:D54"/>
    <mergeCell ref="E53:E54"/>
    <mergeCell ref="F53:F54"/>
    <mergeCell ref="H46:H47"/>
    <mergeCell ref="I44:I45"/>
    <mergeCell ref="F44:F45"/>
    <mergeCell ref="G44:G45"/>
    <mergeCell ref="J37:J39"/>
    <mergeCell ref="G2:G3"/>
    <mergeCell ref="H2:H3"/>
    <mergeCell ref="I2:I3"/>
    <mergeCell ref="I9:I11"/>
    <mergeCell ref="J9:J11"/>
    <mergeCell ref="A12:A70"/>
    <mergeCell ref="B12:B26"/>
    <mergeCell ref="C12:C26"/>
    <mergeCell ref="D18:D20"/>
    <mergeCell ref="E18:E20"/>
    <mergeCell ref="F19:F20"/>
    <mergeCell ref="G19:G20"/>
    <mergeCell ref="B35:B53"/>
    <mergeCell ref="J2:J3"/>
    <mergeCell ref="E55:E57"/>
    <mergeCell ref="D27:D29"/>
    <mergeCell ref="E27:E29"/>
    <mergeCell ref="C35:C53"/>
    <mergeCell ref="D37:D39"/>
    <mergeCell ref="E37:E39"/>
    <mergeCell ref="D44:D45"/>
    <mergeCell ref="E44:E45"/>
    <mergeCell ref="F37:F39"/>
    <mergeCell ref="A4:A11"/>
    <mergeCell ref="G37:G39"/>
    <mergeCell ref="F14:F15"/>
    <mergeCell ref="G14:G15"/>
    <mergeCell ref="D32:D33"/>
    <mergeCell ref="G53:G54"/>
    <mergeCell ref="D30:D31"/>
    <mergeCell ref="H37:H39"/>
    <mergeCell ref="I53:I54"/>
    <mergeCell ref="D42:D43"/>
    <mergeCell ref="E42:E43"/>
    <mergeCell ref="CL19:CL20"/>
    <mergeCell ref="J14:J15"/>
    <mergeCell ref="I21:I24"/>
    <mergeCell ref="D21:D24"/>
    <mergeCell ref="I37:I39"/>
    <mergeCell ref="I28:I29"/>
    <mergeCell ref="B4:B11"/>
    <mergeCell ref="C4:C11"/>
    <mergeCell ref="D4:D6"/>
    <mergeCell ref="E4:E6"/>
    <mergeCell ref="D7:D8"/>
    <mergeCell ref="E21:E24"/>
    <mergeCell ref="F21:F24"/>
    <mergeCell ref="G21:G24"/>
    <mergeCell ref="H21:H24"/>
    <mergeCell ref="BV27:BV28"/>
    <mergeCell ref="BW27:BW28"/>
    <mergeCell ref="B27:B34"/>
    <mergeCell ref="C27:C34"/>
    <mergeCell ref="H9:H11"/>
    <mergeCell ref="F28:F29"/>
    <mergeCell ref="G28:G29"/>
    <mergeCell ref="H28:H29"/>
    <mergeCell ref="D14:D15"/>
    <mergeCell ref="E14:E15"/>
    <mergeCell ref="H14:H15"/>
    <mergeCell ref="J28:J29"/>
    <mergeCell ref="J19:J20"/>
    <mergeCell ref="J21:J24"/>
    <mergeCell ref="H19:H20"/>
    <mergeCell ref="CD1:CK1"/>
    <mergeCell ref="CD2:CD3"/>
    <mergeCell ref="CE2:CE3"/>
    <mergeCell ref="CF2:CF3"/>
    <mergeCell ref="CG2:CG3"/>
    <mergeCell ref="CH2:CH3"/>
    <mergeCell ref="CI2:CI3"/>
    <mergeCell ref="CJ2:CJ3"/>
    <mergeCell ref="CK2:CK3"/>
    <mergeCell ref="CG7:CG8"/>
    <mergeCell ref="CH7:CH8"/>
    <mergeCell ref="CD9:CD11"/>
    <mergeCell ref="CE9:CE11"/>
    <mergeCell ref="CF9:CF11"/>
    <mergeCell ref="CG9:CG11"/>
    <mergeCell ref="CH9:CH11"/>
    <mergeCell ref="CI9:CI11"/>
    <mergeCell ref="CJ9:CJ11"/>
    <mergeCell ref="CK9:CK11"/>
    <mergeCell ref="CI7:CI8"/>
    <mergeCell ref="CF19:CF20"/>
    <mergeCell ref="CJ19:CJ20"/>
    <mergeCell ref="CD21:CD24"/>
    <mergeCell ref="CE21:CE24"/>
    <mergeCell ref="CF21:CF24"/>
    <mergeCell ref="CG21:CG24"/>
    <mergeCell ref="CH21:CH24"/>
    <mergeCell ref="CI21:CI24"/>
    <mergeCell ref="CJ21:CJ24"/>
    <mergeCell ref="CK21:CK24"/>
    <mergeCell ref="CD27:CD28"/>
    <mergeCell ref="CE27:CE28"/>
    <mergeCell ref="CG27:CG29"/>
    <mergeCell ref="CH27:CH29"/>
    <mergeCell ref="CI27:CI29"/>
    <mergeCell ref="CJ28:CJ29"/>
    <mergeCell ref="CK28:CK29"/>
    <mergeCell ref="CD19:CD20"/>
    <mergeCell ref="CF27:CF28"/>
    <mergeCell ref="CK18:CK20"/>
    <mergeCell ref="CK31:CK32"/>
    <mergeCell ref="CD37:CD39"/>
    <mergeCell ref="CE37:CE39"/>
    <mergeCell ref="CF37:CF39"/>
    <mergeCell ref="CG37:CG39"/>
    <mergeCell ref="CH37:CH39"/>
    <mergeCell ref="CI37:CI39"/>
    <mergeCell ref="CJ37:CJ39"/>
    <mergeCell ref="CK37:CK39"/>
    <mergeCell ref="CD44:CD45"/>
    <mergeCell ref="CE44:CE45"/>
    <mergeCell ref="CF44:CF45"/>
    <mergeCell ref="CG44:CG45"/>
    <mergeCell ref="CH44:CH45"/>
    <mergeCell ref="CI44:CI45"/>
    <mergeCell ref="CJ44:CJ45"/>
    <mergeCell ref="CK44:CK45"/>
    <mergeCell ref="CD46:CD47"/>
    <mergeCell ref="CE46:CE47"/>
    <mergeCell ref="CF46:CF47"/>
    <mergeCell ref="CG46:CG47"/>
    <mergeCell ref="CH46:CH47"/>
    <mergeCell ref="CI46:CI47"/>
    <mergeCell ref="CJ46:CJ47"/>
    <mergeCell ref="CK46:CK47"/>
    <mergeCell ref="CG49:CG50"/>
    <mergeCell ref="CH49:CH50"/>
    <mergeCell ref="CI49:CI50"/>
    <mergeCell ref="CD51:CD52"/>
    <mergeCell ref="CE51:CE52"/>
    <mergeCell ref="CF51:CF52"/>
    <mergeCell ref="CG51:CG52"/>
    <mergeCell ref="CH51:CH52"/>
    <mergeCell ref="CI51:CI52"/>
    <mergeCell ref="CJ51:CJ52"/>
    <mergeCell ref="CK51:CK52"/>
    <mergeCell ref="CH71:CH73"/>
    <mergeCell ref="CI71:CI73"/>
    <mergeCell ref="CJ71:CJ73"/>
    <mergeCell ref="CK71:CK73"/>
    <mergeCell ref="CD53:CD54"/>
    <mergeCell ref="CE53:CE54"/>
    <mergeCell ref="CF53:CF54"/>
    <mergeCell ref="CG53:CG54"/>
    <mergeCell ref="CH53:CH54"/>
    <mergeCell ref="CI53:CI54"/>
    <mergeCell ref="CJ53:CJ54"/>
    <mergeCell ref="CK53:CK54"/>
    <mergeCell ref="CG55:CG57"/>
    <mergeCell ref="CH55:CH57"/>
    <mergeCell ref="CI55:CI57"/>
    <mergeCell ref="CK55:CK57"/>
    <mergeCell ref="CD56:CD57"/>
    <mergeCell ref="CE56:CE57"/>
    <mergeCell ref="CF56:CF57"/>
    <mergeCell ref="CJ56:CJ57"/>
    <mergeCell ref="CG60:CG61"/>
    <mergeCell ref="CH60:CH61"/>
    <mergeCell ref="CI60:CI61"/>
    <mergeCell ref="CN27:CN28"/>
    <mergeCell ref="CD75:CD77"/>
    <mergeCell ref="CE75:CE77"/>
    <mergeCell ref="CF75:CF77"/>
    <mergeCell ref="CG75:CG77"/>
    <mergeCell ref="CH75:CH77"/>
    <mergeCell ref="CI75:CI77"/>
    <mergeCell ref="CJ75:CJ77"/>
    <mergeCell ref="CK75:CK77"/>
    <mergeCell ref="CD80:CD81"/>
    <mergeCell ref="CE80:CE81"/>
    <mergeCell ref="CF80:CF81"/>
    <mergeCell ref="CG80:CG81"/>
    <mergeCell ref="CH80:CH81"/>
    <mergeCell ref="CI80:CI81"/>
    <mergeCell ref="CJ80:CJ81"/>
    <mergeCell ref="CK80:CK81"/>
    <mergeCell ref="CG62:CG63"/>
    <mergeCell ref="CH62:CH63"/>
    <mergeCell ref="CI62:CI63"/>
    <mergeCell ref="CD66:CD67"/>
    <mergeCell ref="CE66:CE67"/>
    <mergeCell ref="CF66:CF67"/>
    <mergeCell ref="CG66:CG67"/>
    <mergeCell ref="CH66:CH67"/>
    <mergeCell ref="CI66:CI67"/>
    <mergeCell ref="CJ66:CJ67"/>
    <mergeCell ref="CK66:CK67"/>
    <mergeCell ref="CD71:CD73"/>
    <mergeCell ref="CE71:CE73"/>
    <mergeCell ref="CF71:CF73"/>
    <mergeCell ref="CG71:CG73"/>
  </mergeCells>
  <conditionalFormatting sqref="T4:T85">
    <cfRule type="cellIs" dxfId="64" priority="118" stopIfTrue="1" operator="between">
      <formula>0</formula>
      <formula>0.39</formula>
    </cfRule>
    <cfRule type="cellIs" dxfId="63" priority="117" stopIfTrue="1" operator="between">
      <formula>0.4</formula>
      <formula>0.59</formula>
    </cfRule>
    <cfRule type="cellIs" dxfId="62" priority="116" stopIfTrue="1" operator="between">
      <formula>0.6</formula>
      <formula>0.69</formula>
    </cfRule>
    <cfRule type="cellIs" dxfId="61" priority="114" stopIfTrue="1" operator="between">
      <formula>0.8</formula>
      <formula>1.01</formula>
    </cfRule>
    <cfRule type="cellIs" dxfId="60" priority="115" stopIfTrue="1" operator="between">
      <formula>0.7</formula>
      <formula>0.79</formula>
    </cfRule>
  </conditionalFormatting>
  <conditionalFormatting sqref="AA4:AA85">
    <cfRule type="cellIs" dxfId="59" priority="132" stopIfTrue="1" operator="between">
      <formula>0.4</formula>
      <formula>0.59</formula>
    </cfRule>
    <cfRule type="cellIs" dxfId="58" priority="131" stopIfTrue="1" operator="between">
      <formula>0.6</formula>
      <formula>0.69</formula>
    </cfRule>
    <cfRule type="cellIs" dxfId="57" priority="130" stopIfTrue="1" operator="between">
      <formula>0.7</formula>
      <formula>0.79</formula>
    </cfRule>
    <cfRule type="cellIs" dxfId="56" priority="129" stopIfTrue="1" operator="between">
      <formula>0.8</formula>
      <formula>1.01</formula>
    </cfRule>
    <cfRule type="cellIs" dxfId="55" priority="133" stopIfTrue="1" operator="between">
      <formula>0</formula>
      <formula>0.39</formula>
    </cfRule>
  </conditionalFormatting>
  <conditionalFormatting sqref="AH4:AH85">
    <cfRule type="cellIs" dxfId="54" priority="107" stopIfTrue="1" operator="between">
      <formula>0.4</formula>
      <formula>0.59</formula>
    </cfRule>
    <cfRule type="cellIs" dxfId="53" priority="108" stopIfTrue="1" operator="between">
      <formula>0</formula>
      <formula>0.39</formula>
    </cfRule>
    <cfRule type="cellIs" dxfId="52" priority="106" stopIfTrue="1" operator="between">
      <formula>0.6</formula>
      <formula>0.69</formula>
    </cfRule>
    <cfRule type="cellIs" dxfId="51" priority="105" stopIfTrue="1" operator="between">
      <formula>0.7</formula>
      <formula>0.79</formula>
    </cfRule>
    <cfRule type="cellIs" dxfId="50" priority="104" stopIfTrue="1" operator="between">
      <formula>0.8</formula>
      <formula>1.01</formula>
    </cfRule>
  </conditionalFormatting>
  <conditionalFormatting sqref="AO4:AO85">
    <cfRule type="cellIs" dxfId="49" priority="113" stopIfTrue="1" operator="between">
      <formula>0</formula>
      <formula>0.39</formula>
    </cfRule>
    <cfRule type="cellIs" dxfId="48" priority="112" stopIfTrue="1" operator="between">
      <formula>0.4</formula>
      <formula>0.59</formula>
    </cfRule>
    <cfRule type="cellIs" dxfId="47" priority="111" stopIfTrue="1" operator="between">
      <formula>0.6</formula>
      <formula>0.69</formula>
    </cfRule>
    <cfRule type="cellIs" dxfId="46" priority="110" stopIfTrue="1" operator="between">
      <formula>0.7</formula>
      <formula>0.79</formula>
    </cfRule>
    <cfRule type="cellIs" dxfId="45" priority="109" stopIfTrue="1" operator="between">
      <formula>0.8</formula>
      <formula>1.01</formula>
    </cfRule>
  </conditionalFormatting>
  <conditionalFormatting sqref="AV4:AV85">
    <cfRule type="cellIs" dxfId="44" priority="96" stopIfTrue="1" operator="between">
      <formula>0.6</formula>
      <formula>0.69</formula>
    </cfRule>
    <cfRule type="cellIs" dxfId="43" priority="95" stopIfTrue="1" operator="between">
      <formula>0.7</formula>
      <formula>0.79</formula>
    </cfRule>
    <cfRule type="cellIs" dxfId="42" priority="94" stopIfTrue="1" operator="between">
      <formula>0.8</formula>
      <formula>1.01</formula>
    </cfRule>
    <cfRule type="cellIs" dxfId="41" priority="98" stopIfTrue="1" operator="between">
      <formula>0</formula>
      <formula>0.39</formula>
    </cfRule>
    <cfRule type="cellIs" dxfId="40" priority="97" stopIfTrue="1" operator="between">
      <formula>0.4</formula>
      <formula>0.59</formula>
    </cfRule>
  </conditionalFormatting>
  <conditionalFormatting sqref="BC4:BC85">
    <cfRule type="cellIs" dxfId="39" priority="103" stopIfTrue="1" operator="between">
      <formula>0</formula>
      <formula>0.39</formula>
    </cfRule>
    <cfRule type="cellIs" dxfId="38" priority="102" stopIfTrue="1" operator="between">
      <formula>0.4</formula>
      <formula>0.59</formula>
    </cfRule>
    <cfRule type="cellIs" dxfId="37" priority="101" stopIfTrue="1" operator="between">
      <formula>0.6</formula>
      <formula>0.69</formula>
    </cfRule>
    <cfRule type="cellIs" dxfId="36" priority="100" stopIfTrue="1" operator="between">
      <formula>0.7</formula>
      <formula>0.79</formula>
    </cfRule>
    <cfRule type="cellIs" dxfId="35" priority="99" stopIfTrue="1" operator="between">
      <formula>0.8</formula>
      <formula>1.01</formula>
    </cfRule>
  </conditionalFormatting>
  <conditionalFormatting sqref="BJ2:BJ85">
    <cfRule type="cellIs" dxfId="34" priority="81" operator="between">
      <formula>0.6</formula>
      <formula>0.69</formula>
    </cfRule>
    <cfRule type="cellIs" dxfId="33" priority="82" operator="between">
      <formula>0.4</formula>
      <formula>0.59</formula>
    </cfRule>
    <cfRule type="cellIs" dxfId="32" priority="83" operator="between">
      <formula>0</formula>
      <formula>0.39</formula>
    </cfRule>
    <cfRule type="cellIs" dxfId="31" priority="79" operator="between">
      <formula>0.8</formula>
      <formula>1.01</formula>
    </cfRule>
    <cfRule type="cellIs" dxfId="30" priority="80" operator="between">
      <formula>0.7</formula>
      <formula>0.79</formula>
    </cfRule>
  </conditionalFormatting>
  <conditionalFormatting sqref="BQ4:BQ85">
    <cfRule type="cellIs" dxfId="29" priority="78" stopIfTrue="1" operator="between">
      <formula>0</formula>
      <formula>0.39</formula>
    </cfRule>
    <cfRule type="cellIs" dxfId="28" priority="77" stopIfTrue="1" operator="between">
      <formula>0.4</formula>
      <formula>0.59</formula>
    </cfRule>
    <cfRule type="cellIs" dxfId="27" priority="76" stopIfTrue="1" operator="between">
      <formula>0.6</formula>
      <formula>0.69</formula>
    </cfRule>
    <cfRule type="cellIs" dxfId="26" priority="75" stopIfTrue="1" operator="between">
      <formula>0.7</formula>
      <formula>0.79</formula>
    </cfRule>
    <cfRule type="cellIs" dxfId="25" priority="74" stopIfTrue="1" operator="between">
      <formula>0.8</formula>
      <formula>1.01</formula>
    </cfRule>
  </conditionalFormatting>
  <conditionalFormatting sqref="BX4:BX85">
    <cfRule type="cellIs" dxfId="24" priority="72" stopIfTrue="1" operator="between">
      <formula>0.4</formula>
      <formula>0.59</formula>
    </cfRule>
    <cfRule type="cellIs" dxfId="23" priority="73" stopIfTrue="1" operator="between">
      <formula>0</formula>
      <formula>0.39</formula>
    </cfRule>
    <cfRule type="cellIs" dxfId="22" priority="71" stopIfTrue="1" operator="between">
      <formula>0.6</formula>
      <formula>0.69</formula>
    </cfRule>
    <cfRule type="cellIs" dxfId="21" priority="70" stopIfTrue="1" operator="between">
      <formula>0.7</formula>
      <formula>0.79</formula>
    </cfRule>
    <cfRule type="cellIs" dxfId="20" priority="69" stopIfTrue="1" operator="between">
      <formula>0.8</formula>
      <formula>1.01</formula>
    </cfRule>
  </conditionalFormatting>
  <conditionalFormatting sqref="CA1:CA3 CA86:CA1048576">
    <cfRule type="cellIs" priority="38" operator="between">
      <formula>1</formula>
      <formula>100</formula>
    </cfRule>
  </conditionalFormatting>
  <conditionalFormatting sqref="CA4:CA85">
    <cfRule type="cellIs" dxfId="19" priority="35" operator="between">
      <formula>0.6</formula>
      <formula>0.69</formula>
    </cfRule>
    <cfRule type="cellIs" dxfId="18" priority="33" operator="between">
      <formula>0.8</formula>
      <formula>1</formula>
    </cfRule>
    <cfRule type="cellIs" dxfId="17" priority="34" operator="between">
      <formula>0.7</formula>
      <formula>0.79</formula>
    </cfRule>
    <cfRule type="cellIs" dxfId="16" priority="37" stopIfTrue="1" operator="between">
      <formula>0</formula>
      <formula>0.39</formula>
    </cfRule>
    <cfRule type="cellIs" dxfId="15" priority="36" operator="between">
      <formula>0.4</formula>
      <formula>0.59</formula>
    </cfRule>
  </conditionalFormatting>
  <conditionalFormatting sqref="CF4:CF27 CF29:CF85">
    <cfRule type="cellIs" dxfId="14" priority="21" stopIfTrue="1" operator="between">
      <formula>0</formula>
      <formula>0.39</formula>
    </cfRule>
    <cfRule type="cellIs" dxfId="13" priority="20" stopIfTrue="1" operator="between">
      <formula>0.4</formula>
      <formula>0.59</formula>
    </cfRule>
    <cfRule type="cellIs" dxfId="12" priority="19" stopIfTrue="1" operator="between">
      <formula>0.6</formula>
      <formula>0.69</formula>
    </cfRule>
    <cfRule type="cellIs" dxfId="11" priority="18" stopIfTrue="1" operator="between">
      <formula>0.7</formula>
      <formula>0.79</formula>
    </cfRule>
    <cfRule type="cellIs" dxfId="10" priority="17" stopIfTrue="1" operator="between">
      <formula>0.8</formula>
      <formula>1.01</formula>
    </cfRule>
  </conditionalFormatting>
  <conditionalFormatting sqref="CI1:CI3">
    <cfRule type="cellIs" priority="27" operator="between">
      <formula>1</formula>
      <formula>100</formula>
    </cfRule>
  </conditionalFormatting>
  <conditionalFormatting sqref="CI4:CI7 CI9:CI85">
    <cfRule type="cellIs" dxfId="9" priority="3" operator="between">
      <formula>0.6</formula>
      <formula>0.69</formula>
    </cfRule>
    <cfRule type="cellIs" dxfId="8" priority="1" operator="between">
      <formula>0.8</formula>
      <formula>1</formula>
    </cfRule>
    <cfRule type="cellIs" dxfId="7" priority="2" operator="between">
      <formula>0.7</formula>
      <formula>0.79</formula>
    </cfRule>
    <cfRule type="cellIs" dxfId="6" priority="5" stopIfTrue="1" operator="between">
      <formula>0</formula>
      <formula>0.39</formula>
    </cfRule>
    <cfRule type="cellIs" dxfId="5" priority="4" operator="between">
      <formula>0.4</formula>
      <formula>0.59</formula>
    </cfRule>
  </conditionalFormatting>
  <conditionalFormatting sqref="CI86:CI87">
    <cfRule type="cellIs" priority="11" operator="between">
      <formula>1</formula>
      <formula>100</formula>
    </cfRule>
  </conditionalFormatting>
  <conditionalFormatting sqref="CN4:CN7 CN9:CN16 CN18 CN21:CN27 CN30:CN49 CN51:CN55 CN58:CN60 CN62 CN64:CN85">
    <cfRule type="cellIs" dxfId="4" priority="14" stopIfTrue="1" operator="between">
      <formula>0.6</formula>
      <formula>0.69</formula>
    </cfRule>
    <cfRule type="cellIs" dxfId="3" priority="16" stopIfTrue="1" operator="between">
      <formula>0</formula>
      <formula>0.39</formula>
    </cfRule>
    <cfRule type="cellIs" dxfId="2" priority="15" stopIfTrue="1" operator="between">
      <formula>0.4</formula>
      <formula>0.59</formula>
    </cfRule>
    <cfRule type="cellIs" dxfId="1" priority="13" stopIfTrue="1" operator="between">
      <formula>0.7</formula>
      <formula>0.79</formula>
    </cfRule>
    <cfRule type="cellIs" dxfId="0" priority="12" stopIfTrue="1" operator="between">
      <formula>0.8</formula>
      <formula>1.01</formula>
    </cfRule>
  </conditionalFormatting>
  <pageMargins left="0.7" right="0.7" top="0.75" bottom="0.75" header="0.3" footer="0.3"/>
  <pageSetup orientation="portrait"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5"/>
  <sheetViews>
    <sheetView topLeftCell="A13" zoomScale="90" zoomScaleNormal="90" workbookViewId="0">
      <selection activeCell="B8" sqref="B8"/>
    </sheetView>
  </sheetViews>
  <sheetFormatPr baseColWidth="10" defaultRowHeight="15" x14ac:dyDescent="0.25"/>
  <cols>
    <col min="1" max="1" width="14.85546875" bestFit="1" customWidth="1"/>
    <col min="2" max="2" width="22.7109375" customWidth="1"/>
    <col min="3" max="3" width="15.85546875" customWidth="1"/>
    <col min="4" max="4" width="8.85546875" customWidth="1"/>
    <col min="5" max="5" width="7.85546875" customWidth="1"/>
    <col min="6" max="6" width="17.28515625" customWidth="1"/>
    <col min="7" max="7" width="18" customWidth="1"/>
    <col min="8" max="8" width="14.28515625" customWidth="1"/>
  </cols>
  <sheetData>
    <row r="1" spans="1:4" ht="15.75" thickBot="1" x14ac:dyDescent="0.3"/>
    <row r="2" spans="1:4" ht="15.75" thickBot="1" x14ac:dyDescent="0.3">
      <c r="A2" s="5" t="s">
        <v>284</v>
      </c>
      <c r="B2" s="6" t="s">
        <v>285</v>
      </c>
    </row>
    <row r="3" spans="1:4" ht="15.75" thickBot="1" x14ac:dyDescent="0.3">
      <c r="A3" s="7" t="s">
        <v>411</v>
      </c>
      <c r="B3" s="8">
        <f>D35</f>
        <v>18</v>
      </c>
      <c r="D3" s="237"/>
    </row>
    <row r="4" spans="1:4" ht="15.75" thickBot="1" x14ac:dyDescent="0.3">
      <c r="A4" s="9" t="s">
        <v>405</v>
      </c>
      <c r="B4" s="8">
        <v>8</v>
      </c>
      <c r="D4" s="237"/>
    </row>
    <row r="5" spans="1:4" ht="15.75" thickBot="1" x14ac:dyDescent="0.3">
      <c r="A5" s="10" t="s">
        <v>406</v>
      </c>
      <c r="B5" s="8">
        <f>F35</f>
        <v>3</v>
      </c>
      <c r="D5" s="237"/>
    </row>
    <row r="6" spans="1:4" ht="15.75" thickBot="1" x14ac:dyDescent="0.3">
      <c r="A6" s="11" t="s">
        <v>407</v>
      </c>
      <c r="B6" s="8">
        <f>G35</f>
        <v>2</v>
      </c>
      <c r="D6" s="237"/>
    </row>
    <row r="7" spans="1:4" ht="15.75" thickBot="1" x14ac:dyDescent="0.3">
      <c r="A7" s="12" t="s">
        <v>408</v>
      </c>
      <c r="B7" s="8">
        <f>H35</f>
        <v>30</v>
      </c>
      <c r="D7" s="237"/>
    </row>
    <row r="9" spans="1:4" x14ac:dyDescent="0.25">
      <c r="B9" s="4">
        <f>SUM(B3:B7)</f>
        <v>61</v>
      </c>
    </row>
    <row r="27" spans="1:9" ht="15.75" thickBot="1" x14ac:dyDescent="0.3"/>
    <row r="28" spans="1:9" ht="15.75" customHeight="1" thickBot="1" x14ac:dyDescent="0.3">
      <c r="A28" s="722" t="s">
        <v>413</v>
      </c>
      <c r="B28" s="724" t="s">
        <v>414</v>
      </c>
      <c r="C28" s="724" t="s">
        <v>4</v>
      </c>
      <c r="D28" s="726" t="s">
        <v>985</v>
      </c>
      <c r="E28" s="727"/>
      <c r="F28" s="727"/>
      <c r="G28" s="727"/>
      <c r="H28" s="727"/>
      <c r="I28" s="728"/>
    </row>
    <row r="29" spans="1:9" ht="31.5" customHeight="1" thickBot="1" x14ac:dyDescent="0.3">
      <c r="A29" s="723"/>
      <c r="B29" s="725"/>
      <c r="C29" s="725"/>
      <c r="D29" s="17" t="s">
        <v>404</v>
      </c>
      <c r="E29" s="17" t="s">
        <v>405</v>
      </c>
      <c r="F29" s="17" t="s">
        <v>406</v>
      </c>
      <c r="G29" s="17" t="s">
        <v>407</v>
      </c>
      <c r="H29" s="17" t="s">
        <v>408</v>
      </c>
      <c r="I29" s="18" t="s">
        <v>409</v>
      </c>
    </row>
    <row r="30" spans="1:9" ht="26.25" thickBot="1" x14ac:dyDescent="0.3">
      <c r="A30" s="19">
        <v>1</v>
      </c>
      <c r="B30" s="20" t="s">
        <v>9</v>
      </c>
      <c r="C30" s="21">
        <v>6</v>
      </c>
      <c r="D30" s="22">
        <v>2</v>
      </c>
      <c r="E30" s="23"/>
      <c r="F30" s="13"/>
      <c r="G30" s="24">
        <v>1</v>
      </c>
      <c r="H30" s="25">
        <v>3</v>
      </c>
      <c r="I30" s="26">
        <f>SUM(D30:H30)</f>
        <v>6</v>
      </c>
    </row>
    <row r="31" spans="1:9" ht="29.25" customHeight="1" thickBot="1" x14ac:dyDescent="0.3">
      <c r="A31" s="19">
        <v>2</v>
      </c>
      <c r="B31" s="20" t="s">
        <v>26</v>
      </c>
      <c r="C31" s="21">
        <v>44</v>
      </c>
      <c r="D31" s="22">
        <v>16</v>
      </c>
      <c r="E31" s="23">
        <v>5</v>
      </c>
      <c r="F31" s="27">
        <v>3</v>
      </c>
      <c r="G31" s="24"/>
      <c r="H31" s="25">
        <v>20</v>
      </c>
      <c r="I31" s="26">
        <f>SUM(D31:H31)</f>
        <v>44</v>
      </c>
    </row>
    <row r="32" spans="1:9" ht="26.25" thickBot="1" x14ac:dyDescent="0.3">
      <c r="A32" s="19">
        <v>3</v>
      </c>
      <c r="B32" s="20" t="s">
        <v>203</v>
      </c>
      <c r="C32" s="21">
        <v>4</v>
      </c>
      <c r="D32" s="22"/>
      <c r="E32" s="23">
        <v>1</v>
      </c>
      <c r="F32" s="27"/>
      <c r="G32" s="24"/>
      <c r="H32" s="25">
        <v>3</v>
      </c>
      <c r="I32" s="26">
        <f t="shared" ref="I32:I34" si="0">SUM(D32:H32)</f>
        <v>4</v>
      </c>
    </row>
    <row r="33" spans="1:9" ht="26.25" thickBot="1" x14ac:dyDescent="0.3">
      <c r="A33" s="19">
        <v>4</v>
      </c>
      <c r="B33" s="20" t="s">
        <v>220</v>
      </c>
      <c r="C33" s="21">
        <v>3</v>
      </c>
      <c r="D33" s="22"/>
      <c r="E33" s="23">
        <v>1</v>
      </c>
      <c r="F33" s="13"/>
      <c r="G33" s="24">
        <v>1</v>
      </c>
      <c r="H33" s="25">
        <v>1</v>
      </c>
      <c r="I33" s="26">
        <f t="shared" si="0"/>
        <v>3</v>
      </c>
    </row>
    <row r="34" spans="1:9" ht="26.25" thickBot="1" x14ac:dyDescent="0.3">
      <c r="A34" s="19">
        <v>5</v>
      </c>
      <c r="B34" s="20" t="s">
        <v>410</v>
      </c>
      <c r="C34" s="21">
        <v>4</v>
      </c>
      <c r="D34" s="49"/>
      <c r="E34" s="23">
        <v>1</v>
      </c>
      <c r="F34" s="27"/>
      <c r="G34" s="24"/>
      <c r="H34" s="25">
        <v>3</v>
      </c>
      <c r="I34" s="26">
        <f t="shared" si="0"/>
        <v>4</v>
      </c>
    </row>
    <row r="35" spans="1:9" ht="15.75" thickBot="1" x14ac:dyDescent="0.3">
      <c r="A35" s="729" t="s">
        <v>415</v>
      </c>
      <c r="B35" s="730"/>
      <c r="C35" s="731"/>
      <c r="D35" s="28">
        <f>SUM(D30:D34)</f>
        <v>18</v>
      </c>
      <c r="E35" s="28">
        <f t="shared" ref="E35:G35" si="1">SUM(E30:E34)</f>
        <v>8</v>
      </c>
      <c r="F35" s="28">
        <f t="shared" si="1"/>
        <v>3</v>
      </c>
      <c r="G35" s="28">
        <f t="shared" si="1"/>
        <v>2</v>
      </c>
      <c r="H35" s="28">
        <f>SUM(H30:H34)</f>
        <v>30</v>
      </c>
      <c r="I35" s="28">
        <f>SUM(I30:I34)</f>
        <v>61</v>
      </c>
    </row>
  </sheetData>
  <mergeCells count="5">
    <mergeCell ref="A28:A29"/>
    <mergeCell ref="B28:B29"/>
    <mergeCell ref="C28:C29"/>
    <mergeCell ref="D28:I28"/>
    <mergeCell ref="A35:C35"/>
  </mergeCells>
  <pageMargins left="0.7" right="0.7" top="0.75" bottom="0.75" header="0.3" footer="0.3"/>
  <pageSetup paperSize="9" orientation="portrait"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vt:lpstr>
      <vt:lpstr>Avance Total</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andres lopez ramirez</dc:creator>
  <cp:lastModifiedBy>Laura</cp:lastModifiedBy>
  <dcterms:created xsi:type="dcterms:W3CDTF">2018-04-05T13:35:29Z</dcterms:created>
  <dcterms:modified xsi:type="dcterms:W3CDTF">2023-12-27T16:03:22Z</dcterms:modified>
</cp:coreProperties>
</file>