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3. SGT FAMILIA\III TRIMESTRE\Definitivo\"/>
    </mc:Choice>
  </mc:AlternateContent>
  <xr:revisionPtr revIDLastSave="0" documentId="13_ncr:1_{36A0705A-7C0C-427B-88CF-8FBFD6C0A3D9}" xr6:coauthVersionLast="47" xr6:coauthVersionMax="47" xr10:uidLastSave="{00000000-0000-0000-0000-000000000000}"/>
  <bookViews>
    <workbookView xWindow="20370" yWindow="-120" windowWidth="20730" windowHeight="11160" xr2:uid="{00000000-000D-0000-FFFF-FFFF00000000}"/>
  </bookViews>
  <sheets>
    <sheet name="Matriz Seguimiento" sheetId="2" r:id="rId1"/>
    <sheet name="GRAFICOS" sheetId="4" r:id="rId2"/>
  </sheets>
  <definedNames>
    <definedName name="_xlnm._FilterDatabase" localSheetId="0" hidden="1">'Matriz Seguimiento'!$G$3:$AJ$42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1" i="2" l="1"/>
  <c r="AG10" i="2" l="1"/>
  <c r="AM10" i="2"/>
  <c r="AM6" i="2"/>
  <c r="AM29" i="2"/>
  <c r="AM11" i="2"/>
  <c r="Z39" i="2"/>
  <c r="AM15" i="2"/>
  <c r="AN15" i="2" s="1"/>
  <c r="AC15" i="2" l="1"/>
  <c r="AC14" i="2"/>
  <c r="AC5" i="2" l="1"/>
  <c r="Z5" i="2"/>
  <c r="AM35" i="2"/>
  <c r="AM33" i="2"/>
  <c r="AM30" i="2"/>
  <c r="AM27" i="2"/>
  <c r="AM26" i="2"/>
  <c r="AM23" i="2"/>
  <c r="AM22" i="2"/>
  <c r="AM18" i="2"/>
  <c r="AN18" i="2" s="1"/>
  <c r="AM17" i="2"/>
  <c r="AN17" i="2" s="1"/>
  <c r="AM13" i="2"/>
  <c r="AN10" i="2"/>
  <c r="AJ8" i="2"/>
  <c r="AJ15" i="2"/>
  <c r="AJ17" i="2"/>
  <c r="AJ18" i="2"/>
  <c r="AJ19" i="2"/>
  <c r="AJ22" i="2"/>
  <c r="AJ26" i="2"/>
  <c r="AJ27" i="2"/>
  <c r="AJ28" i="2"/>
  <c r="AJ36" i="2"/>
  <c r="G46" i="4"/>
  <c r="F46" i="4"/>
  <c r="E46" i="4"/>
  <c r="D46" i="4"/>
  <c r="C46" i="4"/>
  <c r="O27" i="4"/>
  <c r="N27" i="4"/>
  <c r="M27" i="4"/>
  <c r="L27" i="4"/>
  <c r="K27" i="4"/>
  <c r="G27" i="4"/>
  <c r="F27" i="4"/>
  <c r="E27" i="4"/>
  <c r="D27" i="4"/>
  <c r="C27" i="4"/>
  <c r="O16" i="4"/>
  <c r="N16" i="4"/>
  <c r="M16" i="4"/>
  <c r="L16" i="4"/>
  <c r="K16" i="4"/>
  <c r="G16" i="4"/>
  <c r="F16" i="4"/>
  <c r="E16" i="4"/>
  <c r="D16" i="4"/>
  <c r="C16" i="4"/>
  <c r="AG20" i="2"/>
  <c r="AI34" i="2"/>
  <c r="AJ34" i="2" s="1"/>
  <c r="AH34" i="2"/>
  <c r="AI23" i="2"/>
  <c r="AJ23" i="2" s="1"/>
  <c r="AH23" i="2"/>
  <c r="AN26" i="2" l="1"/>
  <c r="AH24" i="2" l="1"/>
  <c r="AJ24" i="2" s="1"/>
  <c r="AN22" i="2" l="1"/>
  <c r="AN21" i="2" l="1"/>
  <c r="AN20" i="2"/>
  <c r="AN41" i="2" l="1"/>
  <c r="AI25" i="2" l="1"/>
  <c r="AH25" i="2"/>
  <c r="AN28" i="2"/>
  <c r="AN29" i="2"/>
  <c r="AN30" i="2"/>
  <c r="AN31" i="2"/>
  <c r="AN32" i="2"/>
  <c r="AN33" i="2"/>
  <c r="AN34" i="2"/>
  <c r="AN35" i="2"/>
  <c r="AN36" i="2"/>
  <c r="AN37" i="2"/>
  <c r="AN38" i="2"/>
  <c r="AN39" i="2"/>
  <c r="AN40" i="2"/>
  <c r="AN42" i="2"/>
  <c r="AN27" i="2"/>
  <c r="AN23" i="2"/>
  <c r="AN16" i="2"/>
  <c r="AJ25" i="2" l="1"/>
  <c r="AN14" i="2"/>
  <c r="AN13" i="2"/>
  <c r="AN6" i="2"/>
  <c r="AG23" i="2"/>
  <c r="AI5" i="2" l="1"/>
  <c r="AH5" i="2"/>
  <c r="AJ5" i="2" l="1"/>
  <c r="AI14" i="2"/>
  <c r="AH14" i="2"/>
  <c r="AI16" i="2"/>
  <c r="AH16" i="2"/>
  <c r="AJ16" i="2" l="1"/>
  <c r="AJ14" i="2"/>
  <c r="AG41" i="2"/>
  <c r="AG39" i="2"/>
  <c r="AI20" i="2" l="1"/>
  <c r="AH20" i="2"/>
  <c r="AI10" i="2"/>
  <c r="AH10" i="2"/>
  <c r="AH6" i="2"/>
  <c r="AI6" i="2"/>
  <c r="AJ6" i="2" s="1"/>
  <c r="AJ10" i="2" l="1"/>
  <c r="AJ20" i="2"/>
  <c r="AG4" i="2"/>
  <c r="AG6" i="2"/>
  <c r="AG8" i="2"/>
  <c r="AG9" i="2"/>
  <c r="AG11" i="2"/>
  <c r="AG12" i="2"/>
  <c r="AG13" i="2"/>
  <c r="AG14" i="2"/>
  <c r="AG15" i="2"/>
  <c r="AG16" i="2"/>
  <c r="AG17" i="2"/>
  <c r="AG18" i="2"/>
  <c r="AG19" i="2"/>
  <c r="AG22" i="2"/>
  <c r="AG24" i="2"/>
  <c r="AG25" i="2"/>
  <c r="AG26" i="2"/>
  <c r="AG27" i="2"/>
  <c r="AG28" i="2"/>
  <c r="AG30" i="2"/>
  <c r="AG31" i="2"/>
  <c r="AG32" i="2"/>
  <c r="AG33" i="2"/>
  <c r="AG34" i="2"/>
  <c r="AG35" i="2"/>
  <c r="AG36" i="2"/>
  <c r="AG40" i="2"/>
  <c r="AG5" i="2"/>
  <c r="AC29" i="2" l="1"/>
  <c r="AC26" i="2"/>
  <c r="AB35" i="2" l="1"/>
  <c r="AA35" i="2"/>
  <c r="AC23" i="2" l="1"/>
  <c r="AA24" i="2"/>
  <c r="Z14" i="2"/>
  <c r="Z22" i="2" l="1"/>
  <c r="Z38" i="2"/>
  <c r="Z36" i="2"/>
  <c r="AA6" i="2" l="1"/>
  <c r="AB18" i="2"/>
  <c r="AA18" i="2"/>
  <c r="AB11" i="2"/>
  <c r="AA11" i="2"/>
  <c r="AB8" i="2"/>
  <c r="AA8" i="2"/>
  <c r="AB6" i="2"/>
  <c r="AA22" i="2" l="1"/>
  <c r="AB25" i="2" l="1"/>
  <c r="AA25" i="2"/>
  <c r="Z15" i="2" l="1"/>
  <c r="Z21" i="2"/>
  <c r="Z16" i="2"/>
  <c r="Z17" i="2"/>
  <c r="AC35" i="2" l="1"/>
  <c r="Z35" i="2" l="1"/>
  <c r="Z34" i="2"/>
  <c r="AC31" i="2" l="1"/>
  <c r="AC10" i="2" l="1"/>
  <c r="AC11" i="2"/>
  <c r="AC16" i="2"/>
  <c r="AC17" i="2"/>
  <c r="AC19" i="2"/>
  <c r="AC21" i="2"/>
  <c r="AC22" i="2"/>
  <c r="AC24" i="2"/>
  <c r="AC25" i="2"/>
  <c r="AC32" i="2"/>
  <c r="AC33" i="2"/>
  <c r="AC39" i="2"/>
  <c r="AC6" i="2"/>
  <c r="Z6" i="2" l="1"/>
  <c r="Z4" i="2"/>
  <c r="Z9" i="2" l="1"/>
  <c r="Z11" i="2"/>
  <c r="Z12" i="2"/>
  <c r="Z13" i="2"/>
  <c r="Z18" i="2"/>
  <c r="Z19" i="2"/>
  <c r="Z20" i="2"/>
  <c r="Z23" i="2"/>
  <c r="Z24" i="2"/>
  <c r="Z25" i="2"/>
  <c r="Z26" i="2"/>
  <c r="Z27" i="2"/>
  <c r="Z28" i="2"/>
  <c r="Z29" i="2"/>
  <c r="Z30" i="2"/>
  <c r="Z31" i="2"/>
  <c r="Z32" i="2"/>
  <c r="Z33" i="2"/>
  <c r="Z41" i="2"/>
  <c r="T5" i="2"/>
  <c r="T6" i="2"/>
  <c r="T7" i="2"/>
  <c r="T8" i="2"/>
  <c r="T9"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 i="2"/>
  <c r="N5" i="2"/>
  <c r="N6" i="2"/>
  <c r="N8" i="2"/>
  <c r="N9" i="2"/>
  <c r="N10" i="2"/>
  <c r="N11" i="2"/>
  <c r="AN11" i="2" s="1"/>
  <c r="N12" i="2"/>
  <c r="AN12" i="2" s="1"/>
  <c r="N13" i="2"/>
  <c r="N14" i="2"/>
  <c r="N15" i="2"/>
  <c r="N17" i="2"/>
  <c r="N18" i="2"/>
  <c r="N19" i="2"/>
  <c r="N20" i="2"/>
  <c r="N21" i="2"/>
  <c r="N22" i="2"/>
  <c r="N23" i="2"/>
  <c r="N24" i="2"/>
  <c r="N25" i="2"/>
  <c r="N26" i="2"/>
  <c r="N27" i="2"/>
  <c r="N28" i="2"/>
  <c r="N29" i="2"/>
  <c r="N30" i="2"/>
  <c r="N31" i="2"/>
  <c r="N32" i="2"/>
  <c r="N33" i="2"/>
  <c r="N34" i="2"/>
  <c r="N35" i="2"/>
  <c r="N37" i="2"/>
  <c r="N38" i="2"/>
  <c r="N39" i="2"/>
  <c r="N40" i="2"/>
  <c r="N41" i="2"/>
  <c r="N42" i="2"/>
  <c r="N4" i="2"/>
  <c r="AN9" i="2" l="1"/>
  <c r="AN8" i="2"/>
  <c r="AN19" i="2"/>
  <c r="F8" i="4"/>
  <c r="I8" i="4"/>
  <c r="H8" i="4"/>
  <c r="G8" i="4"/>
  <c r="O5" i="4" s="1"/>
  <c r="E8" i="4"/>
  <c r="J7" i="4"/>
  <c r="J6" i="4"/>
  <c r="J5" i="4"/>
  <c r="J4" i="4"/>
  <c r="J3" i="4"/>
  <c r="J8" i="4" l="1"/>
  <c r="O8" i="4"/>
</calcChain>
</file>

<file path=xl/sharedStrings.xml><?xml version="1.0" encoding="utf-8"?>
<sst xmlns="http://schemas.openxmlformats.org/spreadsheetml/2006/main" count="556" uniqueCount="410">
  <si>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</si>
  <si>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</si>
  <si>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</si>
  <si>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</si>
  <si>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</si>
  <si>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</si>
  <si>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</si>
  <si>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</si>
  <si>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</si>
  <si>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</si>
  <si>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</si>
  <si>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</si>
  <si>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</si>
  <si>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</si>
  <si>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</si>
  <si>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</si>
  <si>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</si>
  <si>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</si>
  <si>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</si>
  <si>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</si>
  <si>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</si>
  <si>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</si>
  <si>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</si>
  <si>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</si>
  <si>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</si>
  <si>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</si>
  <si>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</si>
  <si>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</si>
  <si>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</si>
  <si>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</si>
  <si>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</si>
  <si>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</si>
  <si>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</si>
  <si>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</si>
  <si>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</si>
  <si>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</si>
  <si>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</si>
  <si>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</si>
  <si>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</si>
  <si>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</si>
  <si>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</si>
  <si>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</si>
  <si>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</si>
  <si>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</si>
  <si>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</si>
  <si>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</si>
  <si>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</si>
  <si>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</si>
  <si>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</si>
  <si>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</si>
  <si>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</si>
  <si>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</si>
  <si>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</si>
  <si>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</si>
  <si>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</si>
  <si>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</si>
  <si>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</si>
  <si>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</si>
  <si>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</si>
  <si>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</si>
  <si>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</si>
  <si>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</si>
  <si>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</si>
  <si>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</si>
  <si>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</si>
  <si>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</si>
  <si>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</si>
  <si>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</si>
  <si>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</si>
  <si>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</si>
  <si>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</si>
  <si>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</si>
  <si>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</si>
  <si>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</si>
  <si>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</si>
  <si>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</si>
  <si>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</si>
  <si>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</si>
  <si>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</si>
  <si>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</si>
  <si>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</si>
  <si>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</si>
  <si>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</si>
  <si>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</si>
  <si>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</si>
  <si>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</si>
  <si>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</si>
  <si>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</si>
  <si>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</si>
  <si>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</si>
  <si>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</si>
  <si>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</si>
  <si>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</si>
  <si>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</si>
  <si>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</si>
  <si>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</si>
  <si>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</si>
  <si>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</si>
  <si>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</si>
  <si>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</si>
  <si>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</si>
  <si>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</si>
  <si>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</si>
  <si>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</si>
  <si>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</si>
  <si>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</si>
  <si>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</si>
  <si>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</si>
  <si>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</si>
  <si>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</si>
  <si>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</si>
  <si>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</si>
  <si>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</si>
  <si>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</si>
  <si>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</si>
  <si>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</si>
  <si>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</si>
  <si>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</si>
  <si>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</si>
  <si>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</si>
  <si>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</si>
  <si>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</si>
  <si>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</si>
  <si>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</si>
  <si>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</si>
  <si>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</si>
  <si>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</si>
  <si>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</si>
  <si>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</si>
  <si>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</si>
  <si>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</si>
  <si>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</si>
  <si>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</si>
  <si>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</si>
  <si>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</si>
  <si>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</si>
  <si>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</si>
  <si>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</si>
  <si>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</si>
  <si>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</si>
  <si>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</si>
  <si>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</si>
  <si>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</si>
  <si>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</si>
  <si>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</si>
  <si>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</si>
  <si>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</si>
  <si>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</si>
  <si>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</si>
  <si>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</si>
  <si>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</si>
  <si>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</si>
  <si>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</si>
  <si>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</si>
  <si>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</si>
  <si>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</si>
  <si>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</si>
  <si>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</si>
  <si>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</si>
  <si>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</si>
  <si>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</si>
  <si>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</si>
  <si>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</si>
  <si>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</si>
  <si>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</si>
  <si>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</si>
  <si>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</si>
  <si>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</si>
  <si>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</si>
  <si>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</si>
  <si>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</si>
  <si>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</si>
  <si>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</si>
  <si>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</si>
  <si>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</si>
  <si>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</si>
  <si>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</si>
  <si>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</si>
  <si>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</si>
  <si>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</si>
  <si>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</si>
  <si>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</si>
  <si>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</si>
  <si>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</si>
  <si>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</si>
  <si>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</si>
  <si>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</si>
  <si>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</si>
  <si>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</si>
  <si>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</si>
  <si>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</si>
  <si>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</si>
  <si>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</si>
  <si>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</si>
  <si>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</si>
  <si>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</si>
  <si>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</si>
  <si>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</si>
  <si>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</si>
  <si>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</si>
  <si>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</si>
  <si>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</si>
  <si>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</si>
  <si>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</si>
  <si>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</si>
  <si>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</si>
  <si>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</si>
  <si>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</si>
  <si>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</si>
  <si>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</si>
  <si>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</si>
  <si>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</si>
  <si>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</si>
  <si>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</si>
  <si>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</si>
  <si>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</si>
  <si>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</si>
  <si>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</si>
  <si>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</si>
  <si>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</si>
  <si>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</si>
  <si>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</si>
  <si>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</si>
  <si>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</si>
  <si>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</si>
  <si>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</si>
  <si>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</si>
  <si>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</si>
  <si>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</si>
  <si>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</si>
  <si>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</si>
  <si>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</si>
  <si>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</si>
  <si>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</si>
  <si>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</si>
  <si>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</si>
  <si>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</si>
  <si>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</si>
  <si>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</si>
  <si>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</si>
  <si>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</si>
  <si>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</si>
  <si>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</si>
  <si>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</si>
  <si>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</si>
  <si>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</si>
  <si>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</si>
  <si>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</si>
  <si>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</si>
  <si>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</si>
  <si>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</si>
  <si>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r>
      <t xml:space="preserve">POLÍTICA PÚBLICA DE DIVERSIDAD SEXUAL E IDENTIDAD DE GÉNERO 2019-2029  </t>
    </r>
    <r>
      <rPr>
        <b/>
        <i/>
        <sz val="36"/>
        <rFont val="Arial"/>
        <family val="2"/>
      </rPr>
      <t>QUINDÍO DIVERSO</t>
    </r>
  </si>
  <si>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</si>
  <si>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</si>
  <si>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</si>
  <si>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</si>
  <si>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</si>
  <si>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</si>
  <si>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</si>
  <si>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</si>
  <si>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</si>
  <si>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</si>
  <si>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</si>
  <si>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</si>
  <si>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</si>
  <si>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</si>
  <si>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</si>
  <si>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</si>
  <si>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</si>
  <si>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</si>
  <si>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</si>
  <si>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</si>
  <si>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</si>
  <si>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</si>
  <si>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</si>
  <si>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</si>
  <si>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</si>
  <si>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</si>
  <si>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</si>
  <si>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</si>
  <si>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</si>
  <si>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</si>
  <si>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</si>
  <si>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</si>
  <si>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</si>
  <si>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</si>
  <si>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</si>
  <si>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</si>
  <si>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</si>
  <si>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</si>
  <si>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</si>
  <si>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</si>
  <si>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</si>
  <si>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</si>
  <si>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</si>
  <si>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</si>
  <si>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</si>
  <si>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</si>
  <si>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</si>
  <si>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</si>
  <si>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</si>
  <si>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</si>
  <si>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</si>
  <si>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</si>
  <si>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Durante el período informado no se adelantaron acciones para dar cumplimiento a la meta e indicador.</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</si>
  <si>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</si>
  <si>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</si>
  <si>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Incluyó a la población sexualmente diversa en la Implementación de módulos formativos de base comunitaria para la prevención, atención y mitigación del consumo de SPA en los municipios de Pijao, Circasia y Armenia.</t>
  </si>
  <si>
    <t>Se realizó presentación del reporte del seguimiento e implementación de la política pública en el marco de la rendición pública de cuentas institucional de la vigencia 2021</t>
  </si>
  <si>
    <t xml:space="preserve">Desde la Secretaría de Familia se adoptó e implementó la ruta antidiscriminación, en el periodo informado en los municipios de  Calarcá, Armenia y Quimbaya.
Desde la Secretaria de Familia en el 4 trimestre de la vigencia 2022, se adoptó e implemento la ruta antidiscriminación así:
Armenia: Estudiantes SENA centro de turismo, barrio las palmas, barrio villa Liliana, funcionarios gobernación del Quindío, barrio Alfonso López y barrio la fachada 
Pijao: barrio paraíso, Reinado Pijao Diverso
Córdoba: plaza principal 
Quimbaya: institución educativa mercadotecnia, policarpa salavarrieta, vereda Arauca
La tebaida: instituto la tebaida, Reinado Miss Earth International
</t>
  </si>
  <si>
    <t xml:space="preserve">Desde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y se visitaron las oficinas de la administración municipal con el fin de informar a los funcionarios sobre enfoque diferencial, lenguaje inclusivo y la ruta.
</t>
  </si>
  <si>
    <t xml:space="preserve">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Quindío desarrolló en todos sus programas  un enfoque inclusivo sin importar su raza genero u orientación sexual para el beneficio de toda la comunidad del Quindío, se ejecutaron los siguientes actividades                                                                            
1- Hábitos y estilo de vida saludables
2- Fortalecimiento a deportistas Elites                       
3- Escuelas de formación deportiva                             
4- Deporte Social Comunitario                                      
 5- Eventos de movilización en pro del fomento de la actividad física, el deporte y la recreación. (Valor corresponde a $588,579,556 de Programa 01 y $655,561,541 de Programa 02)
Indeportes Quindío durante el 4 trimestre de la vigencia 2022 implemento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</si>
  <si>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t>
  </si>
  <si>
    <t xml:space="preserve">La Secretaria del Interior Departamental señala que los programas y proyectos de postconflicto se encuentran armonizados según PAT. </t>
  </si>
  <si>
    <t xml:space="preserve">Los Municipios de Quimbaya, Buenavista, Pijao, Salento,la Tebaida, Circasia, Filandia, Córdoba y Calarcá garantizan el acceso y representatividad de la población sexualmente diversa a la oferta cultural y artística, pues la oferta municipal está abierta a toda la población.
Desde la Secretaría de Cultura señalan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Osma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 así mismo señala que la garantizan el acceso y representatividad no solamente de la población sexualmente diversa del Departamento del quindío, sino, a todos los grupos poblaciones que hacen parte de nuestro ente territorial: Población Afro, LGBTI, Indigenas, Primera infancia y juventudes, Mujeres, Victimas del Conflicto Armado, Población en condición de discapacidad, personas privadas de la libertad, personas en ejercicio de la prostitución y habitantes de calle.
</t>
  </si>
  <si>
    <t>Desde Secretaría de Salud se realizó 1 campaña en proceso de  sensibilizacion en acciones relacioonadadas con la sensibiizacion  uso de protocolos informados, rutas de atencion, denuncia y seguimiento a casos de hormonizacion no regularizada en el Departamento.</t>
  </si>
  <si>
    <t xml:space="preserve">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 con padres de familia de la IE Mercadotecnia, institución educativa general Santander del municipio de Calarcá, casd santa Eufrasia armenia, institución educativa libre del municipio de Circasia, institución educativa Jesús María Córdoba,  instituto tebaida, escuela de padres Rufino centro armenia, y con los orientadores de las instituciones educativas de los doce municipios del Departamento.
</t>
  </si>
  <si>
    <t>Desde la Secretaría de Familia se brindó asistencia técnica en la conformación y consolidación de espacios de participación de la población sexualmente diversa a  los municipios de Salento, Circasia, Calarcá, Filandia, Montenegro, La Tebaida, Buenavista, Quimbaya, Córdoba y Armenia.</t>
  </si>
  <si>
    <t>Desde la Secretaría de Familia se diseñó e implementó la campaña empodérate por la diversidad en instituciones educativas de los municipios de Salento, Calarcá, Quimbaya, Armenia , Pijao,  Génova, Buenavista, Montenegro, Filandia, La Tebaida, Córdoba y Circasia.</t>
  </si>
  <si>
    <t xml:space="preserve">Creación de la Mesa de Reacción rápida a través del Decreto 441 de 2020, en la cual se hace frente y seguimiento a los casos de amenazas a líderes sociales en el Departamento del Quindío, entre ellos activistas y representantes de la población OSIGD,atendiendo en el segundo trimestre de la vigencia 2022 1 persona.
Con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período informado no se presentaron casos de vulneración de derechos
El Consejo Municipal para la Inclusión de Personas con Orientación Sexual e Identidad deGenero Diverso del municipio de Córdoba, dentro de sus funciones tiene seguimiento a estos casos de vulneración de derechos a población sexualmente diversa. 
</t>
  </si>
  <si>
    <t xml:space="preserve">Desde la Secretaría de Salud Departamental se realizo capacitación a Docentes de las Instituciones educativas de Quimbaya, Funcionarios del Hospital Sagrado corazón de jesus de Quimbaya, Docentes de la Institución educativa Instituto Pijao, en Deberes y Derechos sexuales y reproductivos, métodos anticonceptivos, ITS, Prevención de violencias sexuales, prevención de embarazo subsiguiente. 
</t>
  </si>
  <si>
    <t>Para la vigencia 2023 no se tienen programadas acciones para dar cumplimiento a la meta conforme a lo establecido en el plan decenal.</t>
  </si>
  <si>
    <t>META PROGRAMADA</t>
  </si>
  <si>
    <t>META ACUMULADA</t>
  </si>
  <si>
    <t>OBSERVACIONES</t>
  </si>
  <si>
    <t>SEGUIMIENTO DECENIO</t>
  </si>
  <si>
    <t>No se han adelantado acciones para dar cumplimiento a esta meta.</t>
  </si>
  <si>
    <t>Desde el año 2020 la Secretaria de Familia adopto y ha venido implementando la ruta antidiscriminación en el Departamento.</t>
  </si>
  <si>
    <t>Desde el 2020 la Secretaría de Familia incorporo en los instrumentos de caracterización de usuarios variables para monitorear la atención a la población sexualmente diversa de acuerdo a lo establecido en MIPG a través del formato F-FAM-04 del 19 de noviembre de 2020.</t>
  </si>
  <si>
    <t>Con la creación del consejo consultivo de diversidad sexual e identidad de género(Decreto 510/2020) se da cumplimiento al 100% de esta meta.</t>
  </si>
  <si>
    <t>Se ha realizado presentación de reporte del seguimiento e implementación de la política publica en el marco de la rendición pública de cuentas institucional en las vigencias 2020,2021 y 2022.</t>
  </si>
  <si>
    <t xml:space="preserve">La Secretaria del Interior Departamental señala que desde la vigencia 2022 los programas y proyectos de postconflicto se encuentran armonizados según PAT. </t>
  </si>
  <si>
    <t>Se ha implementado la campaña anualizada con incidencia municipal de promoción del respeto por la diferencia e instalación de territorios libres de discriminación en entidades públicas y privadas, y espacios públicos en las vigencias 2020, 2022 y 2023.</t>
  </si>
  <si>
    <t>Se ha implementado la campaña anualizada con incidencia en las instituciones educativa de promoción del respeto por la diferencia e instalación de territorios libres de discriminación en las vigencias 2022 y 2023.</t>
  </si>
  <si>
    <t>La campaña anual de capacitación la población LGBTI sobre el Sistema General de Seguridad Social en Salud y afiliación de beneficiario en cada ente territorial  y mecanismos de acceso, se ha implementado en las vigencias 2022 y 2023 por parte de la Secretaria de Salud Departamental.</t>
  </si>
  <si>
    <t xml:space="preserve">La Secretaria de Salud Departamental en las vigencias 2021,2022 y 2023 ha realizado capacitación anual para la población sexualmente diversa y funcionarios públicos en deberes y derechos en Salud, soportado en la ley 1620 de derechos sexuales y reproductivos. </t>
  </si>
  <si>
    <t>En las vigencias 2021 y 2022 se implemento campaña preventiva y de sensibilización sobre los riesgos de la hormonización desregularizada, el uso de protocolos de consentimiento informado, rutas de atención y recepción de denuncias</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</si>
  <si>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 llevada a cabo en la vigencia 2022.</t>
  </si>
  <si>
    <t>Los manuales de convivencia escolar de las instituciones educativas oficiales adscritas a la secretaría de educación departamental se encuentran actualizados de conformidad a la Ley 1620 de 2013, según lo reportado por la Secretaria de Educación Departamental desde la vigencia 2021.</t>
  </si>
  <si>
    <t>Según el plan decenal, esta meta se tiene programada para ejecutar a partir del año 2025, razón por la cual no presenta avance.</t>
  </si>
  <si>
    <t>Indeportes Quindío garantiza el acceso y representatividad de la población sexualmente diversa a la oferta recreativa y deportiva del departamento.</t>
  </si>
  <si>
    <t>Desde la jefatura de la mujer y la equidad se brindó asistencia técnica en la ley 1620 y sentencia 478 a los orientadores de las instituciones educativas de los 12 municipios del Departamento en la vigencia 2022.</t>
  </si>
  <si>
    <t>META (FISICA) 2023</t>
  </si>
  <si>
    <t xml:space="preserve">Se incorporo en la caracterización de asistencia  de usuarios instrumento establecido por MIPG, el cual  contiene de manera especifica el numero de personas atendidas con enfoque diferencial y subdiferencial.                                                                      </t>
  </si>
  <si>
    <t>a Secretaría de Familia diseño e implemento instrumento de caracterización MIPG.</t>
  </si>
  <si>
    <t xml:space="preserve">La Secretaria de familia a través de la Jefatura de la mujer y la equidad, asistió técnicamente en la conformación y consolidación de espacios de participación de la población sexualmente diversa en los municipios de Pijao y Génova. 
 </t>
  </si>
  <si>
    <t xml:space="preserve">La Secretaria del Interior Departamental señala que los comités territoriales de paz, reconciliación y convivencia garantiza la representatividad de población LGBTI, conforme al PAT. </t>
  </si>
  <si>
    <t>La Secretaria de Educación Departamental aduce que  las instituciones educativas I.E Instituto Calarcá y Antonio Nariño el I.E del Municipio de Filandia Francisco Miranda en la actualidad cuentan con planes de convivencia  con el enfoque de Genero y diversidad.</t>
  </si>
  <si>
    <t>Desde la Secretaría de Familia a través de la Dirección de Desarrollo Humano y Familia se Incluyó a la población sexualmente diversa en la Implementación de módulos formativos de base comunitaria para la prevención, atención y mitigación del consumo de SPA.</t>
  </si>
  <si>
    <t>En el marco de la realización de mesas técnicas con el sector salud se promociona con las EPS Medimás, Asmetsalud, Nueva EPS la garantía de la adecuación de los servicios en salud con perspectiva de Género.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</si>
  <si>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t>
  </si>
  <si>
    <t>Desde la Secretaria de Familia, a través de la  Jefatura de la Mujer y la Equidad, se encuentra en etapa de diseño de la estrategia de seguimiento a casos urgentes de discriminación y vulneración de derechos con componentes de atención, prevención y sensibilización, para su revisión, aprobación y puesta en marcha, donde se articulan acciones con los demás actores responsables.
Sin embargo,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t>
  </si>
  <si>
    <t xml:space="preserve">Según el plan decenal la meta esta programada para ejecutarse a partir del año 2025, sin embargo, en la vigencia 2022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t>
  </si>
  <si>
    <t>La jefatura de la mujer y equidad diseño la estrategia de sensibilización familiar anual que fortalezca los lazos familiares con entornos de personas sexualmente diversas de acuerdo a MIPG formalizada con el código PR-FAM-05 de fecha 06 de febrero de 2023, la cual fue implementada en el municipio de Armenia.</t>
  </si>
  <si>
    <t xml:space="preserve">Desde la Dimensión de Sexualidad salud  Sexual y Reproductiva en la vigencia 2022, se realizó asistencia técnica respecto la salud sexual y Reproductiva para el curso de vida adultez  y vejez, asistencia técnica respecto ITS VIH, Sífilis, hepatitis B -C con el personal del hospital mental de Filandia para la certificación en toma de pruebas rápidas de ITS. 
</t>
  </si>
  <si>
    <t>Desde la vigencia 2021, la Secretaria de Familia a través de la Dirección de Desarrollo Humano y Familia se Incluyó a la población sexualmente diversa en la Implementación de módulos formativos de base comunitaria para la prevención, atención y mitigación del consumo de SPA.</t>
  </si>
  <si>
    <t>Según el plan decenal esta meta esta proyectada para ejecutarse a partir de la vigencia 2024, sin embargo, en la vigencia 2023, desde la Secretaria de Educación departamental aduce que  las instituciones educativas I.E Instituto Calarcá y Antonio Nariño el I.E del Municipio de Filandia Francisco Miranda en la actualidad cuentan con planes de convivencia  con el enfoque de Género y diversidad.</t>
  </si>
  <si>
    <t>Se han desarrollado las asistencias técnicas en la conformación y consolidación de espacios de participación de la población OSIGD así: 2020 (12), 2021 (2), 2022 (2),2023 (5).</t>
  </si>
  <si>
    <t>Desde la Secretaria de Familia se realizaron capacitaciones anualizadas en ley 1620 del 2013 y sentencia T-478 del 2015, en diversidad sexual e identidad de género a integrantes de la comunidad educativa de los municipios de Quimbaya (1), Calarcá(2), La Tebaida(1), Pijao(1) Buenavista(1), Filandia (1), Armenia (2), Circasia (1),  Génova (1), Córdoba (1), Salento (1)</t>
  </si>
  <si>
    <t>Desde la Secretaría de Familia se brindó asistencia técnica en la conformación y consolidación de espacios de participación de la población sexualmente diversa a  los municipios de Salento, Génova, Montenegro (2) y Buenavista.</t>
  </si>
  <si>
    <t>Desde la Secretaria de Salud Departamental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t>
  </si>
  <si>
    <t>Se realizó presentación del reporte del seguimiento e implementación de la política pública en el marco de la rendición pública de cuentas institucional de la vigencia 2022</t>
  </si>
  <si>
    <t xml:space="preserve">La Secretaria de Educación Departamental señala que durante la vigencia 2023 las 54 I.E realizaron la actualización del manual de convivencia.     </t>
  </si>
  <si>
    <t xml:space="preserve">Desde la SecretarÍa de Familia de realizó proceso de contratación de mínima cuantía MC071-FAM3205-CPS-2022 con la finalidad de realizar diplomado en liderazgo colectivo e incidencia política de la población sexualmente diversa del departamento.
Desde la Alcaldía de Circasia  se  realizó capacitación sobre el liderazgo con integrantes del Colectivo Libre Diverso del municipio, además  se cuenta con la estrategia  participación ciudadana, en donde se hace énfasis en el desarrollo del liderazgo colectivo y en alianza con la fundación Para el emprendimiento social Transformando destinos, quien por medio de la consejería de la presidencia de la republica implemento la escuela de liderazgo en el Municipio de Circasia donde se han desarrollado dos sesiones con la población OSIGD.
Desde la Alcaldía de Córdoba se realizó un taller de liderazgo y derechos humanos de la población sexualmente diversa, en el cual se hizo entrega de una dotación de máquinas profesionales de corte de cabello contribuyendo a la generación de empleo indirecto en el municipio.
</t>
  </si>
  <si>
    <t xml:space="preserve">La Secretaría del Interior Departamental señala que los programas y proyectos de postconflicto se encuentran armonizados según PAT. </t>
  </si>
  <si>
    <t xml:space="preserve">La Secretaría del Interior Departamental señala que el 100% de los planes de acción municpales de Derechos Humanos y Convivencia escolar se encuentran armonizados según PAT. </t>
  </si>
  <si>
    <t xml:space="preserve">La Secretaría del Interior Departamental señala que el 100% de los comités territoriales de paz, reconciliación y convivencia garantizan la representatividad de pobación LGBTI, conforme al PAT. </t>
  </si>
  <si>
    <t xml:space="preserve"> la Secretaría de Familia diseñara e implementara estrategia de seguimiento a casos urgentes de discriminación y vulneración de derechos con componentes de atención, prevención y sensibilización, en coordinacion con los actores responsables la cual se implementara en la vigencia 2023
A través de la coordinación de derechos humanos del Departamento de policía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específica a cada dependencia de la institución responsabilidades en el ámbito, preventivo, operativo y disuasivo ante posibles casos de Vulneración de derechos humanos de poblaciones vulnerables, así como las respectivas rutas de atención.  
 </t>
  </si>
  <si>
    <t xml:space="preserve">La Jefatura de la Mujer y Equidad diseño la estrategia de sensibilización familiar anual que fortalezca los lazos familiares con entornos de personas sexualmente diversas para implementarla en cada municipio del Departamento, la cual será implementada en la vigencia 2023 en coordinacion con  los actores resposables
En el municipio de salento se implementó la estrategia de sensibilización familiar denominada ¨familias entornos seguros¨ con padres de familia de la I.E Liceo Quindío en la cual se buscó promover el respeto por la diferencia y protección de los derechos de la población OSIGD.
Para el mes de octubre de 2022 la comisaria de familia de córdoba desarrollo una estrategia de sensibilización familiar con entornos sexualmente diversas en el municipio,  con el fin de apoyar la construcción de entornos familiares con los grupos en mención a través de una estrategia de información, educación y comunicación.
</t>
  </si>
  <si>
    <r>
      <t xml:space="preserve">Se participa de forma activa en el Comité Departamental de Convivencia Escolar donde se fortalecen los aspectos relacionados con la ruta de atención y manuales de convivencia desde el enfoque de los Derechos Humanos.
Se participa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dl embarazo y del consumo de sustancias psicoactivas, educación sexual. 
</t>
    </r>
    <r>
      <rPr>
        <b/>
        <sz val="20"/>
        <rFont val="Calibri"/>
        <family val="2"/>
      </rPr>
      <t>SIN EMBARGO; ES IMPORTANTE ACLARAR QUE LA SECRETARÍA DE EDUCACIÓN NO HACE PARTE, NI EJECUTA PROCESOS INTERNOS DE LAS ALCALDIAS DE LOS ONCE MUNICIPIOS NO CERTIFICADOS EN EDUCACIÓN.</t>
    </r>
  </si>
  <si>
    <t xml:space="preserve">Desde la Dimensión de Sexualidad salud  Sexual y Reproductiva, se realizó asistencia técnica respecto la salud sexual y Reproductiva en los municipios de Salento, Calarcá, Montenegro, Circasia, Buenavista y La Tebaida.
</t>
  </si>
  <si>
    <r>
      <t>Desde la Secretaría de Salud Departamental se trabaja de manera continua en el fortalecimiento del modelo de atención en salud mental  el cual se denomina "</t>
    </r>
    <r>
      <rPr>
        <b/>
        <sz val="20"/>
        <rFont val="Calibri"/>
        <family val="2"/>
        <scheme val="minor"/>
      </rPr>
      <t>Modelo de atención en salud mental se encuentra fortalecido y se denomina Gestión del riesgo de Eventos de Interes en Salud Mental</t>
    </r>
    <r>
      <rPr>
        <sz val="20"/>
        <rFont val="Calibri"/>
        <family val="2"/>
        <scheme val="minor"/>
      </rPr>
      <t xml:space="preserve">"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t>
    </r>
  </si>
  <si>
    <t>Desde la Secretaria de Familia se brindo asistencia técnica en ley 1620 del 2013 y sentencia T-478 del 2015, en diversidad sexual e identidad de género a integrantes de la comunidad educativa de los municipios de Circasia con los orientadores de las instituciones  y Quimbaya  con padres de familia de la IE Mercadotecnia y a los orientadores de las instituciones educativas de los doce municipios del Departamento.
Desde la Secretaría de Educación Departamental participan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del embarazo y del consumo de sustancias psicoactivas, educación sexual.</t>
  </si>
  <si>
    <t>Según el plan decenal, esta meta se tiene programada para ejecutar a partir del año 2026, razón por la cual no presenta avance.</t>
  </si>
  <si>
    <t>La Secretaría del Interior Departamental señala que el 100% de los planes de acción municpales de Derechos Humanos y Convivencia escolar se encuentran armonizados según PAT.</t>
  </si>
  <si>
    <t>Durante el período informado no se tenian programas  acciones para dar cumplimiento a la meta e indicador en el año 2023.</t>
  </si>
  <si>
    <t xml:space="preserve">
La Universidad del Quindío promovió espacios de reflexión académica en torno a la cultura ciudadana y el cuidado integral en derechos sexuales "Reconocimiento de la diversidad UQ"</t>
  </si>
  <si>
    <t>Según el plan decenal esta meta esta proyectada para ejecutarse a partir de la vigencia 2024, sin embargo, en la vigencia 2020, desde la Oficina de comunicaciones se implemento la estrategia cuidarte es amarte con el fin de realizar prevención y atención del acoso escolar y otras problemáticas del sector educativo.</t>
  </si>
  <si>
    <t>Según el plan decenal, esta meta se  programo para ejecutar a partir del año 2022.
En el año 2022 se desarrollaron 20 jornadas, al segundo trimestre de 2023, 13 jornadas.</t>
  </si>
  <si>
    <t>Para la vigencia 2022 no se tienen programadas acciones para dar cumplimiento a la meta conforme a lo establecido en el plan decenal.</t>
  </si>
  <si>
    <t>2023 III TRIMESTRE</t>
  </si>
  <si>
    <t>1'00%</t>
  </si>
  <si>
    <t>La universidad del Quindío desarrolló una estrategia para promover espacios de reflexión académica en torno a la cultura ciudadana, inclusión laboral sencibilzación, familia y diversidad sexual y de género para lo cual se adelantaron las siguientes acciones: 
1. Campañas de sensibilización y alfabetización en diversidad: la cuales tienen como objetivo principal, enseñar el cuidado integral en derechos sexuales, reproductivos, normativa y jurisprudencia con enfoque diferencial, dirigido a las Instituciones escolares del Departamento del Quindío – ejemplo: Conmemoración Día Internacional contra la Lesbofobia, Homofobia, Bifobia y Transfobia, tendedero por la Diversidad, taller mi cuerpo – mi territorio.      
 2 Socialización y divulgación de las rutas existentes:
2,1. “Ruta de   atención para la prevención, detección y atención de violencias y cualquier tipo de discriminación basada en género en la Universidad del Quindío”
2,2. “Programa para el reconocimiento de la diversidad desde un enfoque inclusivo”
La Institución Universitaria EAM, comprometida con la creación de espacios seguros en la educación, durante el semestre 2023-2 ha desarrollado campañas para la atención, promoción y apropiación de politicas para la prevención de violencias basadas en género, inclusión, diversidad y salud mental.  En este sentido, se han desarrollado campañas denominadas: 
- Identificación Tipos de Violencias
- Micromachismos (comportamientos)
- Prevención de Situaciones de Violencia
- Rutas de Ayuda (Internas y Externas)
- Signos de Ansiedad
- Mascotas como ayuda personal
- Ejercicios para la Salud Mental
- Consejos para una mejor concentración
- Técnicas para el manejo de la Ansiedad
- Inclusión
- Aliados para la Inclusión</t>
  </si>
  <si>
    <t>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del municipio de Armenia.
Desde la Alcaldía de Filandia se realizó campaña virtual dirigida a toda la población del municipio, que estuvo enfocada en el respeto en medio del día internacional de la visibilidad trans. 
Desde la Alcaldía de Circasia se reazlizo campaña  con incidencia municipal de promoción del respeto por la diferencia e instalación de territorios libres de discriminación en la institución educativa IMET     
La Alcadldía de Montenegro realizó campaña de prevención de la homofobia, transfobia y bifobia en espacios públicos del Municipio, como también a través de redes sociales de la Administración. Además de realizar campaña de prevención de la homofobia con funcionarios públicos.
La Alcaldía de Salento desarrolló campaña denominada ¨En salento todos son bienvenidos¨ que promovió espacios libres de discriminación en establecimientos comerciales
La Alcaldía de Quimbaya realizó una campaña  de promoción del respeto por la diferencia e instalación de territorios libres de discriminación en entidades públicas y privadas</t>
  </si>
  <si>
    <t>Desde la Secretaría de Familia se diseñó e implementó la campaña EMPODERATE POR LA DIVERSDIAD en instituciones educativas de los municipios de La Tebaida, Pijao,Calarcá, Buenavista, Filandia, Armenia, Montenegro, Quimbaya.
La Alcaldía de Montenegro realizacampaña denominada "Y qué importa" en instituciones educativas del Municipio orientada a la prevención de la homofobía, el respeto por la diversidad y ressaltar el orgullo gay. 
La Alcaldíia de Quimbaya realizó una campaña en  instituciones educativas de promoción del respeto por la diferencia e instalación de territorios libres de discriminación.
La Alcaldía de Circasia realizo campaña  con incidencia municipal de promoción del respeto por la diferencia e instalación de territorios libres de discriminación en la institución educativa IMET</t>
  </si>
  <si>
    <t xml:space="preserve">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 Filandia reporta que se creo el consejo municipal para la inclusión de personas OSIGD, dentro del cual se cuenta con una mesa técnica  para la atención a estos casos (acuerdo 016 octubre 2021).
La Secretaria de Salud Departamental aduce que participaron de la mesa técnica con los diversas secretarías para la construcción de una ruta integral y protocolo para la población LGTBI.      -La Alcaldía de Cicasia cuenta con mesa permanente de seguimiento a casos de vulneración de derechos a población sexualmente diversa en el marco del COMOSIGD para el abordaje integral de la violencia de género. 
La Alcaldía de Salento refiere que el comité municipal OSIGD que se reúne trimestralmente, cuenta con un espacio para la exposición de casos de discriminación, para el periodo informado no se presentaron casos de vulneraicón de derechos
La Alcaldía de Circasia cuenta con mesa permanente de seguimiento a casos de vulneración de derechos a población sexualmente diversa en el marco del COMOSIGD para el abordaje integral de la violencia de género. </t>
  </si>
  <si>
    <t>Desde la Secretaría de Familia, a través de la  Jefatura de la Mujer y la Equidad, se encuentra en etapa de diseño de la estrategia de seguimiento a casos urgentes de discriminación y vulneración de derechos con componentes de atención, prevención y sensibilización.
La Alcaldía de Circasia desarrollo una estrategia  de seguimiento a casos urgentes de discriminación y vulneración de derechos con componentes de atención, prevención y sensibilización. Denominada "Circasia libre y Diversa"</t>
  </si>
  <si>
    <t>Indeportes Quindío señala que  los 12 Municipios durante los 9 meses del año con programa implementado de recreación, actividad física y deporte social comunitario, con oferta inclusiva y Garantizar el acceso y representatividad de la población sexualmente diversa.
La alcaldía de Circasia garantiza el acceso a la  oferta recreativa y deportiva a la población sexualmente diversa.
La alcaldía de Córdoba señala que se garantizó el acceso y representatividad de la población sexualmente diversa a la oferta recreativa y deportiva del municipio en las escuelas de formación: de natación, patinaje y acondicionamiento físico, se han adelantado procesos de contratación para las escuelas de formación en baloncesto, futbol, microfutbol y ciclismo.  
La alcaldía de Filandia reporta que la oferta deportiva se da de manera incluyente, cabe destacar que dentro de las escuelas formativas hay presencia de esta población.
La alcaldía de Montenegro reporta que se da cumplimiento a través de las escuelas deportivas con convocatoria abierta.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Deportivas.
La alcaldía de Génova señala que se garantiza el acceso de la población género diversa en los procesos recreativos y deportivos del municipio.
La alcaldía de Salento cuenta con accesibilidad, cobertura y participación de la población OSIGD en las escuelas de formación deportiva</t>
  </si>
  <si>
    <t xml:space="preserve">La Secretaria de Salud Departamental reporta que se realizo campaña mediante la socialización en deberes y derechos en salud  a la población  LGTBI y rutas de atención en el Municipio de Génova.
Durante el tercer trimestre se realizó  1  socialización de la ruta de atención  con perspexctiva de Género y prevención de violencias desde las nuevas masculinidades y femenididades con funcionarios del SENA, personería de armenia, sistema educativo.                                                            2 actividades de Eliminación de Barreras de Acceso en la prestación de servicios de Salud a la poblacion LGTBI del municipio de Circasia
</t>
  </si>
  <si>
    <t>Desde la Secretaria de Salud Departamental reportan que ya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
Para el tercer semestre  en el marco de la realización de mesas tecnicas con el sector salud se promociona con las EPS Medimás, Asmetsalud, Nueva EPS la garantía de la adecuación de los servicios en salud con perspectiva de Género</t>
  </si>
  <si>
    <t xml:space="preserve">Desde Secretaría de Salud Departamental se realiza 1 campaña en deberes y derechos en salud y promocion y prevencion en población LGTBI en los municipios de Circasia, Calarcá, Pijao, Quimbaya, Filandia y la Tebaida
</t>
  </si>
  <si>
    <t>La Secretaria de Salud Departamental reporta que se implemento capacitación en deberes y derechos en salud para la población LGTBI Municipio de Filandia.
En el marco  de la campaña preventiva y de sensibilización sobre los riesgos de hormonización desregularizada se realizó 1 socialización a funcionarios públicos de Salud Mental de la Secretaria de Salud Departamental en Derechos sexuales y reproductivos LGBTI, procesos de feminización y masculinización normativa y jurisprudencia colombiana en salud LGBTI,  rutas y protocolos de atención en salud</t>
  </si>
  <si>
    <t xml:space="preserve">La Secretaría de Salud Departamental realizó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INS(enero 1- mayo 31 del 2021), se ha realizado seguimiento, vigilancia y control en la adaptación de la ruta Materno Perinatal en 19 instituciones tanto en IPS y EPS del departamento. </t>
  </si>
  <si>
    <t xml:space="preserve">La Secretaria de Cultura Departamental manifiesta que dentro de la implementación de los programas de lectura y escritura y formación informal en artes plásticas, danza, música, teatro  en los diferentes municipios del departamento  se  ha contado con 63 personas de la comunidad LGTBI, 102 personas son inscritas en la plataforma de soy cultura, así mismo, se dio apertura a  la convocatoria de concertación y estímulos, cual da paso para la presentación de proyectos y propuestas culturales y desarrollarlas en todo el territorio Quindiano. Durante el tercer trimestre Dentro  de la implementación de los programas de lectura y escritura y formacion informal en artes plasticas, danza, musica, teatro  en los diferentes municipios del departamento  se  ha contado con 56  personas  de esta comunidad LGTBI.
La alcaldía de Circasia garantiza el acceso a la  oferta cultural y artística a la población sexualmente diversa.
La alcaldía de Córdoba señala que se garantizó el acceso y representatividad de la población sexualmente diversa a la oferta cultural y artística del municipio en las escuelas de formación: Danza folclórica, danza moderna, banda musical, chirimía, iniciación musical, banda musico marcial, club de lectura, Grupo amigos de la Biblioteca, tertulias, préstamo externo de libros, alfabetización digital.
La alcaldía de Filandia reporta que la oferta cultural y artística se da de manera incluyente, cabe destacar que dentro de las escuelas formativas hay presencia de esta población.
La alcaldía de Montenegro señala que se da cumplimiento a través de las escuelas de formación con convocatoria abierta a todos los programas culturales y artísticos como también  visita a colegios informando de las diferentes ofertas.   
                                                                                                                                 La administracion municpal de Circasia garantiza el acceso a la  oferta cultural y artistica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cultural.
La alcaldía de Génova señala que se garantiza el acceso de la población género diversa en los procesos culturales y artísticos del municipio.
La Alcaldía de Salento cuenta con accesibilidad, cobertura y participación de la población OSIGD en los grupos culturales existentes en la Administración (banda, chirimia, danza) 
La Alcaldía de Circasia  garantiza el acceso a la  oferta cultural y artistica
NOTA: El presupuesto que se reporta por parte de Secretaría de Cultura compete al proceso de concertación y estimulos en su totalidad.
</t>
  </si>
  <si>
    <t xml:space="preserve">La Secretaría del Interior Departamental señala que el 100% de los planes de acción municpales de Derechos Humanos y Convivencia escolar se encuentran armonizados según PAT. 
La Secretaría de Educación  realizó apoyo en la operatividad de los comites de conviviencia escolar de los 11 municipios de competencia departamental. 
</t>
  </si>
  <si>
    <t xml:space="preserve">Desde la Secretaría de Familia se adoptó e implementó la ruta antidiscriminación, en el periodo informado en los municipios de  Armenia, La Tebaida, Quimbaya y Pijao, Montenegro, Calarcá, Estación de Policía Filandia. </t>
  </si>
  <si>
    <t xml:space="preserve">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 los municipios de Córdoba, Montenegro, Pijao,Armenia, La Tebaida y Salento, Institución Educativa Gabriela Mistral La Tebaida, Institución Educativa Rio Verde Buenavista, Instituto Pijao
Por otro lado la jefatura de la mujer y la diversidad se apoya con piezas publicitarias y videos con actores de la población OSIGD para la implementación de la campaña, la cual se pública en la página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
Se implementó la campaña tu y yo respetamos las diferencias en el sector comercio en el municipio de Quimbaya y Buenavista, población OSIGD del municipio de Calarcá, fenasco armenia y población OSIGD del municipio de la 
</t>
  </si>
  <si>
    <t xml:space="preserve">Desde la Secretaría de familia a través de la jefatura de la mujer y la equidad, se ha diseñado e implementado el observatorio de diversidad sexual del Departamento. 
</t>
  </si>
  <si>
    <t xml:space="preserve">
Desde la jefatura de la mujer y la equidad se se inició la Caracterización de la población sexualmente Diversa previa aprobación de la Secretaría de Planeación Departamental 
</t>
  </si>
  <si>
    <t>Se implemento proceso formativo anualizado para el desarrollo del liderazgo colectivo y la incidencia política de la población sexualmente diversa del departamento en las vigencias 2020 y 2022,</t>
  </si>
  <si>
    <t xml:space="preserve">Para la vigencia 2023 no se tienen programadas acciones para dar cumplimiento a la meta conforme a lo establecido en el plan decenal. 
La Alcaldía de Montenegro realiza campaña articulada con la gobernación en capacitación en actualización a funcionarios públicos de la Administración Municipal en mecanismmos de género y transversalización del enfoque de género diverso y parámetros no sexistas.
La Alcaldía de Circasia desarrollo una campaña referente a la adopcion de mecanismos de género y Transversalización del enfoque genero diverso con funcionarios publicos he individuos de la poblacion OSIGD </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</si>
  <si>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</si>
  <si>
    <t>La Secretaría de salud  Departamental realizó durante el tercer trimestre en el marco del modelo de atención se realizó    1 apoyo en actividad  del Dia Internacional de la Visibilidad Trans con acciones de promoción  y prevención encaminada a la población LGTBI en el municipio de Salento.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t>
  </si>
  <si>
    <t xml:space="preserve">
Desde la Secretaría de Aguas e Infraestructura - Gobierno Departamental, aunando esfuerzos con el Municipio de la Tebaida, Montenegro y la Empresa para el Desarrollo Territorial - PROYECTA, aportaron los recursos para la materialización de obras para el mejoramiento de viviendas de interés social urbanas para la ejecución del proyecto adscrito a la Secretaría de Aguas e Infraestructura "Mejoramiento de Vivienda de Interés Social en el Departamento del Quindío" codigo BPIN 2020003630057; el proceso de selección de los beneficiarios se realizó teniendo en cuenta la caracterización de la población postulada a lo mejoramientos, según el enfoque diferencial y de interseccionalidad dentro de los cuales se encuentra población sexualmente diversa que hace parte del grupo poblacional LGTBI, se relaciona a continuación la información de los convenios que se encuentran en ejecución: 
1. Inició ejecución el 07 de julio de 2023 el convenio interadministrativo No. 038 DE 2023 “AUNAR ESFUERZOS ENTRE EL MUNICIPIO DE MONTENEGRO, DEPARTAMENTO DEL QUINDIO Y PROYECTA PARA EL MEJORAMIENTO DE VIVIENDAS EN EL MUNICIPIO DE MONTENEGRO” con un presupuesto de $ 469.843.699, su ejecución finaliza el 23 de diciembre de 2023. 
2. Inició ejecución el 04 de julio de 2023 el convenio interadministrativo No. 039 DE 2023 “AUNAR ESFUERZOS ENTRE EL MUNICIPIO DE LA TEBAIDA, EL DEPARTAMENTO DEL QUINDIO Y LA EMPRESA PARA EL DESARROLLO TERRITORIAL PROYECTA PARA EL MEJORAMIENTO DE VIVIENDAS URBANAS EN EL MUNICIPIO DE LA TEBAIDA” con un presupuesto de $ 681.633.567, su ejecución finaliza el 23 de diciembre de 2023. 
La Alcaldía de Quimbaya realizó asignación de cupos específicos para la población sexualmente diversa en el proyecto de mejoramiento de vivienda.</t>
  </si>
  <si>
    <t xml:space="preserve">Desde la jefatura de la mujer y la equidad se diseñó el sistema de información tendiente a caracterizar de manera periódica la situación de derechos de la población y en la actualidad se esta implementando
</t>
  </si>
  <si>
    <t>La Secretaria de Salud Departamental en la vigencia 2022 reporto que el modelo de atención en salud mental se encuentra fortalecido y se denomina Gestión del riesgo de Eventos de Interés en Salud Mental, el cual continúa vigente para el 2023</t>
  </si>
  <si>
    <t xml:space="preserve">Según el plan decenal esta meta esta proyectada para ejecutarse a partir de la vigencia 2024,la Secretaria de Turismo, industria y comercio en las vigencias 2020,2021 y 2022, realizo asistencia técnica Departamental enfocada al fortalecimiento empresarial, acceso a nuevos mercados y emprendimientos.
</t>
  </si>
  <si>
    <t>Desde la Jefatura de la Mujer y la Equidad se estructuró el observatorio de la Población Sexualmente Diversa del Departamento el cual se encuentra en  la página web de la Secretaría de Familia 
https://quindio.gov.co/observatorio-de-la-mujer-y-la-familia/observatorio-equidad-de-genero-y-mujer/presentacion</t>
  </si>
  <si>
    <t xml:space="preserve"> La secretaría de Cultura Departamental garantiza el acceso y representatividad de la población sexualmente diversa a la oferta cultural y artística del departamento.</t>
  </si>
  <si>
    <t xml:space="preserve">En la vigencia 2023 Desde la jefatura de la mujer y la equidad se diseñó el sistema de información tendiente a caracterizar de manera periódica la situación de derechos de la población y en la actualidad se esta implementando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</si>
</sst>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quot;$&quot;\ #,##0"/>
  </numFmts>
  <fonts count="29"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36"/>
      <name val="Arial"/>
      <family val="2"/>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b/>
      <i/>
      <sz val="36"/>
      <name val="Arial"/>
      <family val="2"/>
    </font>
    <font>
      <sz val="36"/>
      <name val="Calibri"/>
      <family val="2"/>
      <scheme val="minor"/>
    </font>
    <font>
      <sz val="11"/>
      <color theme="1"/>
      <name val="Calibri"/>
      <family val="2"/>
      <scheme val="minor"/>
    </font>
    <font>
      <b/>
      <sz val="36"/>
      <color theme="1"/>
      <name val="Arial"/>
      <family val="2"/>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
      <sz val="20"/>
      <color theme="1"/>
      <name val="Calibri"/>
      <family val="2"/>
    </font>
    <font>
      <sz val="20"/>
      <name val="Calibri"/>
      <family val="2"/>
    </font>
    <font>
      <b/>
      <sz val="20"/>
      <name val="Calibri"/>
      <family val="2"/>
    </font>
    <font>
      <b/>
      <sz val="20"/>
      <name val="Calibri"/>
      <family val="2"/>
      <scheme val="minor"/>
    </font>
    <font>
      <sz val="18"/>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rgb="FFFF3300"/>
        <bgColor indexed="64"/>
      </patternFill>
    </fill>
    <fill>
      <patternFill patternType="solid">
        <fgColor rgb="FFCC00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cellStyleXfs>
  <cellXfs count="167">
    <xf numFmtId="0" fontId="0" fillId="0" borderId="0" xfId="0"/>
    <xf numFmtId="0" fontId="0" fillId="0" borderId="0" xfId="0"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8" fillId="5" borderId="16" xfId="0" applyFont="1" applyFill="1" applyBorder="1" applyAlignment="1">
      <alignment horizontal="center" vertical="center"/>
    </xf>
    <xf numFmtId="0" fontId="8" fillId="0" borderId="17" xfId="0" applyFont="1" applyBorder="1" applyAlignment="1">
      <alignment horizontal="center" vertical="center"/>
    </xf>
    <xf numFmtId="0" fontId="8" fillId="8" borderId="16" xfId="0" applyFont="1" applyFill="1" applyBorder="1" applyAlignment="1">
      <alignment horizontal="center" vertical="center"/>
    </xf>
    <xf numFmtId="0" fontId="8" fillId="3" borderId="16" xfId="0" applyFont="1" applyFill="1" applyBorder="1" applyAlignment="1">
      <alignment horizontal="center" vertical="center"/>
    </xf>
    <xf numFmtId="0" fontId="8" fillId="11" borderId="16" xfId="0" applyFont="1" applyFill="1" applyBorder="1" applyAlignment="1">
      <alignment horizontal="center" vertical="center"/>
    </xf>
    <xf numFmtId="0" fontId="8" fillId="4" borderId="16" xfId="0" applyFont="1" applyFill="1" applyBorder="1" applyAlignment="1">
      <alignment horizontal="center" vertical="center"/>
    </xf>
    <xf numFmtId="0" fontId="11" fillId="7" borderId="1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9" xfId="0" applyFont="1" applyBorder="1" applyAlignment="1">
      <alignment horizontal="center" vertical="center" wrapText="1"/>
    </xf>
    <xf numFmtId="0" fontId="10" fillId="0" borderId="17" xfId="0" applyFont="1" applyBorder="1" applyAlignment="1">
      <alignment horizontal="center" vertical="center"/>
    </xf>
    <xf numFmtId="0" fontId="10" fillId="5" borderId="10" xfId="0" applyFont="1" applyFill="1" applyBorder="1" applyAlignment="1">
      <alignment horizontal="center" vertical="center"/>
    </xf>
    <xf numFmtId="0" fontId="10" fillId="8" borderId="10" xfId="0" applyFont="1" applyFill="1" applyBorder="1" applyAlignment="1">
      <alignment horizontal="center" vertical="center"/>
    </xf>
    <xf numFmtId="0" fontId="10" fillId="9"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10"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2" fillId="0" borderId="0" xfId="0" applyFont="1" applyAlignment="1">
      <alignment wrapText="1"/>
    </xf>
    <xf numFmtId="0" fontId="13" fillId="0" borderId="0" xfId="1" applyFont="1" applyFill="1" applyAlignment="1">
      <alignment horizontal="left" vertical="center" wrapText="1"/>
    </xf>
    <xf numFmtId="0" fontId="14" fillId="0" borderId="0" xfId="1" applyFont="1" applyFill="1" applyAlignment="1">
      <alignment vertical="center" wrapText="1"/>
    </xf>
    <xf numFmtId="0" fontId="14" fillId="0" borderId="0" xfId="1" applyFont="1" applyFill="1" applyAlignment="1">
      <alignment horizontal="left" vertical="center" wrapText="1"/>
    </xf>
    <xf numFmtId="0" fontId="2" fillId="0" borderId="1" xfId="0" applyFont="1" applyBorder="1" applyAlignment="1">
      <alignment horizontal="center" vertical="center"/>
    </xf>
    <xf numFmtId="0" fontId="4" fillId="3" borderId="10"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1" fillId="0" borderId="19" xfId="0" applyFont="1" applyBorder="1" applyAlignment="1">
      <alignment horizontal="center" vertical="center" wrapText="1"/>
    </xf>
    <xf numFmtId="0" fontId="5" fillId="14" borderId="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19" fillId="12" borderId="1" xfId="0"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9" fontId="5" fillId="0" borderId="1" xfId="2" applyFont="1" applyBorder="1" applyAlignment="1">
      <alignment horizontal="center" vertical="center" wrapText="1"/>
    </xf>
    <xf numFmtId="9" fontId="2" fillId="12" borderId="1" xfId="2" applyFont="1" applyFill="1" applyBorder="1" applyAlignment="1">
      <alignment horizontal="center" vertical="center" wrapText="1"/>
    </xf>
    <xf numFmtId="9" fontId="5" fillId="0" borderId="1" xfId="2" applyFont="1" applyBorder="1" applyAlignment="1" applyProtection="1">
      <alignment horizontal="center" vertical="center" wrapText="1"/>
      <protection locked="0"/>
    </xf>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 fillId="16" borderId="4" xfId="0" applyFont="1" applyFill="1" applyBorder="1" applyAlignment="1">
      <alignment horizontal="center" vertical="center" wrapText="1"/>
    </xf>
    <xf numFmtId="9" fontId="5" fillId="13" borderId="1" xfId="2" applyFont="1" applyFill="1" applyBorder="1" applyAlignment="1">
      <alignment horizontal="center" vertical="center" wrapText="1"/>
    </xf>
    <xf numFmtId="44" fontId="2" fillId="12" borderId="1" xfId="4" applyFont="1" applyFill="1" applyBorder="1" applyAlignment="1">
      <alignment horizontal="center" vertical="center" wrapText="1"/>
    </xf>
    <xf numFmtId="44" fontId="5" fillId="0" borderId="1" xfId="4" applyFont="1" applyBorder="1" applyAlignment="1">
      <alignment horizontal="center" vertical="center" wrapText="1"/>
    </xf>
    <xf numFmtId="44" fontId="3" fillId="0" borderId="1" xfId="4" applyFont="1" applyBorder="1" applyAlignment="1">
      <alignment horizontal="center" vertical="center" wrapText="1"/>
    </xf>
    <xf numFmtId="44" fontId="24" fillId="0" borderId="1" xfId="4" applyFont="1" applyBorder="1" applyAlignment="1">
      <alignment horizontal="center" vertical="center" wrapText="1"/>
    </xf>
    <xf numFmtId="10" fontId="5" fillId="0" borderId="1" xfId="0" applyNumberFormat="1" applyFont="1" applyBorder="1" applyAlignment="1">
      <alignment horizontal="center" vertical="center" wrapText="1"/>
    </xf>
    <xf numFmtId="9" fontId="2" fillId="16" borderId="4" xfId="2" applyFont="1" applyFill="1" applyBorder="1" applyAlignment="1">
      <alignment horizontal="center" vertical="center" wrapText="1"/>
    </xf>
    <xf numFmtId="0" fontId="19" fillId="2" borderId="0" xfId="0" applyFont="1" applyFill="1" applyAlignment="1">
      <alignment horizontal="center" vertical="center" wrapText="1"/>
    </xf>
    <xf numFmtId="0" fontId="20" fillId="0" borderId="2"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4" xfId="0" applyFont="1" applyBorder="1" applyAlignment="1">
      <alignment horizontal="justify" vertical="center" wrapText="1"/>
    </xf>
    <xf numFmtId="9" fontId="5" fillId="18" borderId="1" xfId="2" applyFont="1" applyFill="1" applyBorder="1" applyAlignment="1">
      <alignment horizontal="center" vertical="center" wrapText="1"/>
    </xf>
    <xf numFmtId="9" fontId="5" fillId="19" borderId="1" xfId="2" applyFont="1" applyFill="1" applyBorder="1" applyAlignment="1">
      <alignment horizontal="center" vertical="center" wrapText="1"/>
    </xf>
    <xf numFmtId="0" fontId="2" fillId="14" borderId="1" xfId="0" applyFont="1" applyFill="1" applyBorder="1" applyAlignment="1">
      <alignment horizontal="center" vertical="center" wrapText="1"/>
    </xf>
    <xf numFmtId="0" fontId="3" fillId="14" borderId="1" xfId="0" applyFont="1" applyFill="1" applyBorder="1" applyAlignment="1">
      <alignment horizontal="justify" vertical="center" wrapText="1"/>
    </xf>
    <xf numFmtId="0" fontId="20" fillId="14" borderId="1" xfId="0" applyFont="1" applyFill="1" applyBorder="1" applyAlignment="1">
      <alignment horizontal="justify" vertical="center" wrapText="1"/>
    </xf>
    <xf numFmtId="0" fontId="20" fillId="14" borderId="1" xfId="0" applyFont="1" applyFill="1" applyBorder="1" applyAlignment="1">
      <alignment horizontal="center" vertical="center" wrapText="1"/>
    </xf>
    <xf numFmtId="9" fontId="5" fillId="14" borderId="1" xfId="2" applyFont="1" applyFill="1" applyBorder="1" applyAlignment="1">
      <alignment horizontal="center" vertical="center" wrapText="1"/>
    </xf>
    <xf numFmtId="0" fontId="22" fillId="14" borderId="1" xfId="0" applyFont="1" applyFill="1" applyBorder="1" applyAlignment="1">
      <alignment vertical="center" wrapText="1"/>
    </xf>
    <xf numFmtId="2" fontId="5" fillId="14" borderId="1" xfId="0" applyNumberFormat="1"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0" fontId="22" fillId="14" borderId="1" xfId="0" applyFont="1" applyFill="1" applyBorder="1" applyAlignment="1">
      <alignment horizontal="left" vertical="center" wrapText="1"/>
    </xf>
    <xf numFmtId="9" fontId="5" fillId="14" borderId="1" xfId="3" applyNumberFormat="1" applyFont="1" applyFill="1" applyBorder="1" applyAlignment="1">
      <alignment horizontal="center" vertical="center" wrapText="1"/>
    </xf>
    <xf numFmtId="164" fontId="3" fillId="14" borderId="1" xfId="0" applyNumberFormat="1" applyFont="1" applyFill="1" applyBorder="1" applyAlignment="1">
      <alignment horizontal="center" vertical="center" wrapText="1"/>
    </xf>
    <xf numFmtId="44" fontId="5" fillId="14" borderId="1" xfId="4" applyFont="1" applyFill="1" applyBorder="1" applyAlignment="1">
      <alignment horizontal="center" vertical="center" wrapText="1"/>
    </xf>
    <xf numFmtId="0" fontId="5" fillId="14" borderId="0" xfId="0" applyFont="1" applyFill="1" applyAlignment="1">
      <alignment wrapText="1"/>
    </xf>
    <xf numFmtId="0" fontId="2" fillId="1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4" borderId="1" xfId="0" applyFont="1" applyFill="1" applyBorder="1" applyAlignment="1">
      <alignment horizontal="justify" vertical="center" wrapText="1"/>
    </xf>
    <xf numFmtId="0" fontId="24"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24" fillId="14" borderId="1" xfId="0" applyFont="1" applyFill="1" applyBorder="1" applyAlignment="1">
      <alignment horizontal="center" vertical="center" wrapText="1"/>
    </xf>
    <xf numFmtId="0" fontId="0" fillId="0" borderId="0" xfId="0" applyAlignment="1">
      <alignment wrapText="1"/>
    </xf>
    <xf numFmtId="0" fontId="20" fillId="0" borderId="0" xfId="0" applyFont="1" applyAlignment="1">
      <alignment horizontal="center" vertical="center" wrapText="1"/>
    </xf>
    <xf numFmtId="9" fontId="12" fillId="0" borderId="0" xfId="3" applyNumberFormat="1" applyFont="1" applyFill="1" applyAlignment="1">
      <alignment wrapText="1"/>
    </xf>
    <xf numFmtId="164" fontId="12" fillId="0" borderId="0" xfId="0" applyNumberFormat="1" applyFont="1" applyAlignment="1">
      <alignment wrapText="1"/>
    </xf>
    <xf numFmtId="9" fontId="12" fillId="0" borderId="0" xfId="2" applyFont="1" applyFill="1" applyAlignment="1">
      <alignment wrapText="1"/>
    </xf>
    <xf numFmtId="44" fontId="12" fillId="0" borderId="0" xfId="4" applyFont="1" applyFill="1" applyAlignment="1">
      <alignment wrapText="1"/>
    </xf>
    <xf numFmtId="0" fontId="12" fillId="0" borderId="0" xfId="0" applyFont="1" applyAlignment="1">
      <alignment horizontal="justify" vertical="center" wrapText="1"/>
    </xf>
    <xf numFmtId="10" fontId="12" fillId="0" borderId="0" xfId="0" applyNumberFormat="1" applyFont="1" applyAlignment="1">
      <alignment horizontal="justify" wrapText="1"/>
    </xf>
    <xf numFmtId="0" fontId="6" fillId="0" borderId="0" xfId="0" applyFont="1" applyAlignment="1">
      <alignment vertical="center"/>
    </xf>
    <xf numFmtId="0" fontId="18" fillId="0" borderId="0" xfId="0" applyFont="1" applyAlignment="1">
      <alignment vertical="center"/>
    </xf>
    <xf numFmtId="0" fontId="16" fillId="0" borderId="0" xfId="0" applyFont="1"/>
    <xf numFmtId="0" fontId="21" fillId="0" borderId="0" xfId="0" applyFont="1"/>
    <xf numFmtId="9" fontId="16" fillId="0" borderId="0" xfId="3" applyNumberFormat="1" applyFont="1" applyFill="1" applyAlignment="1"/>
    <xf numFmtId="164" fontId="16" fillId="0" borderId="0" xfId="0" applyNumberFormat="1" applyFont="1"/>
    <xf numFmtId="9" fontId="16" fillId="0" borderId="0" xfId="2" applyFont="1" applyFill="1" applyAlignment="1"/>
    <xf numFmtId="44" fontId="16" fillId="0" borderId="0" xfId="4" applyFont="1" applyFill="1"/>
    <xf numFmtId="0" fontId="16" fillId="0" borderId="0" xfId="0" applyFont="1" applyAlignment="1">
      <alignment horizontal="justify" vertical="center"/>
    </xf>
    <xf numFmtId="9" fontId="16" fillId="0" borderId="0" xfId="2" applyFont="1" applyFill="1"/>
    <xf numFmtId="10" fontId="16" fillId="0" borderId="0" xfId="0" applyNumberFormat="1" applyFont="1" applyAlignment="1">
      <alignment horizontal="justify" wrapText="1"/>
    </xf>
    <xf numFmtId="0" fontId="24" fillId="14" borderId="1" xfId="0" applyFont="1" applyFill="1" applyBorder="1" applyAlignment="1">
      <alignment horizontal="justify" vertical="center" wrapText="1"/>
    </xf>
    <xf numFmtId="164" fontId="2" fillId="12" borderId="1" xfId="0" applyNumberFormat="1" applyFont="1" applyFill="1" applyBorder="1" applyAlignment="1">
      <alignment horizontal="center" vertical="center" wrapText="1"/>
    </xf>
    <xf numFmtId="3" fontId="28" fillId="0" borderId="1" xfId="0" applyNumberFormat="1" applyFont="1" applyBorder="1" applyAlignment="1">
      <alignment horizontal="center" vertical="center" wrapText="1"/>
    </xf>
    <xf numFmtId="9" fontId="5" fillId="4" borderId="1" xfId="2"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9" fontId="5" fillId="20"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6" fillId="0" borderId="0" xfId="0" applyFont="1" applyAlignment="1">
      <alignment horizontal="justify"/>
    </xf>
    <xf numFmtId="0" fontId="2" fillId="12" borderId="1" xfId="0" applyFont="1" applyFill="1" applyBorder="1" applyAlignment="1">
      <alignment horizontal="justify" vertical="center" wrapText="1"/>
    </xf>
    <xf numFmtId="0" fontId="25" fillId="14" borderId="22" xfId="0" applyFont="1" applyFill="1" applyBorder="1" applyAlignment="1">
      <alignment horizontal="justify" vertical="center" wrapText="1"/>
    </xf>
    <xf numFmtId="0" fontId="12" fillId="0" borderId="0" xfId="0" applyFont="1" applyAlignment="1">
      <alignment horizontal="justify" wrapText="1"/>
    </xf>
    <xf numFmtId="0" fontId="5" fillId="14" borderId="20" xfId="0" applyFont="1" applyFill="1" applyBorder="1" applyAlignment="1">
      <alignment horizontal="justify" vertical="center" wrapText="1"/>
    </xf>
    <xf numFmtId="0" fontId="5" fillId="0" borderId="1" xfId="0" applyFont="1" applyFill="1" applyBorder="1" applyAlignment="1">
      <alignment horizontal="justify" vertical="center" wrapText="1"/>
    </xf>
    <xf numFmtId="2" fontId="5" fillId="4" borderId="1" xfId="2" applyNumberFormat="1" applyFont="1" applyFill="1" applyBorder="1" applyAlignment="1">
      <alignment horizontal="center" vertical="center" wrapText="1"/>
    </xf>
    <xf numFmtId="2" fontId="5" fillId="13" borderId="1" xfId="2" applyNumberFormat="1" applyFont="1" applyFill="1" applyBorder="1" applyAlignment="1">
      <alignment horizontal="center" vertical="center" wrapText="1"/>
    </xf>
    <xf numFmtId="44" fontId="5" fillId="0" borderId="1" xfId="4"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9"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17" borderId="21" xfId="0" applyFont="1" applyFill="1" applyBorder="1" applyAlignment="1">
      <alignment horizontal="center" vertical="center" wrapText="1"/>
    </xf>
    <xf numFmtId="0" fontId="9" fillId="17" borderId="0" xfId="0" applyFont="1" applyFill="1" applyAlignment="1">
      <alignment horizontal="center" vertical="center" wrapText="1"/>
    </xf>
    <xf numFmtId="0" fontId="3" fillId="0" borderId="1" xfId="0" applyFont="1" applyBorder="1" applyAlignment="1">
      <alignment horizontal="justify" vertical="center" wrapText="1"/>
    </xf>
    <xf numFmtId="0" fontId="10" fillId="15" borderId="13"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0" fillId="0" borderId="0" xfId="0" applyAlignment="1">
      <alignment horizontal="center"/>
    </xf>
    <xf numFmtId="0" fontId="10" fillId="6" borderId="12"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cellXfs>
  <cellStyles count="5">
    <cellStyle name="Hipervínculo" xfId="1" builtinId="8"/>
    <cellStyle name="Millares" xfId="3" builtinId="3"/>
    <cellStyle name="Moneda" xfId="4" builtinId="4"/>
    <cellStyle name="Normal" xfId="0" builtinId="0"/>
    <cellStyle name="Porcentaje" xfId="2" builtinId="5"/>
  </cellStyles>
  <dxfs count="35">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C000"/>
        </patternFill>
      </fill>
    </dxf>
    <dxf>
      <numFmt numFmtId="2" formatCode="0.00"/>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C000"/>
        </patternFill>
      </fill>
    </dxf>
    <dxf>
      <numFmt numFmtId="2" formatCode="0.00"/>
      <fill>
        <patternFill>
          <bgColor rgb="FFFF0000"/>
        </patternFill>
      </fill>
    </dxf>
    <dxf>
      <numFmt numFmtId="2" formatCode="0.00"/>
      <fill>
        <patternFill>
          <bgColor rgb="FFFFC000"/>
        </patternFill>
      </fill>
    </dxf>
    <dxf>
      <numFmt numFmtId="2" formatCode="0.00"/>
      <fill>
        <patternFill>
          <bgColor rgb="FF00B050"/>
        </patternFill>
      </fill>
    </dxf>
    <dxf>
      <numFmt numFmtId="2" formatCode="0.00"/>
      <fill>
        <patternFill>
          <bgColor rgb="FF92D050"/>
        </patternFill>
      </fill>
    </dxf>
    <dxf>
      <numFmt numFmtId="2" formatCode="0.00"/>
      <fill>
        <patternFill>
          <bgColor rgb="FFFFFF00"/>
        </patternFill>
      </fill>
    </dxf>
    <dxf>
      <numFmt numFmtId="2" formatCode="0.00"/>
      <fill>
        <patternFill>
          <bgColor rgb="FFFF0000"/>
        </patternFill>
      </fill>
    </dxf>
  </dxfs>
  <tableStyles count="0" defaultTableStyle="TableStyleMedium2" defaultPivotStyle="PivotStyleLight16"/>
  <colors>
    <mruColors>
      <color rgb="FFEC94FE"/>
      <color rgb="FFCC00FF"/>
      <color rgb="FFFF3300"/>
      <color rgb="FFFA800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4</c:v>
                </c:pt>
                <c:pt idx="1">
                  <c:v>2</c:v>
                </c:pt>
                <c:pt idx="2">
                  <c:v>0</c:v>
                </c:pt>
                <c:pt idx="3">
                  <c:v>0</c:v>
                </c:pt>
                <c:pt idx="4">
                  <c:v>5</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6</c:v>
                </c:pt>
                <c:pt idx="1">
                  <c:v>0</c:v>
                </c:pt>
                <c:pt idx="2">
                  <c:v>0</c:v>
                </c:pt>
                <c:pt idx="3">
                  <c:v>0</c:v>
                </c:pt>
                <c:pt idx="4">
                  <c:v>8</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4</c:v>
                </c:pt>
                <c:pt idx="1">
                  <c:v>0</c:v>
                </c:pt>
                <c:pt idx="2">
                  <c:v>0</c:v>
                </c:pt>
                <c:pt idx="3">
                  <c:v>0</c:v>
                </c:pt>
                <c:pt idx="4">
                  <c:v>1</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2023</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18</c:v>
                </c:pt>
                <c:pt idx="1">
                  <c:v>4</c:v>
                </c:pt>
                <c:pt idx="2">
                  <c:v>0</c:v>
                </c:pt>
                <c:pt idx="3">
                  <c:v>1</c:v>
                </c:pt>
                <c:pt idx="4">
                  <c:v>16</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0</c:v>
                </c:pt>
                <c:pt idx="3">
                  <c:v>0</c:v>
                </c:pt>
                <c:pt idx="4">
                  <c:v>1</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6"/>
  <sheetViews>
    <sheetView tabSelected="1" topLeftCell="G2" zoomScale="37" zoomScaleNormal="40" zoomScaleSheetLayoutView="50" workbookViewId="0">
      <pane xSplit="7140" ySplit="1170" topLeftCell="AE4" activePane="bottomRight"/>
      <selection activeCell="G1" sqref="G1"/>
      <selection pane="topRight" activeCell="AK22" sqref="AK22"/>
      <selection pane="bottomLeft" activeCell="J22" sqref="J22"/>
      <selection pane="bottomRight" activeCell="AE4" sqref="AE4"/>
    </sheetView>
  </sheetViews>
  <sheetFormatPr baseColWidth="10" defaultColWidth="11.42578125" defaultRowHeight="102.75" customHeight="1" x14ac:dyDescent="0.25"/>
  <cols>
    <col min="1" max="1" width="6" style="25" hidden="1" customWidth="1"/>
    <col min="2" max="2" width="43" style="25" hidden="1" customWidth="1"/>
    <col min="3" max="3" width="8.140625" style="25" hidden="1" customWidth="1"/>
    <col min="4" max="4" width="41.42578125" style="25" hidden="1" customWidth="1"/>
    <col min="5" max="5" width="10.28515625" style="25" hidden="1" customWidth="1"/>
    <col min="6" max="6" width="49" style="25" hidden="1" customWidth="1"/>
    <col min="7" max="7" width="19" style="25" customWidth="1"/>
    <col min="8" max="8" width="52.85546875" style="25" customWidth="1"/>
    <col min="9" max="9" width="35" style="100" customWidth="1"/>
    <col min="10" max="10" width="39.28515625" style="101" customWidth="1"/>
    <col min="11" max="11" width="31.42578125" style="101" bestFit="1" customWidth="1"/>
    <col min="12" max="12" width="33.5703125" style="25" customWidth="1"/>
    <col min="13" max="13" width="18.28515625" style="25" customWidth="1"/>
    <col min="14" max="14" width="15.140625" style="25" customWidth="1"/>
    <col min="15" max="15" width="30.140625" style="25" customWidth="1"/>
    <col min="16" max="16" width="43.7109375" style="25" customWidth="1"/>
    <col min="17" max="17" width="106" style="25" customWidth="1"/>
    <col min="18" max="18" width="31.85546875" style="25" customWidth="1"/>
    <col min="19" max="19" width="29.42578125" style="25" customWidth="1"/>
    <col min="20" max="20" width="26.5703125" style="25" customWidth="1"/>
    <col min="21" max="21" width="35.42578125" style="25" customWidth="1"/>
    <col min="22" max="22" width="48.140625" style="25" customWidth="1"/>
    <col min="23" max="23" width="129.42578125" style="100" customWidth="1"/>
    <col min="24" max="24" width="16.140625" style="25" customWidth="1"/>
    <col min="25" max="25" width="17.7109375" style="25" customWidth="1"/>
    <col min="26" max="26" width="34.85546875" style="102" customWidth="1"/>
    <col min="27" max="27" width="39.140625" style="103" customWidth="1"/>
    <col min="28" max="28" width="35.85546875" style="103" customWidth="1"/>
    <col min="29" max="29" width="44.42578125" style="104" customWidth="1"/>
    <col min="30" max="30" width="84.5703125" style="131" customWidth="1"/>
    <col min="31" max="31" width="24.42578125" style="25" customWidth="1"/>
    <col min="32" max="32" width="19.140625" style="25" customWidth="1"/>
    <col min="33" max="33" width="31.7109375" style="102" customWidth="1"/>
    <col min="34" max="34" width="47.140625" style="105" customWidth="1"/>
    <col min="35" max="35" width="37.5703125" style="105" customWidth="1"/>
    <col min="36" max="36" width="29.7109375" style="104" customWidth="1"/>
    <col min="37" max="37" width="73.7109375" style="106" customWidth="1"/>
    <col min="38" max="38" width="25.85546875" style="25" customWidth="1"/>
    <col min="39" max="39" width="28.85546875" style="25" customWidth="1"/>
    <col min="40" max="40" width="43.7109375" style="104" customWidth="1"/>
    <col min="41" max="41" width="61.140625" style="107" customWidth="1"/>
    <col min="42" max="16384" width="11.42578125" style="25"/>
  </cols>
  <sheetData>
    <row r="1" spans="1:41" s="110" customFormat="1" ht="50.25" customHeight="1" x14ac:dyDescent="0.7">
      <c r="A1" s="108" t="s">
        <v>251</v>
      </c>
      <c r="B1" s="108"/>
      <c r="C1" s="108"/>
      <c r="D1" s="108"/>
      <c r="E1" s="108"/>
      <c r="F1" s="108"/>
      <c r="G1" s="108"/>
      <c r="H1" s="108"/>
      <c r="I1" s="109"/>
      <c r="J1" s="109"/>
      <c r="K1" s="109"/>
      <c r="W1" s="111"/>
      <c r="Z1" s="112"/>
      <c r="AA1" s="113"/>
      <c r="AB1" s="113"/>
      <c r="AC1" s="114"/>
      <c r="AD1" s="128"/>
      <c r="AG1" s="112"/>
      <c r="AH1" s="115"/>
      <c r="AI1" s="115"/>
      <c r="AJ1" s="114"/>
      <c r="AK1" s="116"/>
      <c r="AN1" s="117"/>
      <c r="AO1" s="118"/>
    </row>
    <row r="2" spans="1:41" ht="36.75" customHeight="1" x14ac:dyDescent="0.25">
      <c r="A2" s="33"/>
      <c r="B2" s="33"/>
      <c r="C2" s="33"/>
      <c r="D2" s="33"/>
      <c r="E2" s="33"/>
      <c r="F2" s="33"/>
      <c r="G2" s="33"/>
      <c r="H2" s="141"/>
      <c r="I2" s="141"/>
      <c r="J2" s="141"/>
      <c r="K2" s="142"/>
      <c r="L2" s="139">
        <v>2020</v>
      </c>
      <c r="M2" s="139"/>
      <c r="N2" s="139"/>
      <c r="O2" s="139"/>
      <c r="P2" s="139"/>
      <c r="Q2" s="139"/>
      <c r="R2" s="139">
        <v>2021</v>
      </c>
      <c r="S2" s="139"/>
      <c r="T2" s="139"/>
      <c r="U2" s="139"/>
      <c r="V2" s="139"/>
      <c r="W2" s="139"/>
      <c r="X2" s="139">
        <v>2022</v>
      </c>
      <c r="Y2" s="139"/>
      <c r="Z2" s="139"/>
      <c r="AA2" s="139"/>
      <c r="AB2" s="139"/>
      <c r="AC2" s="139"/>
      <c r="AD2" s="139"/>
      <c r="AE2" s="139" t="s">
        <v>380</v>
      </c>
      <c r="AF2" s="139"/>
      <c r="AG2" s="139"/>
      <c r="AH2" s="139"/>
      <c r="AI2" s="139"/>
      <c r="AJ2" s="139"/>
      <c r="AK2" s="139"/>
      <c r="AL2" s="153" t="s">
        <v>325</v>
      </c>
      <c r="AM2" s="154"/>
      <c r="AN2" s="154"/>
      <c r="AO2" s="154"/>
    </row>
    <row r="3" spans="1:41" s="42" customFormat="1" ht="102.75" customHeight="1" x14ac:dyDescent="0.4">
      <c r="B3" s="43" t="s">
        <v>4</v>
      </c>
      <c r="C3" s="140" t="s">
        <v>0</v>
      </c>
      <c r="D3" s="140"/>
      <c r="E3" s="140" t="s">
        <v>5</v>
      </c>
      <c r="F3" s="140"/>
      <c r="G3" s="143" t="s">
        <v>1</v>
      </c>
      <c r="H3" s="143"/>
      <c r="I3" s="75" t="s">
        <v>6</v>
      </c>
      <c r="J3" s="75" t="s">
        <v>2</v>
      </c>
      <c r="K3" s="75" t="s">
        <v>3</v>
      </c>
      <c r="L3" s="40" t="s">
        <v>253</v>
      </c>
      <c r="M3" s="40" t="s">
        <v>254</v>
      </c>
      <c r="N3" s="40" t="s">
        <v>255</v>
      </c>
      <c r="O3" s="40" t="s">
        <v>273</v>
      </c>
      <c r="P3" s="40" t="s">
        <v>274</v>
      </c>
      <c r="Q3" s="40" t="s">
        <v>256</v>
      </c>
      <c r="R3" s="40" t="s">
        <v>253</v>
      </c>
      <c r="S3" s="40" t="s">
        <v>254</v>
      </c>
      <c r="T3" s="40" t="s">
        <v>255</v>
      </c>
      <c r="U3" s="40" t="s">
        <v>273</v>
      </c>
      <c r="V3" s="40" t="s">
        <v>274</v>
      </c>
      <c r="W3" s="56" t="s">
        <v>256</v>
      </c>
      <c r="X3" s="40" t="s">
        <v>253</v>
      </c>
      <c r="Y3" s="40" t="s">
        <v>254</v>
      </c>
      <c r="Z3" s="62" t="s">
        <v>255</v>
      </c>
      <c r="AA3" s="120" t="s">
        <v>273</v>
      </c>
      <c r="AB3" s="120" t="s">
        <v>274</v>
      </c>
      <c r="AC3" s="60" t="s">
        <v>303</v>
      </c>
      <c r="AD3" s="129" t="s">
        <v>256</v>
      </c>
      <c r="AE3" s="40" t="s">
        <v>253</v>
      </c>
      <c r="AF3" s="40" t="s">
        <v>254</v>
      </c>
      <c r="AG3" s="62" t="s">
        <v>255</v>
      </c>
      <c r="AH3" s="69" t="s">
        <v>273</v>
      </c>
      <c r="AI3" s="69" t="s">
        <v>274</v>
      </c>
      <c r="AJ3" s="60" t="s">
        <v>303</v>
      </c>
      <c r="AK3" s="94" t="s">
        <v>256</v>
      </c>
      <c r="AL3" s="67" t="s">
        <v>322</v>
      </c>
      <c r="AM3" s="67" t="s">
        <v>323</v>
      </c>
      <c r="AN3" s="74" t="s">
        <v>257</v>
      </c>
      <c r="AO3" s="94" t="s">
        <v>324</v>
      </c>
    </row>
    <row r="4" spans="1:41" s="42" customFormat="1" ht="241.5" customHeight="1" x14ac:dyDescent="0.4">
      <c r="A4" s="145" t="s">
        <v>7</v>
      </c>
      <c r="B4" s="147" t="s">
        <v>8</v>
      </c>
      <c r="C4" s="145" t="s">
        <v>144</v>
      </c>
      <c r="D4" s="145" t="s">
        <v>9</v>
      </c>
      <c r="E4" s="39" t="s">
        <v>155</v>
      </c>
      <c r="F4" s="36" t="s">
        <v>10</v>
      </c>
      <c r="G4" s="32" t="s">
        <v>11</v>
      </c>
      <c r="H4" s="36" t="s">
        <v>140</v>
      </c>
      <c r="I4" s="76" t="s">
        <v>217</v>
      </c>
      <c r="J4" s="53" t="s">
        <v>73</v>
      </c>
      <c r="K4" s="53" t="s">
        <v>75</v>
      </c>
      <c r="L4" s="41">
        <v>1</v>
      </c>
      <c r="M4" s="41">
        <v>1</v>
      </c>
      <c r="N4" s="47">
        <f>(M4/L4)*100</f>
        <v>100</v>
      </c>
      <c r="O4" s="41"/>
      <c r="P4" s="41"/>
      <c r="Q4" s="57" t="s">
        <v>259</v>
      </c>
      <c r="R4" s="41">
        <v>1</v>
      </c>
      <c r="S4" s="41">
        <v>0</v>
      </c>
      <c r="T4" s="44">
        <f>(S4/R4)*100</f>
        <v>0</v>
      </c>
      <c r="U4" s="41"/>
      <c r="V4" s="46"/>
      <c r="W4" s="57" t="s">
        <v>260</v>
      </c>
      <c r="X4" s="41">
        <v>1</v>
      </c>
      <c r="Y4" s="41">
        <v>0.5</v>
      </c>
      <c r="Z4" s="63">
        <f>(Y4/X4)*100</f>
        <v>50</v>
      </c>
      <c r="AA4" s="65">
        <v>525000</v>
      </c>
      <c r="AB4" s="46">
        <v>525000</v>
      </c>
      <c r="AC4" s="59">
        <v>1</v>
      </c>
      <c r="AD4" s="96" t="s">
        <v>398</v>
      </c>
      <c r="AE4" s="41">
        <v>1</v>
      </c>
      <c r="AF4" s="41">
        <v>1</v>
      </c>
      <c r="AG4" s="63">
        <f>(AF4/AE4)*100</f>
        <v>100</v>
      </c>
      <c r="AH4" s="70">
        <v>0</v>
      </c>
      <c r="AI4" s="70">
        <v>0</v>
      </c>
      <c r="AJ4" s="59">
        <v>0</v>
      </c>
      <c r="AK4" s="133" t="s">
        <v>404</v>
      </c>
      <c r="AL4" s="41">
        <v>1</v>
      </c>
      <c r="AM4" s="126">
        <v>1</v>
      </c>
      <c r="AN4" s="68">
        <v>100</v>
      </c>
      <c r="AO4" s="133" t="s">
        <v>409</v>
      </c>
    </row>
    <row r="5" spans="1:41" s="42" customFormat="1" ht="249.75" customHeight="1" x14ac:dyDescent="0.4">
      <c r="A5" s="145"/>
      <c r="B5" s="147"/>
      <c r="C5" s="145"/>
      <c r="D5" s="145"/>
      <c r="E5" s="39" t="s">
        <v>156</v>
      </c>
      <c r="F5" s="34" t="s">
        <v>12</v>
      </c>
      <c r="G5" s="29" t="s">
        <v>141</v>
      </c>
      <c r="H5" s="34" t="s">
        <v>41</v>
      </c>
      <c r="I5" s="77" t="s">
        <v>218</v>
      </c>
      <c r="J5" s="54" t="s">
        <v>74</v>
      </c>
      <c r="K5" s="54" t="s">
        <v>75</v>
      </c>
      <c r="L5" s="41">
        <v>1</v>
      </c>
      <c r="M5" s="41">
        <v>0</v>
      </c>
      <c r="N5" s="48">
        <f t="shared" ref="N5:N42" si="0">(M5/L5)*100</f>
        <v>0</v>
      </c>
      <c r="O5" s="41"/>
      <c r="P5" s="41"/>
      <c r="Q5" s="57" t="s">
        <v>260</v>
      </c>
      <c r="R5" s="41">
        <v>1</v>
      </c>
      <c r="S5" s="41">
        <v>0</v>
      </c>
      <c r="T5" s="41">
        <f t="shared" ref="T5:T42" si="1">(S5/R5)*100</f>
        <v>0</v>
      </c>
      <c r="U5" s="41"/>
      <c r="V5" s="46">
        <v>0</v>
      </c>
      <c r="W5" s="57" t="s">
        <v>260</v>
      </c>
      <c r="X5" s="41">
        <v>1</v>
      </c>
      <c r="Y5" s="41">
        <v>1</v>
      </c>
      <c r="Z5" s="63">
        <f>(Y5/X5)*100</f>
        <v>100</v>
      </c>
      <c r="AA5" s="65">
        <v>1320000</v>
      </c>
      <c r="AB5" s="46">
        <v>1320000</v>
      </c>
      <c r="AC5" s="59">
        <f>AA5/AB5</f>
        <v>1</v>
      </c>
      <c r="AD5" s="96" t="s">
        <v>397</v>
      </c>
      <c r="AE5" s="41">
        <v>1</v>
      </c>
      <c r="AF5" s="126">
        <v>1</v>
      </c>
      <c r="AG5" s="63">
        <f>(AF5/AE5)*100</f>
        <v>100</v>
      </c>
      <c r="AH5" s="70">
        <f>360000+360000+360000+360000</f>
        <v>1440000</v>
      </c>
      <c r="AI5" s="70">
        <f>360000+360000+360000+360000</f>
        <v>1440000</v>
      </c>
      <c r="AJ5" s="59">
        <f t="shared" ref="AJ5:AJ36" si="2">+(AI5/AH5)</f>
        <v>1</v>
      </c>
      <c r="AK5" s="133" t="s">
        <v>407</v>
      </c>
      <c r="AL5" s="41">
        <v>1</v>
      </c>
      <c r="AM5" s="126">
        <v>1</v>
      </c>
      <c r="AN5" s="134">
        <v>100</v>
      </c>
      <c r="AO5" s="133" t="s">
        <v>407</v>
      </c>
    </row>
    <row r="6" spans="1:41" s="42" customFormat="1" ht="409.6" customHeight="1" x14ac:dyDescent="0.4">
      <c r="A6" s="145" t="s">
        <v>13</v>
      </c>
      <c r="B6" s="148" t="s">
        <v>14</v>
      </c>
      <c r="C6" s="149" t="s">
        <v>145</v>
      </c>
      <c r="D6" s="149" t="s">
        <v>15</v>
      </c>
      <c r="E6" s="149" t="s">
        <v>157</v>
      </c>
      <c r="F6" s="152" t="s">
        <v>16</v>
      </c>
      <c r="G6" s="37" t="s">
        <v>142</v>
      </c>
      <c r="H6" s="35" t="s">
        <v>51</v>
      </c>
      <c r="I6" s="78" t="s">
        <v>67</v>
      </c>
      <c r="J6" s="55" t="s">
        <v>76</v>
      </c>
      <c r="K6" s="55" t="s">
        <v>77</v>
      </c>
      <c r="L6" s="41">
        <v>24</v>
      </c>
      <c r="M6" s="41">
        <v>0</v>
      </c>
      <c r="N6" s="49">
        <f t="shared" si="0"/>
        <v>0</v>
      </c>
      <c r="O6" s="41"/>
      <c r="P6" s="41"/>
      <c r="Q6" s="57" t="s">
        <v>260</v>
      </c>
      <c r="R6" s="41">
        <v>24</v>
      </c>
      <c r="S6" s="41">
        <v>0</v>
      </c>
      <c r="T6" s="44">
        <f t="shared" si="1"/>
        <v>0</v>
      </c>
      <c r="U6" s="41"/>
      <c r="V6" s="46">
        <v>463750</v>
      </c>
      <c r="W6" s="57" t="s">
        <v>260</v>
      </c>
      <c r="X6" s="41">
        <v>24</v>
      </c>
      <c r="Y6" s="41">
        <v>20</v>
      </c>
      <c r="Z6" s="63">
        <f>(Y6/X6)*100</f>
        <v>83.333333333333343</v>
      </c>
      <c r="AA6" s="65">
        <f>4861983+1100000+865500+463750</f>
        <v>7291233</v>
      </c>
      <c r="AB6" s="46">
        <f>655166+1100000+865500+463750</f>
        <v>3084416</v>
      </c>
      <c r="AC6" s="59">
        <f>AB6/AA6</f>
        <v>0.42303078231075597</v>
      </c>
      <c r="AD6" s="96" t="s">
        <v>316</v>
      </c>
      <c r="AE6" s="41">
        <v>24</v>
      </c>
      <c r="AF6" s="41">
        <v>13</v>
      </c>
      <c r="AG6" s="63">
        <f t="shared" ref="AG6:AG40" si="3">(AF6/AE6)*100</f>
        <v>54.166666666666664</v>
      </c>
      <c r="AH6" s="70">
        <f>360000+320000+320000+233333</f>
        <v>1233333</v>
      </c>
      <c r="AI6" s="70">
        <f>360000+320000+320000+233333</f>
        <v>1233333</v>
      </c>
      <c r="AJ6" s="59">
        <f t="shared" si="2"/>
        <v>1</v>
      </c>
      <c r="AK6" s="133" t="s">
        <v>358</v>
      </c>
      <c r="AL6" s="52">
        <v>24</v>
      </c>
      <c r="AM6" s="52">
        <f>(Y6+AF6)/2</f>
        <v>16.5</v>
      </c>
      <c r="AN6" s="68">
        <f>AM6/AL6*100</f>
        <v>68.75</v>
      </c>
      <c r="AO6" s="95" t="s">
        <v>378</v>
      </c>
    </row>
    <row r="7" spans="1:41" s="42" customFormat="1" ht="259.5" customHeight="1" x14ac:dyDescent="0.4">
      <c r="A7" s="145"/>
      <c r="B7" s="147"/>
      <c r="C7" s="145"/>
      <c r="D7" s="145"/>
      <c r="E7" s="145"/>
      <c r="F7" s="155"/>
      <c r="G7" s="39" t="s">
        <v>143</v>
      </c>
      <c r="H7" s="34" t="s">
        <v>52</v>
      </c>
      <c r="I7" s="77" t="s">
        <v>219</v>
      </c>
      <c r="J7" s="54" t="s">
        <v>78</v>
      </c>
      <c r="K7" s="54" t="s">
        <v>79</v>
      </c>
      <c r="L7" s="41">
        <v>0</v>
      </c>
      <c r="M7" s="41">
        <v>0</v>
      </c>
      <c r="N7" s="47">
        <v>0</v>
      </c>
      <c r="O7" s="41"/>
      <c r="P7" s="41"/>
      <c r="Q7" s="57" t="s">
        <v>260</v>
      </c>
      <c r="R7" s="41">
        <v>1</v>
      </c>
      <c r="S7" s="41">
        <v>0</v>
      </c>
      <c r="T7" s="44">
        <f t="shared" si="1"/>
        <v>0</v>
      </c>
      <c r="U7" s="41"/>
      <c r="V7" s="46">
        <v>0</v>
      </c>
      <c r="W7" s="57" t="s">
        <v>260</v>
      </c>
      <c r="X7" s="41">
        <v>1</v>
      </c>
      <c r="Y7" s="41">
        <v>0</v>
      </c>
      <c r="Z7" s="63">
        <v>0</v>
      </c>
      <c r="AA7" s="65">
        <v>0</v>
      </c>
      <c r="AB7" s="46">
        <v>0</v>
      </c>
      <c r="AC7" s="59">
        <v>0</v>
      </c>
      <c r="AD7" s="96" t="s">
        <v>379</v>
      </c>
      <c r="AE7" s="52">
        <v>0</v>
      </c>
      <c r="AF7" s="41">
        <v>0</v>
      </c>
      <c r="AG7" s="63">
        <v>0</v>
      </c>
      <c r="AH7" s="70">
        <v>0</v>
      </c>
      <c r="AI7" s="70">
        <v>0</v>
      </c>
      <c r="AJ7" s="59">
        <v>0</v>
      </c>
      <c r="AK7" s="96" t="s">
        <v>321</v>
      </c>
      <c r="AL7" s="41">
        <v>1</v>
      </c>
      <c r="AM7" s="41">
        <v>0</v>
      </c>
      <c r="AN7" s="68">
        <v>0</v>
      </c>
      <c r="AO7" s="96" t="s">
        <v>373</v>
      </c>
    </row>
    <row r="8" spans="1:41" s="42" customFormat="1" ht="393.75" customHeight="1" x14ac:dyDescent="0.4">
      <c r="A8" s="145"/>
      <c r="B8" s="147"/>
      <c r="C8" s="145"/>
      <c r="D8" s="145"/>
      <c r="E8" s="145" t="s">
        <v>158</v>
      </c>
      <c r="F8" s="155" t="s">
        <v>42</v>
      </c>
      <c r="G8" s="39" t="s">
        <v>171</v>
      </c>
      <c r="H8" s="34" t="s">
        <v>43</v>
      </c>
      <c r="I8" s="77" t="s">
        <v>220</v>
      </c>
      <c r="J8" s="54" t="s">
        <v>80</v>
      </c>
      <c r="K8" s="54" t="s">
        <v>79</v>
      </c>
      <c r="L8" s="41">
        <v>1</v>
      </c>
      <c r="M8" s="41">
        <v>1</v>
      </c>
      <c r="N8" s="47">
        <f t="shared" si="0"/>
        <v>100</v>
      </c>
      <c r="O8" s="41"/>
      <c r="P8" s="41"/>
      <c r="Q8" s="57" t="s">
        <v>261</v>
      </c>
      <c r="R8" s="41">
        <v>1</v>
      </c>
      <c r="S8" s="41">
        <v>1</v>
      </c>
      <c r="T8" s="44">
        <f t="shared" si="1"/>
        <v>100</v>
      </c>
      <c r="U8" s="41"/>
      <c r="V8" s="46">
        <v>1889580</v>
      </c>
      <c r="W8" s="58" t="s">
        <v>267</v>
      </c>
      <c r="X8" s="41">
        <v>1</v>
      </c>
      <c r="Y8" s="41">
        <v>1</v>
      </c>
      <c r="Z8" s="63">
        <v>100</v>
      </c>
      <c r="AA8" s="65">
        <f>4403400+733333+ 865500+463750</f>
        <v>6465983</v>
      </c>
      <c r="AB8" s="46">
        <f>1742277+733333+ 865500+463750</f>
        <v>3804860</v>
      </c>
      <c r="AC8" s="61">
        <v>0.4</v>
      </c>
      <c r="AD8" s="96" t="s">
        <v>309</v>
      </c>
      <c r="AE8" s="41">
        <v>1</v>
      </c>
      <c r="AF8" s="41">
        <v>1</v>
      </c>
      <c r="AG8" s="63">
        <f t="shared" si="3"/>
        <v>100</v>
      </c>
      <c r="AH8" s="70">
        <v>1313333</v>
      </c>
      <c r="AI8" s="70">
        <v>1313333</v>
      </c>
      <c r="AJ8" s="59">
        <f t="shared" si="2"/>
        <v>1</v>
      </c>
      <c r="AK8" s="95" t="s">
        <v>395</v>
      </c>
      <c r="AL8" s="41">
        <v>1</v>
      </c>
      <c r="AM8" s="41">
        <v>1</v>
      </c>
      <c r="AN8" s="68">
        <f t="shared" ref="AN8:AN19" si="4">(N8+T8+Z8+AG8)/4</f>
        <v>100</v>
      </c>
      <c r="AO8" s="95" t="s">
        <v>327</v>
      </c>
    </row>
    <row r="9" spans="1:41" s="42" customFormat="1" ht="213" customHeight="1" x14ac:dyDescent="0.4">
      <c r="A9" s="145"/>
      <c r="B9" s="147"/>
      <c r="C9" s="145"/>
      <c r="D9" s="145"/>
      <c r="E9" s="145"/>
      <c r="F9" s="155"/>
      <c r="G9" s="39" t="s">
        <v>172</v>
      </c>
      <c r="H9" s="34" t="s">
        <v>44</v>
      </c>
      <c r="I9" s="77" t="s">
        <v>221</v>
      </c>
      <c r="J9" s="54" t="s">
        <v>81</v>
      </c>
      <c r="K9" s="54" t="s">
        <v>79</v>
      </c>
      <c r="L9" s="41">
        <v>1</v>
      </c>
      <c r="M9" s="41">
        <v>1</v>
      </c>
      <c r="N9" s="47">
        <f t="shared" si="0"/>
        <v>100</v>
      </c>
      <c r="O9" s="41"/>
      <c r="P9" s="41"/>
      <c r="Q9" s="57" t="s">
        <v>343</v>
      </c>
      <c r="R9" s="41">
        <v>1</v>
      </c>
      <c r="S9" s="41">
        <v>1</v>
      </c>
      <c r="T9" s="44">
        <f t="shared" si="1"/>
        <v>100</v>
      </c>
      <c r="U9" s="41"/>
      <c r="V9" s="46">
        <v>1803117</v>
      </c>
      <c r="W9" s="58" t="s">
        <v>344</v>
      </c>
      <c r="X9" s="41">
        <v>1</v>
      </c>
      <c r="Y9" s="41">
        <v>1</v>
      </c>
      <c r="Z9" s="63">
        <f t="shared" ref="Z9:Z41" si="5">(Y9/X9)*100</f>
        <v>100</v>
      </c>
      <c r="AA9" s="65">
        <v>0</v>
      </c>
      <c r="AB9" s="46">
        <v>0</v>
      </c>
      <c r="AC9" s="59">
        <v>0</v>
      </c>
      <c r="AD9" s="82" t="s">
        <v>298</v>
      </c>
      <c r="AE9" s="31">
        <v>1</v>
      </c>
      <c r="AF9" s="31">
        <v>1</v>
      </c>
      <c r="AG9" s="63">
        <f t="shared" si="3"/>
        <v>100</v>
      </c>
      <c r="AH9" s="71">
        <v>0</v>
      </c>
      <c r="AI9" s="71">
        <v>0</v>
      </c>
      <c r="AJ9" s="59">
        <v>0</v>
      </c>
      <c r="AK9" s="124" t="s">
        <v>298</v>
      </c>
      <c r="AL9" s="31">
        <v>1</v>
      </c>
      <c r="AM9" s="31">
        <v>1</v>
      </c>
      <c r="AN9" s="68">
        <f t="shared" si="4"/>
        <v>100</v>
      </c>
      <c r="AO9" s="95" t="s">
        <v>328</v>
      </c>
    </row>
    <row r="10" spans="1:41" s="93" customFormat="1" ht="280.5" x14ac:dyDescent="0.4">
      <c r="A10" s="145"/>
      <c r="B10" s="147"/>
      <c r="C10" s="145" t="s">
        <v>146</v>
      </c>
      <c r="D10" s="145" t="s">
        <v>17</v>
      </c>
      <c r="E10" s="145" t="s">
        <v>159</v>
      </c>
      <c r="F10" s="155" t="s">
        <v>18</v>
      </c>
      <c r="G10" s="81" t="s">
        <v>173</v>
      </c>
      <c r="H10" s="82" t="s">
        <v>53</v>
      </c>
      <c r="I10" s="83" t="s">
        <v>47</v>
      </c>
      <c r="J10" s="84" t="s">
        <v>82</v>
      </c>
      <c r="K10" s="84" t="s">
        <v>95</v>
      </c>
      <c r="L10" s="52">
        <v>12</v>
      </c>
      <c r="M10" s="52">
        <v>12</v>
      </c>
      <c r="N10" s="85">
        <f t="shared" si="0"/>
        <v>100</v>
      </c>
      <c r="O10" s="52"/>
      <c r="P10" s="52"/>
      <c r="Q10" s="86" t="s">
        <v>275</v>
      </c>
      <c r="R10" s="52">
        <v>12</v>
      </c>
      <c r="S10" s="52">
        <v>2</v>
      </c>
      <c r="T10" s="87">
        <f t="shared" si="1"/>
        <v>16.666666666666664</v>
      </c>
      <c r="U10" s="52"/>
      <c r="V10" s="88">
        <v>5539767</v>
      </c>
      <c r="W10" s="89" t="s">
        <v>345</v>
      </c>
      <c r="X10" s="52">
        <v>2</v>
      </c>
      <c r="Y10" s="52">
        <v>10</v>
      </c>
      <c r="Z10" s="90">
        <v>100</v>
      </c>
      <c r="AA10" s="91">
        <v>2536457</v>
      </c>
      <c r="AB10" s="88">
        <v>2169791</v>
      </c>
      <c r="AC10" s="85">
        <f t="shared" ref="AC10:AC39" si="6">AB10/AA10</f>
        <v>0.85544166528350374</v>
      </c>
      <c r="AD10" s="96" t="s">
        <v>317</v>
      </c>
      <c r="AE10" s="52">
        <v>12</v>
      </c>
      <c r="AF10" s="52">
        <v>5</v>
      </c>
      <c r="AG10" s="63">
        <f>(AF10/AE10)*100</f>
        <v>41.666666666666671</v>
      </c>
      <c r="AH10" s="92">
        <f>360000+360000</f>
        <v>720000</v>
      </c>
      <c r="AI10" s="92">
        <f>360000+360000</f>
        <v>720000</v>
      </c>
      <c r="AJ10" s="59">
        <f t="shared" si="2"/>
        <v>1</v>
      </c>
      <c r="AK10" s="133" t="s">
        <v>359</v>
      </c>
      <c r="AL10" s="52">
        <v>12</v>
      </c>
      <c r="AM10" s="52">
        <f>(AF10+Y10+M10+S10)/4</f>
        <v>7.25</v>
      </c>
      <c r="AN10" s="85">
        <f>+(AM10/AL10)*100</f>
        <v>60.416666666666664</v>
      </c>
      <c r="AO10" s="96" t="s">
        <v>357</v>
      </c>
    </row>
    <row r="11" spans="1:41" s="42" customFormat="1" ht="408.75" customHeight="1" x14ac:dyDescent="0.4">
      <c r="A11" s="145"/>
      <c r="B11" s="147"/>
      <c r="C11" s="145"/>
      <c r="D11" s="145"/>
      <c r="E11" s="145"/>
      <c r="F11" s="155"/>
      <c r="G11" s="39" t="s">
        <v>174</v>
      </c>
      <c r="H11" s="34" t="s">
        <v>202</v>
      </c>
      <c r="I11" s="77" t="s">
        <v>54</v>
      </c>
      <c r="J11" s="54" t="s">
        <v>84</v>
      </c>
      <c r="K11" s="54" t="s">
        <v>97</v>
      </c>
      <c r="L11" s="41">
        <v>1</v>
      </c>
      <c r="M11" s="41">
        <v>1</v>
      </c>
      <c r="N11" s="47">
        <f t="shared" si="0"/>
        <v>100</v>
      </c>
      <c r="O11" s="41"/>
      <c r="P11" s="41"/>
      <c r="Q11" s="57" t="s">
        <v>262</v>
      </c>
      <c r="R11" s="41">
        <v>1</v>
      </c>
      <c r="S11" s="41">
        <v>0</v>
      </c>
      <c r="T11" s="44">
        <v>0</v>
      </c>
      <c r="U11" s="41"/>
      <c r="V11" s="46">
        <v>7253333</v>
      </c>
      <c r="W11" s="57" t="s">
        <v>260</v>
      </c>
      <c r="X11" s="41">
        <v>1</v>
      </c>
      <c r="Y11" s="41">
        <v>1</v>
      </c>
      <c r="Z11" s="63">
        <f t="shared" si="5"/>
        <v>100</v>
      </c>
      <c r="AA11" s="65">
        <f>500000+8100000</f>
        <v>8600000</v>
      </c>
      <c r="AB11" s="65">
        <f>500000+1250000</f>
        <v>1750000</v>
      </c>
      <c r="AC11" s="59">
        <f t="shared" si="6"/>
        <v>0.20348837209302326</v>
      </c>
      <c r="AD11" s="96" t="s">
        <v>363</v>
      </c>
      <c r="AE11" s="41">
        <v>1</v>
      </c>
      <c r="AF11" s="126">
        <v>0</v>
      </c>
      <c r="AG11" s="63">
        <f t="shared" si="3"/>
        <v>0</v>
      </c>
      <c r="AH11" s="70">
        <v>0</v>
      </c>
      <c r="AI11" s="92">
        <v>0</v>
      </c>
      <c r="AJ11" s="59">
        <v>0</v>
      </c>
      <c r="AK11" s="133" t="s">
        <v>304</v>
      </c>
      <c r="AL11" s="52">
        <v>1</v>
      </c>
      <c r="AM11" s="52">
        <f>(M11+S11+Y11+AF11)/4</f>
        <v>0.5</v>
      </c>
      <c r="AN11" s="80">
        <f t="shared" si="4"/>
        <v>50</v>
      </c>
      <c r="AO11" s="95" t="s">
        <v>399</v>
      </c>
    </row>
    <row r="12" spans="1:41" s="42" customFormat="1" ht="216.75" customHeight="1" x14ac:dyDescent="0.4">
      <c r="A12" s="145"/>
      <c r="B12" s="147"/>
      <c r="C12" s="145"/>
      <c r="D12" s="145"/>
      <c r="E12" s="145" t="s">
        <v>160</v>
      </c>
      <c r="F12" s="155" t="s">
        <v>19</v>
      </c>
      <c r="G12" s="146" t="s">
        <v>175</v>
      </c>
      <c r="H12" s="150" t="s">
        <v>45</v>
      </c>
      <c r="I12" s="76" t="s">
        <v>55</v>
      </c>
      <c r="J12" s="54" t="s">
        <v>85</v>
      </c>
      <c r="K12" s="54" t="s">
        <v>83</v>
      </c>
      <c r="L12" s="41">
        <v>1</v>
      </c>
      <c r="M12" s="41">
        <v>1</v>
      </c>
      <c r="N12" s="47">
        <f t="shared" si="0"/>
        <v>100</v>
      </c>
      <c r="O12" s="41"/>
      <c r="P12" s="41"/>
      <c r="Q12" s="58" t="s">
        <v>252</v>
      </c>
      <c r="R12" s="41">
        <v>1</v>
      </c>
      <c r="S12" s="41">
        <v>1</v>
      </c>
      <c r="T12" s="44">
        <f t="shared" si="1"/>
        <v>100</v>
      </c>
      <c r="U12" s="41"/>
      <c r="V12" s="46">
        <v>0</v>
      </c>
      <c r="W12" s="58" t="s">
        <v>252</v>
      </c>
      <c r="X12" s="41">
        <v>1</v>
      </c>
      <c r="Y12" s="41">
        <v>1</v>
      </c>
      <c r="Z12" s="63">
        <f t="shared" si="5"/>
        <v>100</v>
      </c>
      <c r="AA12" s="65">
        <v>0</v>
      </c>
      <c r="AB12" s="46">
        <v>0</v>
      </c>
      <c r="AC12" s="59">
        <v>0</v>
      </c>
      <c r="AD12" s="96" t="s">
        <v>252</v>
      </c>
      <c r="AE12" s="41">
        <v>1</v>
      </c>
      <c r="AF12" s="41">
        <v>1</v>
      </c>
      <c r="AG12" s="63">
        <f t="shared" si="3"/>
        <v>100</v>
      </c>
      <c r="AH12" s="70">
        <v>0</v>
      </c>
      <c r="AI12" s="70">
        <v>0</v>
      </c>
      <c r="AJ12" s="59">
        <v>0</v>
      </c>
      <c r="AK12" s="95" t="s">
        <v>252</v>
      </c>
      <c r="AL12" s="41">
        <v>1</v>
      </c>
      <c r="AM12" s="41">
        <v>1</v>
      </c>
      <c r="AN12" s="68">
        <f t="shared" si="4"/>
        <v>100</v>
      </c>
      <c r="AO12" s="95" t="s">
        <v>329</v>
      </c>
    </row>
    <row r="13" spans="1:41" s="42" customFormat="1" ht="267.75" customHeight="1" x14ac:dyDescent="0.4">
      <c r="A13" s="145"/>
      <c r="B13" s="147"/>
      <c r="C13" s="145"/>
      <c r="D13" s="145"/>
      <c r="E13" s="145"/>
      <c r="F13" s="155"/>
      <c r="G13" s="149"/>
      <c r="H13" s="152"/>
      <c r="I13" s="77" t="s">
        <v>222</v>
      </c>
      <c r="J13" s="54" t="s">
        <v>86</v>
      </c>
      <c r="K13" s="54" t="s">
        <v>95</v>
      </c>
      <c r="L13" s="41">
        <v>1</v>
      </c>
      <c r="M13" s="41">
        <v>1</v>
      </c>
      <c r="N13" s="47">
        <f t="shared" si="0"/>
        <v>100</v>
      </c>
      <c r="O13" s="41"/>
      <c r="P13" s="41"/>
      <c r="Q13" s="57" t="s">
        <v>276</v>
      </c>
      <c r="R13" s="41">
        <v>1</v>
      </c>
      <c r="S13" s="41">
        <v>1</v>
      </c>
      <c r="T13" s="44">
        <f t="shared" si="1"/>
        <v>100</v>
      </c>
      <c r="U13" s="41"/>
      <c r="V13" s="46">
        <v>280000</v>
      </c>
      <c r="W13" s="58" t="s">
        <v>268</v>
      </c>
      <c r="X13" s="41">
        <v>1</v>
      </c>
      <c r="Y13" s="41">
        <v>1</v>
      </c>
      <c r="Z13" s="63">
        <f t="shared" si="5"/>
        <v>100</v>
      </c>
      <c r="AA13" s="65">
        <v>0</v>
      </c>
      <c r="AB13" s="46">
        <v>0</v>
      </c>
      <c r="AC13" s="59">
        <v>0</v>
      </c>
      <c r="AD13" s="96" t="s">
        <v>308</v>
      </c>
      <c r="AE13" s="41">
        <v>1</v>
      </c>
      <c r="AF13" s="52">
        <v>1</v>
      </c>
      <c r="AG13" s="63">
        <f t="shared" si="3"/>
        <v>100</v>
      </c>
      <c r="AH13" s="70">
        <v>0</v>
      </c>
      <c r="AI13" s="70">
        <v>0</v>
      </c>
      <c r="AJ13" s="59">
        <v>0</v>
      </c>
      <c r="AK13" s="132" t="s">
        <v>361</v>
      </c>
      <c r="AL13" s="52">
        <v>1</v>
      </c>
      <c r="AM13" s="52">
        <f>(M13+S13+Y13+AF13)/4</f>
        <v>1</v>
      </c>
      <c r="AN13" s="68">
        <f>AM13/AL13*100</f>
        <v>100</v>
      </c>
      <c r="AO13" s="96" t="s">
        <v>330</v>
      </c>
    </row>
    <row r="14" spans="1:41" s="42" customFormat="1" ht="348.75" customHeight="1" x14ac:dyDescent="0.4">
      <c r="A14" s="145"/>
      <c r="B14" s="147"/>
      <c r="C14" s="145" t="s">
        <v>147</v>
      </c>
      <c r="D14" s="145" t="s">
        <v>20</v>
      </c>
      <c r="E14" s="145" t="s">
        <v>161</v>
      </c>
      <c r="F14" s="155" t="s">
        <v>21</v>
      </c>
      <c r="G14" s="39" t="s">
        <v>176</v>
      </c>
      <c r="H14" s="34" t="s">
        <v>128</v>
      </c>
      <c r="I14" s="77" t="s">
        <v>129</v>
      </c>
      <c r="J14" s="54" t="s">
        <v>87</v>
      </c>
      <c r="K14" s="54" t="s">
        <v>88</v>
      </c>
      <c r="L14" s="41">
        <v>1</v>
      </c>
      <c r="M14" s="41">
        <v>0</v>
      </c>
      <c r="N14" s="47">
        <f t="shared" si="0"/>
        <v>0</v>
      </c>
      <c r="O14" s="41"/>
      <c r="P14" s="41"/>
      <c r="Q14" s="57" t="s">
        <v>263</v>
      </c>
      <c r="R14" s="41">
        <v>1</v>
      </c>
      <c r="S14" s="41">
        <v>0</v>
      </c>
      <c r="T14" s="44">
        <f t="shared" si="1"/>
        <v>0</v>
      </c>
      <c r="U14" s="41"/>
      <c r="V14" s="46">
        <v>143000000</v>
      </c>
      <c r="W14" s="57" t="s">
        <v>260</v>
      </c>
      <c r="X14" s="41">
        <v>100</v>
      </c>
      <c r="Y14" s="41">
        <v>100</v>
      </c>
      <c r="Z14" s="63">
        <f t="shared" si="5"/>
        <v>100</v>
      </c>
      <c r="AA14" s="65">
        <v>7000000</v>
      </c>
      <c r="AB14" s="46">
        <v>7000000</v>
      </c>
      <c r="AC14" s="59">
        <f>AB14/AA14</f>
        <v>1</v>
      </c>
      <c r="AD14" s="96" t="s">
        <v>364</v>
      </c>
      <c r="AE14" s="64">
        <v>1</v>
      </c>
      <c r="AF14" s="64">
        <v>1</v>
      </c>
      <c r="AG14" s="63">
        <f t="shared" si="3"/>
        <v>100</v>
      </c>
      <c r="AH14" s="70">
        <f>9600000</f>
        <v>9600000</v>
      </c>
      <c r="AI14" s="70">
        <f>3200000</f>
        <v>3200000</v>
      </c>
      <c r="AJ14" s="59">
        <f t="shared" si="2"/>
        <v>0.33333333333333331</v>
      </c>
      <c r="AK14" s="96" t="s">
        <v>313</v>
      </c>
      <c r="AL14" s="64">
        <v>1</v>
      </c>
      <c r="AM14" s="64">
        <v>1</v>
      </c>
      <c r="AN14" s="68">
        <f>AM14/AL14*100</f>
        <v>100</v>
      </c>
      <c r="AO14" s="95" t="s">
        <v>331</v>
      </c>
    </row>
    <row r="15" spans="1:41" s="42" customFormat="1" ht="266.25" customHeight="1" x14ac:dyDescent="0.4">
      <c r="A15" s="145"/>
      <c r="B15" s="147"/>
      <c r="C15" s="145"/>
      <c r="D15" s="145"/>
      <c r="E15" s="145"/>
      <c r="F15" s="155"/>
      <c r="G15" s="39" t="s">
        <v>177</v>
      </c>
      <c r="H15" s="34" t="s">
        <v>46</v>
      </c>
      <c r="I15" s="77" t="s">
        <v>130</v>
      </c>
      <c r="J15" s="54" t="s">
        <v>89</v>
      </c>
      <c r="K15" s="54" t="s">
        <v>96</v>
      </c>
      <c r="L15" s="41">
        <v>1</v>
      </c>
      <c r="M15" s="41">
        <v>0</v>
      </c>
      <c r="N15" s="47">
        <f t="shared" si="0"/>
        <v>0</v>
      </c>
      <c r="O15" s="41"/>
      <c r="P15" s="41"/>
      <c r="Q15" s="57" t="s">
        <v>260</v>
      </c>
      <c r="R15" s="41">
        <v>12</v>
      </c>
      <c r="S15" s="41">
        <v>2</v>
      </c>
      <c r="T15" s="45">
        <f t="shared" si="1"/>
        <v>16.666666666666664</v>
      </c>
      <c r="U15" s="41"/>
      <c r="V15" s="46">
        <v>5164321</v>
      </c>
      <c r="W15" s="58" t="s">
        <v>286</v>
      </c>
      <c r="X15" s="64">
        <v>1</v>
      </c>
      <c r="Y15" s="64">
        <v>1</v>
      </c>
      <c r="Z15" s="63">
        <f>(Y15/X15)*100</f>
        <v>100</v>
      </c>
      <c r="AA15" s="65">
        <v>7000000</v>
      </c>
      <c r="AB15" s="46">
        <v>7000000</v>
      </c>
      <c r="AC15" s="59">
        <f>AB15/AA15</f>
        <v>1</v>
      </c>
      <c r="AD15" s="96" t="s">
        <v>365</v>
      </c>
      <c r="AE15" s="64">
        <v>1</v>
      </c>
      <c r="AF15" s="64">
        <v>1</v>
      </c>
      <c r="AG15" s="63">
        <f t="shared" si="3"/>
        <v>100</v>
      </c>
      <c r="AH15" s="70">
        <v>1800000</v>
      </c>
      <c r="AI15" s="70">
        <v>1775000</v>
      </c>
      <c r="AJ15" s="59">
        <f t="shared" si="2"/>
        <v>0.98611111111111116</v>
      </c>
      <c r="AK15" s="96" t="s">
        <v>394</v>
      </c>
      <c r="AL15" s="64">
        <v>1</v>
      </c>
      <c r="AM15" s="73">
        <f>(AF15+Y15+S15+M15)/4</f>
        <v>1</v>
      </c>
      <c r="AN15" s="68">
        <f>AM15/AL15*100</f>
        <v>100</v>
      </c>
      <c r="AO15" s="96" t="s">
        <v>374</v>
      </c>
    </row>
    <row r="16" spans="1:41" s="42" customFormat="1" ht="204.75" customHeight="1" x14ac:dyDescent="0.4">
      <c r="A16" s="145"/>
      <c r="B16" s="147"/>
      <c r="C16" s="145"/>
      <c r="D16" s="145"/>
      <c r="E16" s="39" t="s">
        <v>162</v>
      </c>
      <c r="F16" s="36" t="s">
        <v>22</v>
      </c>
      <c r="G16" s="38" t="s">
        <v>178</v>
      </c>
      <c r="H16" s="36" t="s">
        <v>203</v>
      </c>
      <c r="I16" s="76" t="s">
        <v>223</v>
      </c>
      <c r="J16" s="54" t="s">
        <v>90</v>
      </c>
      <c r="K16" s="54" t="s">
        <v>91</v>
      </c>
      <c r="L16" s="41">
        <v>0</v>
      </c>
      <c r="M16" s="41">
        <v>0</v>
      </c>
      <c r="N16" s="50">
        <v>0</v>
      </c>
      <c r="O16" s="41"/>
      <c r="P16" s="41"/>
      <c r="Q16" s="57" t="s">
        <v>277</v>
      </c>
      <c r="R16" s="41">
        <v>12</v>
      </c>
      <c r="S16" s="41">
        <v>0</v>
      </c>
      <c r="T16" s="44">
        <f t="shared" si="1"/>
        <v>0</v>
      </c>
      <c r="U16" s="41"/>
      <c r="V16" s="46">
        <v>3000000</v>
      </c>
      <c r="W16" s="58" t="s">
        <v>260</v>
      </c>
      <c r="X16" s="64">
        <v>1</v>
      </c>
      <c r="Y16" s="64">
        <v>1</v>
      </c>
      <c r="Z16" s="63">
        <f>(Y16/X16)*100</f>
        <v>100</v>
      </c>
      <c r="AA16" s="65">
        <v>7000000</v>
      </c>
      <c r="AB16" s="65">
        <v>7000000</v>
      </c>
      <c r="AC16" s="59">
        <f t="shared" si="6"/>
        <v>1</v>
      </c>
      <c r="AD16" s="96" t="s">
        <v>366</v>
      </c>
      <c r="AE16" s="64">
        <v>1</v>
      </c>
      <c r="AF16" s="64">
        <v>1</v>
      </c>
      <c r="AG16" s="63">
        <f t="shared" si="3"/>
        <v>100</v>
      </c>
      <c r="AH16" s="70">
        <f>9600000</f>
        <v>9600000</v>
      </c>
      <c r="AI16" s="70">
        <f>3200000</f>
        <v>3200000</v>
      </c>
      <c r="AJ16" s="59">
        <f t="shared" si="2"/>
        <v>0.33333333333333331</v>
      </c>
      <c r="AK16" s="95" t="s">
        <v>346</v>
      </c>
      <c r="AL16" s="64">
        <v>1</v>
      </c>
      <c r="AM16" s="64">
        <v>1</v>
      </c>
      <c r="AN16" s="68">
        <f>AM16/AL16*100</f>
        <v>100</v>
      </c>
      <c r="AO16" s="95" t="s">
        <v>346</v>
      </c>
    </row>
    <row r="17" spans="1:41" s="93" customFormat="1" ht="409.5" customHeight="1" x14ac:dyDescent="0.4">
      <c r="A17" s="146" t="s">
        <v>23</v>
      </c>
      <c r="B17" s="146" t="s">
        <v>24</v>
      </c>
      <c r="C17" s="145" t="s">
        <v>148</v>
      </c>
      <c r="D17" s="146" t="s">
        <v>25</v>
      </c>
      <c r="E17" s="145" t="s">
        <v>163</v>
      </c>
      <c r="F17" s="150" t="s">
        <v>26</v>
      </c>
      <c r="G17" s="146" t="s">
        <v>179</v>
      </c>
      <c r="H17" s="155" t="s">
        <v>57</v>
      </c>
      <c r="I17" s="83" t="s">
        <v>58</v>
      </c>
      <c r="J17" s="84" t="s">
        <v>92</v>
      </c>
      <c r="K17" s="84" t="s">
        <v>95</v>
      </c>
      <c r="L17" s="52">
        <v>1</v>
      </c>
      <c r="M17" s="52">
        <v>1</v>
      </c>
      <c r="N17" s="85">
        <f t="shared" si="0"/>
        <v>100</v>
      </c>
      <c r="O17" s="52"/>
      <c r="P17" s="52"/>
      <c r="Q17" s="86" t="s">
        <v>278</v>
      </c>
      <c r="R17" s="52">
        <v>1</v>
      </c>
      <c r="S17" s="52">
        <v>0</v>
      </c>
      <c r="T17" s="52">
        <f t="shared" si="1"/>
        <v>0</v>
      </c>
      <c r="U17" s="52"/>
      <c r="V17" s="127">
        <v>5739187</v>
      </c>
      <c r="W17" s="89" t="s">
        <v>260</v>
      </c>
      <c r="X17" s="52">
        <v>1</v>
      </c>
      <c r="Y17" s="52">
        <v>1</v>
      </c>
      <c r="Z17" s="90">
        <f t="shared" si="5"/>
        <v>100</v>
      </c>
      <c r="AA17" s="91">
        <v>5238569</v>
      </c>
      <c r="AB17" s="88">
        <v>3677444</v>
      </c>
      <c r="AC17" s="85">
        <f t="shared" si="6"/>
        <v>0.70199399874278645</v>
      </c>
      <c r="AD17" s="96" t="s">
        <v>396</v>
      </c>
      <c r="AE17" s="52">
        <v>1</v>
      </c>
      <c r="AF17" s="52">
        <v>1</v>
      </c>
      <c r="AG17" s="90">
        <f t="shared" si="3"/>
        <v>100</v>
      </c>
      <c r="AH17" s="92">
        <v>7280000</v>
      </c>
      <c r="AI17" s="92">
        <v>1337040</v>
      </c>
      <c r="AJ17" s="59">
        <f t="shared" si="2"/>
        <v>0.18365934065934067</v>
      </c>
      <c r="AK17" s="96" t="s">
        <v>383</v>
      </c>
      <c r="AL17" s="52">
        <v>1</v>
      </c>
      <c r="AM17" s="52">
        <f>(M17+S17+Y17+AF17)/4</f>
        <v>0.75</v>
      </c>
      <c r="AN17" s="68">
        <f>AM17/AL17*100</f>
        <v>75</v>
      </c>
      <c r="AO17" s="96" t="s">
        <v>332</v>
      </c>
    </row>
    <row r="18" spans="1:41" s="42" customFormat="1" ht="276.75" customHeight="1" x14ac:dyDescent="0.4">
      <c r="A18" s="144"/>
      <c r="B18" s="144"/>
      <c r="C18" s="145"/>
      <c r="D18" s="144"/>
      <c r="E18" s="145"/>
      <c r="F18" s="151"/>
      <c r="G18" s="149"/>
      <c r="H18" s="155"/>
      <c r="I18" s="77" t="s">
        <v>56</v>
      </c>
      <c r="J18" s="54" t="s">
        <v>92</v>
      </c>
      <c r="K18" s="54" t="s">
        <v>95</v>
      </c>
      <c r="L18" s="41">
        <v>1</v>
      </c>
      <c r="M18" s="41">
        <v>0</v>
      </c>
      <c r="N18" s="47">
        <f t="shared" si="0"/>
        <v>0</v>
      </c>
      <c r="O18" s="41"/>
      <c r="P18" s="41"/>
      <c r="Q18" s="57" t="s">
        <v>260</v>
      </c>
      <c r="R18" s="126">
        <v>1</v>
      </c>
      <c r="S18" s="41">
        <v>0</v>
      </c>
      <c r="T18" s="44">
        <f t="shared" si="1"/>
        <v>0</v>
      </c>
      <c r="U18" s="41"/>
      <c r="V18" s="46">
        <v>1115357</v>
      </c>
      <c r="W18" s="58" t="s">
        <v>260</v>
      </c>
      <c r="X18" s="41">
        <v>1</v>
      </c>
      <c r="Y18" s="41">
        <v>1</v>
      </c>
      <c r="Z18" s="63">
        <f t="shared" si="5"/>
        <v>100</v>
      </c>
      <c r="AA18" s="65">
        <f>4367372+618333</f>
        <v>4985705</v>
      </c>
      <c r="AB18" s="46">
        <f>2593290+618333</f>
        <v>3211623</v>
      </c>
      <c r="AC18" s="59">
        <v>0.59</v>
      </c>
      <c r="AD18" s="96" t="s">
        <v>318</v>
      </c>
      <c r="AE18" s="41">
        <v>1</v>
      </c>
      <c r="AF18" s="41">
        <v>1</v>
      </c>
      <c r="AG18" s="63">
        <f t="shared" si="3"/>
        <v>100</v>
      </c>
      <c r="AH18" s="70">
        <v>8073000</v>
      </c>
      <c r="AI18" s="70">
        <v>1849000</v>
      </c>
      <c r="AJ18" s="59">
        <f t="shared" si="2"/>
        <v>0.22903505512201164</v>
      </c>
      <c r="AK18" s="96" t="s">
        <v>384</v>
      </c>
      <c r="AL18" s="52">
        <v>1</v>
      </c>
      <c r="AM18" s="41">
        <f>(M18+S18+Y18+AF18)/4</f>
        <v>0.5</v>
      </c>
      <c r="AN18" s="68">
        <f>+(AM18/AL18)*100</f>
        <v>50</v>
      </c>
      <c r="AO18" s="95" t="s">
        <v>333</v>
      </c>
    </row>
    <row r="19" spans="1:41" s="42" customFormat="1" ht="409.5" customHeight="1" x14ac:dyDescent="0.4">
      <c r="A19" s="144"/>
      <c r="B19" s="144"/>
      <c r="C19" s="145"/>
      <c r="D19" s="144"/>
      <c r="E19" s="145"/>
      <c r="F19" s="151"/>
      <c r="G19" s="39" t="s">
        <v>180</v>
      </c>
      <c r="H19" s="34" t="s">
        <v>131</v>
      </c>
      <c r="I19" s="77" t="s">
        <v>59</v>
      </c>
      <c r="J19" s="54" t="s">
        <v>93</v>
      </c>
      <c r="K19" s="54" t="s">
        <v>94</v>
      </c>
      <c r="L19" s="41">
        <v>1</v>
      </c>
      <c r="M19" s="41">
        <v>1</v>
      </c>
      <c r="N19" s="47">
        <f t="shared" si="0"/>
        <v>100</v>
      </c>
      <c r="O19" s="41"/>
      <c r="P19" s="41"/>
      <c r="Q19" s="57" t="s">
        <v>279</v>
      </c>
      <c r="R19" s="41">
        <v>1</v>
      </c>
      <c r="S19" s="41">
        <v>1</v>
      </c>
      <c r="T19" s="44">
        <f t="shared" si="1"/>
        <v>100</v>
      </c>
      <c r="U19" s="41"/>
      <c r="V19" s="46">
        <v>10624940</v>
      </c>
      <c r="W19" s="58" t="s">
        <v>265</v>
      </c>
      <c r="X19" s="41">
        <v>1</v>
      </c>
      <c r="Y19" s="41">
        <v>1</v>
      </c>
      <c r="Z19" s="63">
        <f t="shared" si="5"/>
        <v>100</v>
      </c>
      <c r="AA19" s="65">
        <v>500000</v>
      </c>
      <c r="AB19" s="65">
        <v>500000</v>
      </c>
      <c r="AC19" s="59">
        <f t="shared" si="6"/>
        <v>1</v>
      </c>
      <c r="AD19" s="96" t="s">
        <v>319</v>
      </c>
      <c r="AE19" s="41">
        <v>1</v>
      </c>
      <c r="AF19" s="41">
        <v>1</v>
      </c>
      <c r="AG19" s="63">
        <f t="shared" si="3"/>
        <v>100</v>
      </c>
      <c r="AH19" s="70">
        <v>31400000</v>
      </c>
      <c r="AI19" s="70">
        <v>6300000</v>
      </c>
      <c r="AJ19" s="59">
        <f t="shared" si="2"/>
        <v>0.20063694267515925</v>
      </c>
      <c r="AK19" s="95" t="s">
        <v>385</v>
      </c>
      <c r="AL19" s="41">
        <v>1</v>
      </c>
      <c r="AM19" s="41">
        <v>1</v>
      </c>
      <c r="AN19" s="68">
        <f t="shared" si="4"/>
        <v>100</v>
      </c>
      <c r="AO19" s="95" t="s">
        <v>350</v>
      </c>
    </row>
    <row r="20" spans="1:41" s="42" customFormat="1" ht="409.5" customHeight="1" x14ac:dyDescent="0.4">
      <c r="A20" s="144"/>
      <c r="B20" s="144"/>
      <c r="C20" s="145"/>
      <c r="D20" s="144"/>
      <c r="E20" s="145"/>
      <c r="F20" s="151"/>
      <c r="G20" s="39" t="s">
        <v>181</v>
      </c>
      <c r="H20" s="34" t="s">
        <v>60</v>
      </c>
      <c r="I20" s="77" t="s">
        <v>132</v>
      </c>
      <c r="J20" s="54" t="s">
        <v>98</v>
      </c>
      <c r="K20" s="54" t="s">
        <v>99</v>
      </c>
      <c r="L20" s="41">
        <v>1</v>
      </c>
      <c r="M20" s="41">
        <v>0</v>
      </c>
      <c r="N20" s="47">
        <f t="shared" si="0"/>
        <v>0</v>
      </c>
      <c r="O20" s="41"/>
      <c r="P20" s="41"/>
      <c r="Q20" s="57" t="s">
        <v>260</v>
      </c>
      <c r="R20" s="41">
        <v>1</v>
      </c>
      <c r="S20" s="41"/>
      <c r="T20" s="44">
        <f t="shared" si="1"/>
        <v>0</v>
      </c>
      <c r="U20" s="41"/>
      <c r="V20" s="46">
        <v>234107</v>
      </c>
      <c r="W20" s="58" t="s">
        <v>260</v>
      </c>
      <c r="X20" s="41">
        <v>1</v>
      </c>
      <c r="Y20" s="41">
        <v>1</v>
      </c>
      <c r="Z20" s="63">
        <f t="shared" si="5"/>
        <v>100</v>
      </c>
      <c r="AA20" s="65">
        <v>0</v>
      </c>
      <c r="AB20" s="46">
        <v>0</v>
      </c>
      <c r="AC20" s="59">
        <v>0</v>
      </c>
      <c r="AD20" s="96" t="s">
        <v>367</v>
      </c>
      <c r="AE20" s="41">
        <v>1</v>
      </c>
      <c r="AF20" s="126">
        <v>0.8</v>
      </c>
      <c r="AG20" s="63">
        <f t="shared" si="3"/>
        <v>80</v>
      </c>
      <c r="AH20" s="70">
        <f>320000</f>
        <v>320000</v>
      </c>
      <c r="AI20" s="70">
        <f>320000</f>
        <v>320000</v>
      </c>
      <c r="AJ20" s="59">
        <f t="shared" si="2"/>
        <v>1</v>
      </c>
      <c r="AK20" s="96" t="s">
        <v>386</v>
      </c>
      <c r="AL20" s="41">
        <v>1</v>
      </c>
      <c r="AM20" s="41">
        <v>0.8</v>
      </c>
      <c r="AN20" s="68">
        <f>AM20/AL20*100</f>
        <v>80</v>
      </c>
      <c r="AO20" s="95" t="s">
        <v>351</v>
      </c>
    </row>
    <row r="21" spans="1:41" s="42" customFormat="1" ht="408.75" customHeight="1" x14ac:dyDescent="0.4">
      <c r="A21" s="144"/>
      <c r="B21" s="144"/>
      <c r="C21" s="145"/>
      <c r="D21" s="149"/>
      <c r="E21" s="145"/>
      <c r="F21" s="152"/>
      <c r="G21" s="39" t="s">
        <v>182</v>
      </c>
      <c r="H21" s="34" t="s">
        <v>204</v>
      </c>
      <c r="I21" s="77" t="s">
        <v>224</v>
      </c>
      <c r="J21" s="54" t="s">
        <v>84</v>
      </c>
      <c r="K21" s="54" t="s">
        <v>95</v>
      </c>
      <c r="L21" s="41">
        <v>1</v>
      </c>
      <c r="M21" s="41">
        <v>0</v>
      </c>
      <c r="N21" s="47">
        <f t="shared" si="0"/>
        <v>0</v>
      </c>
      <c r="O21" s="41"/>
      <c r="P21" s="41"/>
      <c r="Q21" s="57" t="s">
        <v>280</v>
      </c>
      <c r="R21" s="41">
        <v>1</v>
      </c>
      <c r="S21" s="41">
        <v>0</v>
      </c>
      <c r="T21" s="44">
        <f t="shared" si="1"/>
        <v>0</v>
      </c>
      <c r="U21" s="41"/>
      <c r="V21" s="46">
        <v>1664107</v>
      </c>
      <c r="W21" s="58" t="s">
        <v>258</v>
      </c>
      <c r="X21" s="41">
        <v>1</v>
      </c>
      <c r="Y21" s="41">
        <v>1</v>
      </c>
      <c r="Z21" s="63">
        <f>(Y21/X21)*100</f>
        <v>100</v>
      </c>
      <c r="AA21" s="46">
        <v>733332</v>
      </c>
      <c r="AB21" s="46">
        <v>733332</v>
      </c>
      <c r="AC21" s="59">
        <f t="shared" si="6"/>
        <v>1</v>
      </c>
      <c r="AD21" s="96" t="s">
        <v>310</v>
      </c>
      <c r="AE21" s="52">
        <v>0</v>
      </c>
      <c r="AF21" s="41">
        <v>1</v>
      </c>
      <c r="AG21" s="63">
        <v>0</v>
      </c>
      <c r="AH21" s="121">
        <v>763000</v>
      </c>
      <c r="AI21" s="121">
        <v>763000</v>
      </c>
      <c r="AJ21" s="122" t="s">
        <v>381</v>
      </c>
      <c r="AK21" s="119" t="s">
        <v>400</v>
      </c>
      <c r="AL21" s="52">
        <v>1</v>
      </c>
      <c r="AM21" s="41">
        <f>(M21+S21+Y21+AF21)/4</f>
        <v>0.5</v>
      </c>
      <c r="AN21" s="68">
        <f>AM21/AL21*100</f>
        <v>50</v>
      </c>
      <c r="AO21" s="95" t="s">
        <v>352</v>
      </c>
    </row>
    <row r="22" spans="1:41" s="42" customFormat="1" ht="408.75" customHeight="1" x14ac:dyDescent="0.4">
      <c r="A22" s="144"/>
      <c r="B22" s="144"/>
      <c r="C22" s="145" t="s">
        <v>149</v>
      </c>
      <c r="D22" s="145" t="s">
        <v>27</v>
      </c>
      <c r="E22" s="145" t="s">
        <v>164</v>
      </c>
      <c r="F22" s="155" t="s">
        <v>28</v>
      </c>
      <c r="G22" s="39" t="s">
        <v>183</v>
      </c>
      <c r="H22" s="34" t="s">
        <v>49</v>
      </c>
      <c r="I22" s="77" t="s">
        <v>225</v>
      </c>
      <c r="J22" s="54" t="s">
        <v>100</v>
      </c>
      <c r="K22" s="54" t="s">
        <v>101</v>
      </c>
      <c r="L22" s="41">
        <v>1</v>
      </c>
      <c r="M22" s="41">
        <v>0</v>
      </c>
      <c r="N22" s="47">
        <f t="shared" si="0"/>
        <v>0</v>
      </c>
      <c r="O22" s="41"/>
      <c r="P22" s="41"/>
      <c r="Q22" s="57" t="s">
        <v>281</v>
      </c>
      <c r="R22" s="41">
        <v>1</v>
      </c>
      <c r="S22" s="41">
        <v>0</v>
      </c>
      <c r="T22" s="44">
        <f t="shared" si="1"/>
        <v>0</v>
      </c>
      <c r="U22" s="41"/>
      <c r="V22" s="46">
        <v>5023333</v>
      </c>
      <c r="W22" s="58" t="s">
        <v>260</v>
      </c>
      <c r="X22" s="41">
        <v>1</v>
      </c>
      <c r="Y22" s="41">
        <v>1</v>
      </c>
      <c r="Z22" s="63">
        <f>(Y22/X22)*100</f>
        <v>100</v>
      </c>
      <c r="AA22" s="65">
        <f>2434123+214000</f>
        <v>2648123</v>
      </c>
      <c r="AB22" s="46">
        <v>1237041</v>
      </c>
      <c r="AC22" s="59">
        <f t="shared" si="6"/>
        <v>0.4671387998216095</v>
      </c>
      <c r="AD22" s="96" t="s">
        <v>368</v>
      </c>
      <c r="AE22" s="41">
        <v>1</v>
      </c>
      <c r="AF22" s="41">
        <v>1</v>
      </c>
      <c r="AG22" s="63">
        <f t="shared" si="3"/>
        <v>100</v>
      </c>
      <c r="AH22" s="70">
        <v>7566000</v>
      </c>
      <c r="AI22" s="70">
        <v>1943000</v>
      </c>
      <c r="AJ22" s="59">
        <f t="shared" si="2"/>
        <v>0.25680676711604544</v>
      </c>
      <c r="AK22" s="95" t="s">
        <v>401</v>
      </c>
      <c r="AL22" s="52">
        <v>1</v>
      </c>
      <c r="AM22" s="41">
        <f>(M22+S22+Y22+AF22)/4</f>
        <v>0.5</v>
      </c>
      <c r="AN22" s="68">
        <f>AM22/AL22*100</f>
        <v>50</v>
      </c>
      <c r="AO22" s="95" t="s">
        <v>353</v>
      </c>
    </row>
    <row r="23" spans="1:41" s="42" customFormat="1" ht="409.5" customHeight="1" x14ac:dyDescent="0.4">
      <c r="A23" s="149"/>
      <c r="B23" s="149"/>
      <c r="C23" s="145"/>
      <c r="D23" s="145"/>
      <c r="E23" s="145"/>
      <c r="F23" s="155"/>
      <c r="G23" s="39" t="s">
        <v>184</v>
      </c>
      <c r="H23" s="34" t="s">
        <v>205</v>
      </c>
      <c r="I23" s="77" t="s">
        <v>226</v>
      </c>
      <c r="J23" s="54" t="s">
        <v>102</v>
      </c>
      <c r="K23" s="54" t="s">
        <v>103</v>
      </c>
      <c r="L23" s="41">
        <v>11</v>
      </c>
      <c r="M23" s="41">
        <v>0</v>
      </c>
      <c r="N23" s="47">
        <f t="shared" si="0"/>
        <v>0</v>
      </c>
      <c r="O23" s="41"/>
      <c r="P23" s="41"/>
      <c r="Q23" s="57" t="s">
        <v>260</v>
      </c>
      <c r="R23" s="41">
        <v>12</v>
      </c>
      <c r="S23" s="41">
        <v>0</v>
      </c>
      <c r="T23" s="44">
        <f t="shared" si="1"/>
        <v>0</v>
      </c>
      <c r="U23" s="41"/>
      <c r="V23" s="46">
        <v>0</v>
      </c>
      <c r="W23" s="58" t="s">
        <v>260</v>
      </c>
      <c r="X23" s="41">
        <v>12</v>
      </c>
      <c r="Y23" s="41">
        <v>0</v>
      </c>
      <c r="Z23" s="63">
        <f t="shared" si="5"/>
        <v>0</v>
      </c>
      <c r="AA23" s="65">
        <v>25770000</v>
      </c>
      <c r="AB23" s="46">
        <v>25676000</v>
      </c>
      <c r="AC23" s="59">
        <f t="shared" si="6"/>
        <v>0.99635234769111369</v>
      </c>
      <c r="AD23" s="130" t="s">
        <v>369</v>
      </c>
      <c r="AE23" s="66">
        <v>12</v>
      </c>
      <c r="AF23" s="66">
        <v>2</v>
      </c>
      <c r="AG23" s="63">
        <f t="shared" si="3"/>
        <v>16.666666666666664</v>
      </c>
      <c r="AH23" s="72">
        <f>1600000</f>
        <v>1600000</v>
      </c>
      <c r="AI23" s="72">
        <f>800000</f>
        <v>800000</v>
      </c>
      <c r="AJ23" s="59">
        <f t="shared" si="2"/>
        <v>0.5</v>
      </c>
      <c r="AK23" s="97" t="s">
        <v>347</v>
      </c>
      <c r="AL23" s="99">
        <v>12</v>
      </c>
      <c r="AM23" s="66">
        <f>(M23+S23+Y23+AF23)</f>
        <v>2</v>
      </c>
      <c r="AN23" s="68">
        <f>AM23/AL23*100</f>
        <v>16.666666666666664</v>
      </c>
      <c r="AO23" s="95" t="s">
        <v>356</v>
      </c>
    </row>
    <row r="24" spans="1:41" s="42" customFormat="1" ht="408.75" customHeight="1" x14ac:dyDescent="0.4">
      <c r="A24" s="146" t="s">
        <v>29</v>
      </c>
      <c r="B24" s="145" t="s">
        <v>30</v>
      </c>
      <c r="C24" s="145" t="s">
        <v>150</v>
      </c>
      <c r="D24" s="145" t="s">
        <v>31</v>
      </c>
      <c r="E24" s="39" t="s">
        <v>165</v>
      </c>
      <c r="F24" s="34" t="s">
        <v>32</v>
      </c>
      <c r="G24" s="39" t="s">
        <v>185</v>
      </c>
      <c r="H24" s="36" t="s">
        <v>206</v>
      </c>
      <c r="I24" s="77" t="s">
        <v>227</v>
      </c>
      <c r="J24" s="54" t="s">
        <v>104</v>
      </c>
      <c r="K24" s="54" t="s">
        <v>105</v>
      </c>
      <c r="L24" s="41">
        <v>12</v>
      </c>
      <c r="M24" s="41">
        <v>11</v>
      </c>
      <c r="N24" s="47">
        <f t="shared" si="0"/>
        <v>91.666666666666657</v>
      </c>
      <c r="O24" s="41"/>
      <c r="P24" s="41"/>
      <c r="Q24" s="57" t="s">
        <v>282</v>
      </c>
      <c r="R24" s="41">
        <v>12</v>
      </c>
      <c r="S24" s="41">
        <v>12</v>
      </c>
      <c r="T24" s="44">
        <f t="shared" si="1"/>
        <v>100</v>
      </c>
      <c r="U24" s="41"/>
      <c r="V24" s="46">
        <v>13544107</v>
      </c>
      <c r="W24" s="58" t="s">
        <v>269</v>
      </c>
      <c r="X24" s="41">
        <v>12</v>
      </c>
      <c r="Y24" s="41">
        <v>12</v>
      </c>
      <c r="Z24" s="63">
        <f t="shared" si="5"/>
        <v>100</v>
      </c>
      <c r="AA24" s="65">
        <f>10000000+1430000</f>
        <v>11430000</v>
      </c>
      <c r="AB24" s="46">
        <v>6532000</v>
      </c>
      <c r="AC24" s="59">
        <f t="shared" si="6"/>
        <v>0.57147856517935258</v>
      </c>
      <c r="AD24" s="96" t="s">
        <v>314</v>
      </c>
      <c r="AE24" s="41">
        <v>12</v>
      </c>
      <c r="AF24" s="41">
        <v>12</v>
      </c>
      <c r="AG24" s="63">
        <f t="shared" si="3"/>
        <v>100</v>
      </c>
      <c r="AH24" s="92">
        <f>563000+1518000000+15000000</f>
        <v>1533563000</v>
      </c>
      <c r="AI24" s="70">
        <v>11663000</v>
      </c>
      <c r="AJ24" s="59">
        <f t="shared" si="2"/>
        <v>7.6051652263389247E-3</v>
      </c>
      <c r="AK24" s="96" t="s">
        <v>393</v>
      </c>
      <c r="AL24" s="41">
        <v>12</v>
      </c>
      <c r="AM24" s="52">
        <v>12</v>
      </c>
      <c r="AN24" s="79">
        <v>100</v>
      </c>
      <c r="AO24" s="95" t="s">
        <v>408</v>
      </c>
    </row>
    <row r="25" spans="1:41" s="42" customFormat="1" ht="408.75" customHeight="1" x14ac:dyDescent="0.4">
      <c r="A25" s="144"/>
      <c r="B25" s="145"/>
      <c r="C25" s="145"/>
      <c r="D25" s="145"/>
      <c r="E25" s="39" t="s">
        <v>166</v>
      </c>
      <c r="F25" s="34" t="s">
        <v>133</v>
      </c>
      <c r="G25" s="39" t="s">
        <v>186</v>
      </c>
      <c r="H25" s="36" t="s">
        <v>207</v>
      </c>
      <c r="I25" s="77" t="s">
        <v>228</v>
      </c>
      <c r="J25" s="54" t="s">
        <v>106</v>
      </c>
      <c r="K25" s="54" t="s">
        <v>107</v>
      </c>
      <c r="L25" s="41">
        <v>12</v>
      </c>
      <c r="M25" s="41">
        <v>6</v>
      </c>
      <c r="N25" s="47">
        <f t="shared" si="0"/>
        <v>50</v>
      </c>
      <c r="O25" s="41" t="s">
        <v>283</v>
      </c>
      <c r="P25" s="41" t="s">
        <v>283</v>
      </c>
      <c r="Q25" s="57" t="s">
        <v>284</v>
      </c>
      <c r="R25" s="41">
        <v>12</v>
      </c>
      <c r="S25" s="41">
        <v>12</v>
      </c>
      <c r="T25" s="44">
        <f t="shared" si="1"/>
        <v>100</v>
      </c>
      <c r="U25" s="41"/>
      <c r="V25" s="46">
        <v>801079547</v>
      </c>
      <c r="W25" s="58" t="s">
        <v>270</v>
      </c>
      <c r="X25" s="41">
        <v>12</v>
      </c>
      <c r="Y25" s="41">
        <v>12</v>
      </c>
      <c r="Z25" s="63">
        <f t="shared" si="5"/>
        <v>100</v>
      </c>
      <c r="AA25" s="65">
        <f>302419700+90000000</f>
        <v>392419700</v>
      </c>
      <c r="AB25" s="65">
        <f>302419700+90000000</f>
        <v>392419700</v>
      </c>
      <c r="AC25" s="59">
        <f t="shared" si="6"/>
        <v>1</v>
      </c>
      <c r="AD25" s="96" t="s">
        <v>311</v>
      </c>
      <c r="AE25" s="41">
        <v>12</v>
      </c>
      <c r="AF25" s="41">
        <v>12</v>
      </c>
      <c r="AG25" s="63">
        <f t="shared" si="3"/>
        <v>100</v>
      </c>
      <c r="AH25" s="70">
        <f>563000+130000000+15000000</f>
        <v>145563000</v>
      </c>
      <c r="AI25" s="70">
        <f>563000+130000000+6000000</f>
        <v>136563000</v>
      </c>
      <c r="AJ25" s="59">
        <f t="shared" si="2"/>
        <v>0.93817110117268809</v>
      </c>
      <c r="AK25" s="96" t="s">
        <v>387</v>
      </c>
      <c r="AL25" s="41">
        <v>12</v>
      </c>
      <c r="AM25" s="126">
        <v>12</v>
      </c>
      <c r="AN25" s="135">
        <v>100</v>
      </c>
      <c r="AO25" s="95" t="s">
        <v>340</v>
      </c>
    </row>
    <row r="26" spans="1:41" s="42" customFormat="1" ht="216" customHeight="1" x14ac:dyDescent="0.4">
      <c r="A26" s="144"/>
      <c r="B26" s="145"/>
      <c r="C26" s="145" t="s">
        <v>151</v>
      </c>
      <c r="D26" s="146" t="s">
        <v>33</v>
      </c>
      <c r="E26" s="145" t="s">
        <v>167</v>
      </c>
      <c r="F26" s="150" t="s">
        <v>34</v>
      </c>
      <c r="G26" s="146" t="s">
        <v>187</v>
      </c>
      <c r="H26" s="150" t="s">
        <v>208</v>
      </c>
      <c r="I26" s="78" t="s">
        <v>134</v>
      </c>
      <c r="J26" s="54" t="s">
        <v>108</v>
      </c>
      <c r="K26" s="54" t="s">
        <v>109</v>
      </c>
      <c r="L26" s="41">
        <v>1</v>
      </c>
      <c r="M26" s="41">
        <v>0</v>
      </c>
      <c r="N26" s="47">
        <f t="shared" si="0"/>
        <v>0</v>
      </c>
      <c r="O26" s="41"/>
      <c r="P26" s="41"/>
      <c r="Q26" s="57" t="s">
        <v>260</v>
      </c>
      <c r="R26" s="41">
        <v>1</v>
      </c>
      <c r="S26" s="41">
        <v>0</v>
      </c>
      <c r="T26" s="44">
        <f t="shared" si="1"/>
        <v>0</v>
      </c>
      <c r="U26" s="41"/>
      <c r="V26" s="46">
        <v>0</v>
      </c>
      <c r="W26" s="58" t="s">
        <v>260</v>
      </c>
      <c r="X26" s="41">
        <v>1</v>
      </c>
      <c r="Y26" s="41">
        <v>1</v>
      </c>
      <c r="Z26" s="63">
        <f t="shared" si="5"/>
        <v>100</v>
      </c>
      <c r="AA26" s="65">
        <v>9600000</v>
      </c>
      <c r="AB26" s="46">
        <v>3300000</v>
      </c>
      <c r="AC26" s="59">
        <f t="shared" si="6"/>
        <v>0.34375</v>
      </c>
      <c r="AD26" s="96" t="s">
        <v>390</v>
      </c>
      <c r="AE26" s="41">
        <v>1</v>
      </c>
      <c r="AF26" s="41">
        <v>1</v>
      </c>
      <c r="AG26" s="63">
        <f t="shared" si="3"/>
        <v>100</v>
      </c>
      <c r="AH26" s="70">
        <v>16800000</v>
      </c>
      <c r="AI26" s="70">
        <v>3633000</v>
      </c>
      <c r="AJ26" s="59">
        <f t="shared" si="2"/>
        <v>0.21625</v>
      </c>
      <c r="AK26" s="95" t="s">
        <v>388</v>
      </c>
      <c r="AL26" s="52">
        <v>1</v>
      </c>
      <c r="AM26" s="52">
        <f>(M26+S26+Y26+AF26)/4</f>
        <v>0.5</v>
      </c>
      <c r="AN26" s="68">
        <f>AM26/AL26*100</f>
        <v>50</v>
      </c>
      <c r="AO26" s="95" t="s">
        <v>334</v>
      </c>
    </row>
    <row r="27" spans="1:41" s="42" customFormat="1" ht="409.5" customHeight="1" x14ac:dyDescent="0.4">
      <c r="A27" s="144"/>
      <c r="B27" s="145"/>
      <c r="C27" s="145"/>
      <c r="D27" s="144"/>
      <c r="E27" s="145"/>
      <c r="F27" s="151"/>
      <c r="G27" s="149"/>
      <c r="H27" s="152"/>
      <c r="I27" s="77" t="s">
        <v>229</v>
      </c>
      <c r="J27" s="54" t="s">
        <v>110</v>
      </c>
      <c r="K27" s="54" t="s">
        <v>111</v>
      </c>
      <c r="L27" s="41">
        <v>1</v>
      </c>
      <c r="M27" s="41">
        <v>0</v>
      </c>
      <c r="N27" s="47">
        <f t="shared" si="0"/>
        <v>0</v>
      </c>
      <c r="O27" s="41"/>
      <c r="P27" s="41"/>
      <c r="Q27" s="57" t="s">
        <v>260</v>
      </c>
      <c r="R27" s="41">
        <v>1</v>
      </c>
      <c r="S27" s="41">
        <v>1</v>
      </c>
      <c r="T27" s="44">
        <f t="shared" si="1"/>
        <v>100</v>
      </c>
      <c r="U27" s="41"/>
      <c r="V27" s="46">
        <v>1650000</v>
      </c>
      <c r="W27" s="58" t="s">
        <v>287</v>
      </c>
      <c r="X27" s="41">
        <v>1</v>
      </c>
      <c r="Y27" s="41">
        <v>1</v>
      </c>
      <c r="Z27" s="63">
        <f t="shared" si="5"/>
        <v>100</v>
      </c>
      <c r="AA27" s="65">
        <v>0</v>
      </c>
      <c r="AB27" s="46">
        <v>0</v>
      </c>
      <c r="AC27" s="59">
        <v>0</v>
      </c>
      <c r="AD27" s="96" t="s">
        <v>320</v>
      </c>
      <c r="AE27" s="41">
        <v>1</v>
      </c>
      <c r="AF27" s="41">
        <v>1</v>
      </c>
      <c r="AG27" s="63">
        <f t="shared" si="3"/>
        <v>100</v>
      </c>
      <c r="AH27" s="70">
        <v>16800000</v>
      </c>
      <c r="AI27" s="70">
        <v>3633000</v>
      </c>
      <c r="AJ27" s="59">
        <f t="shared" si="2"/>
        <v>0.21625</v>
      </c>
      <c r="AK27" s="95" t="s">
        <v>391</v>
      </c>
      <c r="AL27" s="52">
        <v>1</v>
      </c>
      <c r="AM27" s="41">
        <f>(M27+S27+Y27+AF27)/4</f>
        <v>0.75</v>
      </c>
      <c r="AN27" s="68">
        <f>AM27/AL27*100</f>
        <v>75</v>
      </c>
      <c r="AO27" s="95" t="s">
        <v>335</v>
      </c>
    </row>
    <row r="28" spans="1:41" s="42" customFormat="1" ht="218.25" customHeight="1" x14ac:dyDescent="0.4">
      <c r="A28" s="144"/>
      <c r="B28" s="145"/>
      <c r="C28" s="145"/>
      <c r="D28" s="144"/>
      <c r="E28" s="145"/>
      <c r="F28" s="151"/>
      <c r="G28" s="39" t="s">
        <v>188</v>
      </c>
      <c r="H28" s="34" t="s">
        <v>209</v>
      </c>
      <c r="I28" s="77" t="s">
        <v>61</v>
      </c>
      <c r="J28" s="54" t="s">
        <v>93</v>
      </c>
      <c r="K28" s="54" t="s">
        <v>111</v>
      </c>
      <c r="L28" s="41">
        <v>1</v>
      </c>
      <c r="M28" s="41">
        <v>0</v>
      </c>
      <c r="N28" s="47">
        <f t="shared" si="0"/>
        <v>0</v>
      </c>
      <c r="O28" s="41"/>
      <c r="P28" s="41"/>
      <c r="Q28" s="57" t="s">
        <v>260</v>
      </c>
      <c r="R28" s="41">
        <v>1</v>
      </c>
      <c r="S28" s="41">
        <v>0</v>
      </c>
      <c r="T28" s="44">
        <f t="shared" si="1"/>
        <v>0</v>
      </c>
      <c r="U28" s="41"/>
      <c r="V28" s="46">
        <v>1650000</v>
      </c>
      <c r="W28" s="58" t="s">
        <v>349</v>
      </c>
      <c r="X28" s="41">
        <v>1</v>
      </c>
      <c r="Y28" s="41">
        <v>0</v>
      </c>
      <c r="Z28" s="63">
        <f t="shared" si="5"/>
        <v>0</v>
      </c>
      <c r="AA28" s="65">
        <v>0</v>
      </c>
      <c r="AB28" s="46">
        <v>0</v>
      </c>
      <c r="AC28" s="59">
        <v>0</v>
      </c>
      <c r="AD28" s="96" t="s">
        <v>304</v>
      </c>
      <c r="AE28" s="41">
        <v>1</v>
      </c>
      <c r="AF28" s="41">
        <v>1</v>
      </c>
      <c r="AG28" s="63">
        <f t="shared" si="3"/>
        <v>100</v>
      </c>
      <c r="AH28" s="70">
        <v>14200000</v>
      </c>
      <c r="AI28" s="70">
        <v>6500000</v>
      </c>
      <c r="AJ28" s="59">
        <f t="shared" si="2"/>
        <v>0.45774647887323944</v>
      </c>
      <c r="AK28" s="95" t="s">
        <v>389</v>
      </c>
      <c r="AL28" s="41">
        <v>1</v>
      </c>
      <c r="AM28" s="41">
        <v>1</v>
      </c>
      <c r="AN28" s="68">
        <f t="shared" ref="AN28:AN42" si="7">AM28/AL28*100</f>
        <v>100</v>
      </c>
      <c r="AO28" s="96" t="s">
        <v>360</v>
      </c>
    </row>
    <row r="29" spans="1:41" s="42" customFormat="1" ht="346.5" customHeight="1" x14ac:dyDescent="0.4">
      <c r="A29" s="144"/>
      <c r="B29" s="145"/>
      <c r="C29" s="145"/>
      <c r="D29" s="144"/>
      <c r="E29" s="145"/>
      <c r="F29" s="151"/>
      <c r="G29" s="39" t="s">
        <v>189</v>
      </c>
      <c r="H29" s="34" t="s">
        <v>210</v>
      </c>
      <c r="I29" s="77" t="s">
        <v>135</v>
      </c>
      <c r="J29" s="54" t="s">
        <v>112</v>
      </c>
      <c r="K29" s="54" t="s">
        <v>111</v>
      </c>
      <c r="L29" s="41">
        <v>1</v>
      </c>
      <c r="M29" s="41">
        <v>0</v>
      </c>
      <c r="N29" s="47">
        <f t="shared" si="0"/>
        <v>0</v>
      </c>
      <c r="O29" s="41"/>
      <c r="P29" s="41"/>
      <c r="Q29" s="57" t="s">
        <v>260</v>
      </c>
      <c r="R29" s="41">
        <v>1</v>
      </c>
      <c r="S29" s="41">
        <v>0</v>
      </c>
      <c r="T29" s="44">
        <f t="shared" si="1"/>
        <v>0</v>
      </c>
      <c r="U29" s="41"/>
      <c r="V29" s="46">
        <v>961660</v>
      </c>
      <c r="W29" s="58" t="s">
        <v>300</v>
      </c>
      <c r="X29" s="41">
        <v>1</v>
      </c>
      <c r="Y29" s="41">
        <v>1</v>
      </c>
      <c r="Z29" s="63">
        <f t="shared" si="5"/>
        <v>100</v>
      </c>
      <c r="AA29" s="65">
        <v>9600000</v>
      </c>
      <c r="AB29" s="46">
        <v>3300000</v>
      </c>
      <c r="AC29" s="59">
        <f>AB29/AA29</f>
        <v>0.34375</v>
      </c>
      <c r="AD29" s="96" t="s">
        <v>315</v>
      </c>
      <c r="AE29" s="126">
        <v>0</v>
      </c>
      <c r="AF29" s="41">
        <v>0</v>
      </c>
      <c r="AG29" s="63">
        <v>0</v>
      </c>
      <c r="AH29" s="70">
        <v>0</v>
      </c>
      <c r="AI29" s="70">
        <v>0</v>
      </c>
      <c r="AJ29" s="59">
        <v>0</v>
      </c>
      <c r="AK29" s="133" t="s">
        <v>375</v>
      </c>
      <c r="AL29" s="41">
        <v>1</v>
      </c>
      <c r="AM29" s="41">
        <f>(M29+S29+Y29+AF29)/4</f>
        <v>0.25</v>
      </c>
      <c r="AN29" s="68">
        <f t="shared" si="7"/>
        <v>25</v>
      </c>
      <c r="AO29" s="96" t="s">
        <v>336</v>
      </c>
    </row>
    <row r="30" spans="1:41" s="42" customFormat="1" ht="409.6" customHeight="1" x14ac:dyDescent="0.4">
      <c r="A30" s="144"/>
      <c r="B30" s="145"/>
      <c r="C30" s="145"/>
      <c r="D30" s="144"/>
      <c r="E30" s="145"/>
      <c r="F30" s="151"/>
      <c r="G30" s="39" t="s">
        <v>190</v>
      </c>
      <c r="H30" s="34" t="s">
        <v>62</v>
      </c>
      <c r="I30" s="77" t="s">
        <v>136</v>
      </c>
      <c r="J30" s="54" t="s">
        <v>82</v>
      </c>
      <c r="K30" s="54" t="s">
        <v>111</v>
      </c>
      <c r="L30" s="41">
        <v>12</v>
      </c>
      <c r="M30" s="41">
        <v>0</v>
      </c>
      <c r="N30" s="47">
        <f t="shared" si="0"/>
        <v>0</v>
      </c>
      <c r="O30" s="41"/>
      <c r="P30" s="41"/>
      <c r="Q30" s="57" t="s">
        <v>260</v>
      </c>
      <c r="R30" s="41">
        <v>12</v>
      </c>
      <c r="S30" s="41">
        <v>0</v>
      </c>
      <c r="T30" s="44">
        <f t="shared" si="1"/>
        <v>0</v>
      </c>
      <c r="U30" s="41"/>
      <c r="V30" s="46">
        <v>2200000</v>
      </c>
      <c r="W30" s="58" t="s">
        <v>288</v>
      </c>
      <c r="X30" s="41">
        <v>12</v>
      </c>
      <c r="Y30" s="41">
        <v>6</v>
      </c>
      <c r="Z30" s="63">
        <f t="shared" si="5"/>
        <v>50</v>
      </c>
      <c r="AA30" s="65">
        <v>0</v>
      </c>
      <c r="AB30" s="46">
        <v>0</v>
      </c>
      <c r="AC30" s="59">
        <v>0</v>
      </c>
      <c r="AD30" s="96" t="s">
        <v>370</v>
      </c>
      <c r="AE30" s="126">
        <v>0</v>
      </c>
      <c r="AF30" s="41">
        <v>0</v>
      </c>
      <c r="AG30" s="63" t="e">
        <f t="shared" si="3"/>
        <v>#DIV/0!</v>
      </c>
      <c r="AH30" s="70">
        <v>36280000</v>
      </c>
      <c r="AI30" s="70">
        <v>9100000</v>
      </c>
      <c r="AJ30" s="59">
        <v>0</v>
      </c>
      <c r="AK30" s="133" t="s">
        <v>392</v>
      </c>
      <c r="AL30" s="52">
        <v>12</v>
      </c>
      <c r="AM30" s="52">
        <f>(M30+S30+Y30+AF30)/4</f>
        <v>1.5</v>
      </c>
      <c r="AN30" s="68">
        <f t="shared" si="7"/>
        <v>12.5</v>
      </c>
      <c r="AO30" s="95" t="s">
        <v>354</v>
      </c>
    </row>
    <row r="31" spans="1:41" s="42" customFormat="1" ht="409.6" customHeight="1" x14ac:dyDescent="0.4">
      <c r="A31" s="144"/>
      <c r="B31" s="145"/>
      <c r="C31" s="145"/>
      <c r="D31" s="144"/>
      <c r="E31" s="145"/>
      <c r="F31" s="152"/>
      <c r="G31" s="39" t="s">
        <v>191</v>
      </c>
      <c r="H31" s="34" t="s">
        <v>211</v>
      </c>
      <c r="I31" s="77" t="s">
        <v>230</v>
      </c>
      <c r="J31" s="54" t="s">
        <v>113</v>
      </c>
      <c r="K31" s="54" t="s">
        <v>111</v>
      </c>
      <c r="L31" s="52">
        <v>1</v>
      </c>
      <c r="M31" s="41">
        <v>0</v>
      </c>
      <c r="N31" s="47">
        <f t="shared" si="0"/>
        <v>0</v>
      </c>
      <c r="O31" s="41"/>
      <c r="P31" s="41"/>
      <c r="Q31" s="57" t="s">
        <v>260</v>
      </c>
      <c r="R31" s="41">
        <v>1</v>
      </c>
      <c r="S31" s="41"/>
      <c r="T31" s="44">
        <f t="shared" si="1"/>
        <v>0</v>
      </c>
      <c r="U31" s="41"/>
      <c r="V31" s="46">
        <v>69240000</v>
      </c>
      <c r="W31" s="58" t="s">
        <v>289</v>
      </c>
      <c r="X31" s="41">
        <v>1</v>
      </c>
      <c r="Y31" s="41">
        <v>1</v>
      </c>
      <c r="Z31" s="63">
        <f t="shared" si="5"/>
        <v>100</v>
      </c>
      <c r="AA31" s="65">
        <v>0</v>
      </c>
      <c r="AB31" s="46">
        <v>37583333</v>
      </c>
      <c r="AC31" s="59" t="e">
        <f t="shared" si="6"/>
        <v>#DIV/0!</v>
      </c>
      <c r="AD31" s="96" t="s">
        <v>371</v>
      </c>
      <c r="AE31" s="41">
        <v>1</v>
      </c>
      <c r="AF31" s="41">
        <v>1</v>
      </c>
      <c r="AG31" s="63">
        <f t="shared" si="3"/>
        <v>100</v>
      </c>
      <c r="AH31" s="70">
        <v>115000000</v>
      </c>
      <c r="AI31" s="136">
        <v>2200000</v>
      </c>
      <c r="AJ31" s="125">
        <v>1.9099999999999999E-2</v>
      </c>
      <c r="AK31" s="96" t="s">
        <v>402</v>
      </c>
      <c r="AL31" s="41">
        <v>1</v>
      </c>
      <c r="AM31" s="41">
        <v>1</v>
      </c>
      <c r="AN31" s="68">
        <f t="shared" si="7"/>
        <v>100</v>
      </c>
      <c r="AO31" s="133" t="s">
        <v>405</v>
      </c>
    </row>
    <row r="32" spans="1:41" s="42" customFormat="1" ht="299.25" customHeight="1" x14ac:dyDescent="0.4">
      <c r="A32" s="144"/>
      <c r="B32" s="145"/>
      <c r="C32" s="145"/>
      <c r="D32" s="144"/>
      <c r="E32" s="39" t="s">
        <v>168</v>
      </c>
      <c r="F32" s="34" t="s">
        <v>35</v>
      </c>
      <c r="G32" s="39" t="s">
        <v>192</v>
      </c>
      <c r="H32" s="36" t="s">
        <v>212</v>
      </c>
      <c r="I32" s="76" t="s">
        <v>63</v>
      </c>
      <c r="J32" s="54" t="s">
        <v>114</v>
      </c>
      <c r="K32" s="54" t="s">
        <v>83</v>
      </c>
      <c r="L32" s="41">
        <v>1</v>
      </c>
      <c r="M32" s="41">
        <v>0</v>
      </c>
      <c r="N32" s="47">
        <f t="shared" si="0"/>
        <v>0</v>
      </c>
      <c r="O32" s="41"/>
      <c r="P32" s="41"/>
      <c r="Q32" s="57" t="s">
        <v>260</v>
      </c>
      <c r="R32" s="41">
        <v>1</v>
      </c>
      <c r="S32" s="41">
        <v>1</v>
      </c>
      <c r="T32" s="44">
        <f t="shared" si="1"/>
        <v>100</v>
      </c>
      <c r="U32" s="41"/>
      <c r="V32" s="46">
        <v>641110</v>
      </c>
      <c r="W32" s="58" t="s">
        <v>271</v>
      </c>
      <c r="X32" s="41">
        <v>1</v>
      </c>
      <c r="Y32" s="41">
        <v>1</v>
      </c>
      <c r="Z32" s="63">
        <f t="shared" si="5"/>
        <v>100</v>
      </c>
      <c r="AA32" s="65">
        <v>721250</v>
      </c>
      <c r="AB32" s="65">
        <v>721250</v>
      </c>
      <c r="AC32" s="59">
        <f t="shared" si="6"/>
        <v>1</v>
      </c>
      <c r="AD32" s="96" t="s">
        <v>307</v>
      </c>
      <c r="AE32" s="41">
        <v>1</v>
      </c>
      <c r="AF32" s="41">
        <v>1</v>
      </c>
      <c r="AG32" s="63">
        <f t="shared" si="3"/>
        <v>100</v>
      </c>
      <c r="AH32" s="70">
        <v>0</v>
      </c>
      <c r="AI32" s="70">
        <v>0</v>
      </c>
      <c r="AJ32" s="59">
        <v>0</v>
      </c>
      <c r="AK32" s="95" t="s">
        <v>348</v>
      </c>
      <c r="AL32" s="41">
        <v>1</v>
      </c>
      <c r="AM32" s="41">
        <v>1</v>
      </c>
      <c r="AN32" s="68">
        <f t="shared" si="7"/>
        <v>100</v>
      </c>
      <c r="AO32" s="95" t="s">
        <v>355</v>
      </c>
    </row>
    <row r="33" spans="1:41" s="42" customFormat="1" ht="225.75" customHeight="1" x14ac:dyDescent="0.4">
      <c r="A33" s="144"/>
      <c r="B33" s="145"/>
      <c r="C33" s="145" t="s">
        <v>152</v>
      </c>
      <c r="D33" s="145" t="s">
        <v>36</v>
      </c>
      <c r="E33" s="145" t="s">
        <v>169</v>
      </c>
      <c r="F33" s="155" t="s">
        <v>37</v>
      </c>
      <c r="G33" s="39" t="s">
        <v>193</v>
      </c>
      <c r="H33" s="34" t="s">
        <v>64</v>
      </c>
      <c r="I33" s="77" t="s">
        <v>231</v>
      </c>
      <c r="J33" s="54" t="s">
        <v>115</v>
      </c>
      <c r="K33" s="54" t="s">
        <v>116</v>
      </c>
      <c r="L33" s="41">
        <v>1</v>
      </c>
      <c r="M33" s="41">
        <v>0</v>
      </c>
      <c r="N33" s="47">
        <f t="shared" si="0"/>
        <v>0</v>
      </c>
      <c r="O33" s="41"/>
      <c r="P33" s="41"/>
      <c r="Q33" s="57" t="s">
        <v>260</v>
      </c>
      <c r="R33" s="41">
        <v>1</v>
      </c>
      <c r="S33" s="41">
        <v>0</v>
      </c>
      <c r="T33" s="44">
        <f t="shared" si="1"/>
        <v>0</v>
      </c>
      <c r="U33" s="41"/>
      <c r="V33" s="46">
        <v>0</v>
      </c>
      <c r="W33" s="58" t="s">
        <v>260</v>
      </c>
      <c r="X33" s="41">
        <v>1</v>
      </c>
      <c r="Y33" s="41">
        <v>1</v>
      </c>
      <c r="Z33" s="63">
        <f t="shared" si="5"/>
        <v>100</v>
      </c>
      <c r="AA33" s="65">
        <v>1197082</v>
      </c>
      <c r="AB33" s="46">
        <v>598541</v>
      </c>
      <c r="AC33" s="59">
        <f t="shared" si="6"/>
        <v>0.5</v>
      </c>
      <c r="AD33" s="96" t="s">
        <v>312</v>
      </c>
      <c r="AE33" s="41">
        <v>1</v>
      </c>
      <c r="AF33" s="41">
        <v>0</v>
      </c>
      <c r="AG33" s="63">
        <f t="shared" si="3"/>
        <v>0</v>
      </c>
      <c r="AH33" s="70">
        <v>0</v>
      </c>
      <c r="AI33" s="70">
        <v>0</v>
      </c>
      <c r="AJ33" s="59">
        <v>0</v>
      </c>
      <c r="AK33" s="96" t="s">
        <v>304</v>
      </c>
      <c r="AL33" s="52">
        <v>1</v>
      </c>
      <c r="AM33" s="41">
        <f>(M33+S33+Y33+AF33)/4</f>
        <v>0.25</v>
      </c>
      <c r="AN33" s="68">
        <f t="shared" si="7"/>
        <v>25</v>
      </c>
      <c r="AO33" s="95" t="s">
        <v>337</v>
      </c>
    </row>
    <row r="34" spans="1:41" s="42" customFormat="1" ht="210.75" customHeight="1" x14ac:dyDescent="0.4">
      <c r="A34" s="144"/>
      <c r="B34" s="145"/>
      <c r="C34" s="145"/>
      <c r="D34" s="145"/>
      <c r="E34" s="145"/>
      <c r="F34" s="155"/>
      <c r="G34" s="39" t="s">
        <v>194</v>
      </c>
      <c r="H34" s="34" t="s">
        <v>213</v>
      </c>
      <c r="I34" s="77" t="s">
        <v>66</v>
      </c>
      <c r="J34" s="54" t="s">
        <v>117</v>
      </c>
      <c r="K34" s="54" t="s">
        <v>116</v>
      </c>
      <c r="L34" s="41">
        <v>1</v>
      </c>
      <c r="M34" s="41">
        <v>0</v>
      </c>
      <c r="N34" s="47">
        <f t="shared" si="0"/>
        <v>0</v>
      </c>
      <c r="O34" s="41"/>
      <c r="P34" s="41"/>
      <c r="Q34" s="57" t="s">
        <v>264</v>
      </c>
      <c r="R34" s="41">
        <v>54</v>
      </c>
      <c r="S34" s="41">
        <v>54</v>
      </c>
      <c r="T34" s="44">
        <f t="shared" si="1"/>
        <v>100</v>
      </c>
      <c r="U34" s="41"/>
      <c r="V34" s="46">
        <v>19810334</v>
      </c>
      <c r="W34" s="58" t="s">
        <v>272</v>
      </c>
      <c r="X34" s="64">
        <v>1</v>
      </c>
      <c r="Y34" s="64">
        <v>1</v>
      </c>
      <c r="Z34" s="63">
        <f>(Y34/X34)*100</f>
        <v>100</v>
      </c>
      <c r="AA34" s="65">
        <v>0</v>
      </c>
      <c r="AB34" s="46">
        <v>0</v>
      </c>
      <c r="AC34" s="59">
        <v>0</v>
      </c>
      <c r="AD34" s="96" t="s">
        <v>266</v>
      </c>
      <c r="AE34" s="64">
        <v>1</v>
      </c>
      <c r="AF34" s="64">
        <v>1</v>
      </c>
      <c r="AG34" s="63">
        <f t="shared" si="3"/>
        <v>100</v>
      </c>
      <c r="AH34" s="72">
        <f>1600000</f>
        <v>1600000</v>
      </c>
      <c r="AI34" s="72">
        <f>800000</f>
        <v>800000</v>
      </c>
      <c r="AJ34" s="59">
        <f t="shared" si="2"/>
        <v>0.5</v>
      </c>
      <c r="AK34" s="96" t="s">
        <v>362</v>
      </c>
      <c r="AL34" s="64">
        <v>1</v>
      </c>
      <c r="AM34" s="64">
        <v>1</v>
      </c>
      <c r="AN34" s="68">
        <f t="shared" si="7"/>
        <v>100</v>
      </c>
      <c r="AO34" s="98" t="s">
        <v>338</v>
      </c>
    </row>
    <row r="35" spans="1:41" s="93" customFormat="1" ht="409.5" customHeight="1" x14ac:dyDescent="0.4">
      <c r="A35" s="144"/>
      <c r="B35" s="145"/>
      <c r="C35" s="145"/>
      <c r="D35" s="145"/>
      <c r="E35" s="145"/>
      <c r="F35" s="155"/>
      <c r="G35" s="81" t="s">
        <v>195</v>
      </c>
      <c r="H35" s="82" t="s">
        <v>50</v>
      </c>
      <c r="I35" s="83" t="s">
        <v>67</v>
      </c>
      <c r="J35" s="84" t="s">
        <v>82</v>
      </c>
      <c r="K35" s="84" t="s">
        <v>116</v>
      </c>
      <c r="L35" s="52">
        <v>12</v>
      </c>
      <c r="M35" s="52">
        <v>0</v>
      </c>
      <c r="N35" s="85">
        <f t="shared" si="0"/>
        <v>0</v>
      </c>
      <c r="O35" s="52"/>
      <c r="P35" s="52"/>
      <c r="Q35" s="86" t="s">
        <v>260</v>
      </c>
      <c r="R35" s="52">
        <v>12</v>
      </c>
      <c r="S35" s="52">
        <v>0</v>
      </c>
      <c r="T35" s="52">
        <f t="shared" si="1"/>
        <v>0</v>
      </c>
      <c r="U35" s="52"/>
      <c r="V35" s="88">
        <v>0</v>
      </c>
      <c r="W35" s="89" t="s">
        <v>301</v>
      </c>
      <c r="X35" s="52">
        <v>12</v>
      </c>
      <c r="Y35" s="52">
        <v>12</v>
      </c>
      <c r="Z35" s="85">
        <f>(Y35/X35)*100</f>
        <v>100</v>
      </c>
      <c r="AA35" s="91">
        <f>1310332+1100000+865500+463750+25770000</f>
        <v>29509582</v>
      </c>
      <c r="AB35" s="88">
        <f>655166+1100000+865500+463750+25676000</f>
        <v>28760416</v>
      </c>
      <c r="AC35" s="85">
        <f t="shared" si="6"/>
        <v>0.97461278848341537</v>
      </c>
      <c r="AD35" s="96" t="s">
        <v>372</v>
      </c>
      <c r="AE35" s="52">
        <v>1</v>
      </c>
      <c r="AF35" s="52">
        <v>0</v>
      </c>
      <c r="AG35" s="90">
        <f t="shared" si="3"/>
        <v>0</v>
      </c>
      <c r="AH35" s="92">
        <v>0</v>
      </c>
      <c r="AI35" s="92">
        <v>0</v>
      </c>
      <c r="AJ35" s="59">
        <v>0</v>
      </c>
      <c r="AK35" s="96" t="s">
        <v>304</v>
      </c>
      <c r="AL35" s="52">
        <v>12</v>
      </c>
      <c r="AM35" s="52">
        <f>(M35+S35+Y35+AF35)/4</f>
        <v>3</v>
      </c>
      <c r="AN35" s="85">
        <f t="shared" si="7"/>
        <v>25</v>
      </c>
      <c r="AO35" s="96" t="s">
        <v>341</v>
      </c>
    </row>
    <row r="36" spans="1:41" s="93" customFormat="1" ht="207" customHeight="1" x14ac:dyDescent="0.4">
      <c r="A36" s="144"/>
      <c r="B36" s="145"/>
      <c r="C36" s="145"/>
      <c r="D36" s="145"/>
      <c r="E36" s="145"/>
      <c r="F36" s="155"/>
      <c r="G36" s="81" t="s">
        <v>196</v>
      </c>
      <c r="H36" s="82" t="s">
        <v>65</v>
      </c>
      <c r="I36" s="83" t="s">
        <v>137</v>
      </c>
      <c r="J36" s="84" t="s">
        <v>118</v>
      </c>
      <c r="K36" s="84" t="s">
        <v>119</v>
      </c>
      <c r="L36" s="52">
        <v>0</v>
      </c>
      <c r="M36" s="52">
        <v>0</v>
      </c>
      <c r="N36" s="85">
        <v>0</v>
      </c>
      <c r="O36" s="52"/>
      <c r="P36" s="52"/>
      <c r="Q36" s="86" t="s">
        <v>260</v>
      </c>
      <c r="R36" s="52">
        <v>1</v>
      </c>
      <c r="S36" s="52">
        <v>0</v>
      </c>
      <c r="T36" s="52">
        <f t="shared" si="1"/>
        <v>0</v>
      </c>
      <c r="U36" s="52"/>
      <c r="V36" s="88">
        <v>0</v>
      </c>
      <c r="W36" s="89" t="s">
        <v>290</v>
      </c>
      <c r="X36" s="52">
        <v>1</v>
      </c>
      <c r="Y36" s="52">
        <v>0</v>
      </c>
      <c r="Z36" s="85">
        <f>(Y36/X36)*100</f>
        <v>0</v>
      </c>
      <c r="AA36" s="91">
        <v>0</v>
      </c>
      <c r="AB36" s="88">
        <v>0</v>
      </c>
      <c r="AC36" s="85">
        <v>0</v>
      </c>
      <c r="AD36" s="96" t="s">
        <v>304</v>
      </c>
      <c r="AE36" s="52">
        <v>1</v>
      </c>
      <c r="AF36" s="52">
        <v>1</v>
      </c>
      <c r="AG36" s="90">
        <f t="shared" si="3"/>
        <v>100</v>
      </c>
      <c r="AH36" s="92">
        <v>8001089</v>
      </c>
      <c r="AI36" s="92">
        <v>8001089</v>
      </c>
      <c r="AJ36" s="59">
        <f t="shared" si="2"/>
        <v>1</v>
      </c>
      <c r="AK36" s="96" t="s">
        <v>382</v>
      </c>
      <c r="AL36" s="52">
        <v>1</v>
      </c>
      <c r="AM36" s="52">
        <v>1</v>
      </c>
      <c r="AN36" s="85">
        <f t="shared" si="7"/>
        <v>100</v>
      </c>
      <c r="AO36" s="96" t="s">
        <v>376</v>
      </c>
    </row>
    <row r="37" spans="1:41" s="42" customFormat="1" ht="140.25" customHeight="1" x14ac:dyDescent="0.4">
      <c r="A37" s="144"/>
      <c r="B37" s="145"/>
      <c r="C37" s="145"/>
      <c r="D37" s="145"/>
      <c r="E37" s="145"/>
      <c r="F37" s="155"/>
      <c r="G37" s="39" t="s">
        <v>197</v>
      </c>
      <c r="H37" s="36" t="s">
        <v>214</v>
      </c>
      <c r="I37" s="78" t="s">
        <v>68</v>
      </c>
      <c r="J37" s="54" t="s">
        <v>98</v>
      </c>
      <c r="K37" s="54" t="s">
        <v>120</v>
      </c>
      <c r="L37" s="41">
        <v>1</v>
      </c>
      <c r="M37" s="41">
        <v>1</v>
      </c>
      <c r="N37" s="47">
        <f t="shared" si="0"/>
        <v>100</v>
      </c>
      <c r="O37" s="41"/>
      <c r="P37" s="41"/>
      <c r="Q37" s="57" t="s">
        <v>285</v>
      </c>
      <c r="R37" s="41">
        <v>1</v>
      </c>
      <c r="S37" s="41">
        <v>0</v>
      </c>
      <c r="T37" s="44">
        <f t="shared" si="1"/>
        <v>0</v>
      </c>
      <c r="U37" s="41"/>
      <c r="V37" s="46">
        <v>0</v>
      </c>
      <c r="W37" s="58" t="s">
        <v>260</v>
      </c>
      <c r="X37" s="41">
        <v>0</v>
      </c>
      <c r="Y37" s="41">
        <v>0</v>
      </c>
      <c r="Z37" s="63" t="s">
        <v>299</v>
      </c>
      <c r="AA37" s="65">
        <v>0</v>
      </c>
      <c r="AB37" s="46">
        <v>0</v>
      </c>
      <c r="AC37" s="59">
        <v>0</v>
      </c>
      <c r="AD37" s="96" t="s">
        <v>306</v>
      </c>
      <c r="AE37" s="126">
        <v>0</v>
      </c>
      <c r="AF37" s="41">
        <v>0</v>
      </c>
      <c r="AG37" s="63">
        <v>0</v>
      </c>
      <c r="AH37" s="70">
        <v>0</v>
      </c>
      <c r="AI37" s="70">
        <v>0</v>
      </c>
      <c r="AJ37" s="59">
        <v>0</v>
      </c>
      <c r="AK37" s="119" t="s">
        <v>321</v>
      </c>
      <c r="AL37" s="66">
        <v>1</v>
      </c>
      <c r="AM37" s="66">
        <v>1</v>
      </c>
      <c r="AN37" s="68">
        <f t="shared" si="7"/>
        <v>100</v>
      </c>
      <c r="AO37" s="98" t="s">
        <v>377</v>
      </c>
    </row>
    <row r="38" spans="1:41" s="42" customFormat="1" ht="293.25" customHeight="1" x14ac:dyDescent="0.4">
      <c r="A38" s="144" t="s">
        <v>38</v>
      </c>
      <c r="B38" s="145" t="s">
        <v>39</v>
      </c>
      <c r="C38" s="145" t="s">
        <v>153</v>
      </c>
      <c r="D38" s="145" t="s">
        <v>40</v>
      </c>
      <c r="E38" s="145" t="s">
        <v>170</v>
      </c>
      <c r="F38" s="155" t="s">
        <v>138</v>
      </c>
      <c r="G38" s="144" t="s">
        <v>198</v>
      </c>
      <c r="H38" s="150" t="s">
        <v>215</v>
      </c>
      <c r="I38" s="78" t="s">
        <v>69</v>
      </c>
      <c r="J38" s="54" t="s">
        <v>121</v>
      </c>
      <c r="K38" s="54" t="s">
        <v>122</v>
      </c>
      <c r="L38" s="41">
        <v>1</v>
      </c>
      <c r="M38" s="41">
        <v>0</v>
      </c>
      <c r="N38" s="47">
        <f t="shared" si="0"/>
        <v>0</v>
      </c>
      <c r="O38" s="41"/>
      <c r="P38" s="41"/>
      <c r="Q38" s="57" t="s">
        <v>260</v>
      </c>
      <c r="R38" s="41">
        <v>1</v>
      </c>
      <c r="S38" s="41">
        <v>0</v>
      </c>
      <c r="T38" s="44">
        <f t="shared" si="1"/>
        <v>0</v>
      </c>
      <c r="U38" s="41"/>
      <c r="V38" s="46">
        <v>2308000</v>
      </c>
      <c r="W38" s="58" t="s">
        <v>260</v>
      </c>
      <c r="X38" s="41">
        <v>1</v>
      </c>
      <c r="Y38" s="41">
        <v>0</v>
      </c>
      <c r="Z38" s="47">
        <f>(Y38/X38)*100</f>
        <v>0</v>
      </c>
      <c r="AA38" s="65">
        <v>0</v>
      </c>
      <c r="AB38" s="46">
        <v>0</v>
      </c>
      <c r="AC38" s="59">
        <v>0</v>
      </c>
      <c r="AD38" s="96" t="s">
        <v>304</v>
      </c>
      <c r="AE38" s="126">
        <v>0</v>
      </c>
      <c r="AF38" s="41">
        <v>0</v>
      </c>
      <c r="AG38" s="63">
        <v>0</v>
      </c>
      <c r="AH38" s="70">
        <v>0</v>
      </c>
      <c r="AI38" s="70">
        <v>0</v>
      </c>
      <c r="AJ38" s="59">
        <v>0</v>
      </c>
      <c r="AK38" s="137" t="s">
        <v>321</v>
      </c>
      <c r="AL38" s="66">
        <v>1</v>
      </c>
      <c r="AM38" s="66">
        <v>0</v>
      </c>
      <c r="AN38" s="68">
        <f t="shared" si="7"/>
        <v>0</v>
      </c>
      <c r="AO38" s="95" t="s">
        <v>339</v>
      </c>
    </row>
    <row r="39" spans="1:41" s="42" customFormat="1" ht="250.5" customHeight="1" x14ac:dyDescent="0.4">
      <c r="A39" s="144"/>
      <c r="B39" s="145"/>
      <c r="C39" s="145"/>
      <c r="D39" s="145"/>
      <c r="E39" s="145"/>
      <c r="F39" s="155"/>
      <c r="G39" s="144"/>
      <c r="H39" s="151"/>
      <c r="I39" s="77" t="s">
        <v>232</v>
      </c>
      <c r="J39" s="54" t="s">
        <v>82</v>
      </c>
      <c r="K39" s="54" t="s">
        <v>123</v>
      </c>
      <c r="L39" s="41">
        <v>12</v>
      </c>
      <c r="M39" s="41">
        <v>12</v>
      </c>
      <c r="N39" s="47">
        <f t="shared" si="0"/>
        <v>100</v>
      </c>
      <c r="O39" s="41"/>
      <c r="P39" s="41"/>
      <c r="Q39" s="57" t="s">
        <v>291</v>
      </c>
      <c r="R39" s="41">
        <v>12</v>
      </c>
      <c r="S39" s="41">
        <v>0</v>
      </c>
      <c r="T39" s="44">
        <f t="shared" si="1"/>
        <v>0</v>
      </c>
      <c r="U39" s="41"/>
      <c r="V39" s="46">
        <v>4000000</v>
      </c>
      <c r="W39" s="57" t="s">
        <v>291</v>
      </c>
      <c r="X39" s="41">
        <v>1</v>
      </c>
      <c r="Y39" s="41">
        <v>1</v>
      </c>
      <c r="Z39" s="63">
        <f t="shared" si="5"/>
        <v>100</v>
      </c>
      <c r="AA39" s="65">
        <v>2000000</v>
      </c>
      <c r="AB39" s="46">
        <v>1000000</v>
      </c>
      <c r="AC39" s="59">
        <f t="shared" si="6"/>
        <v>0.5</v>
      </c>
      <c r="AD39" s="96" t="s">
        <v>302</v>
      </c>
      <c r="AE39" s="31">
        <v>12</v>
      </c>
      <c r="AF39" s="31">
        <v>0</v>
      </c>
      <c r="AG39" s="63">
        <f>(AF39/AE39)*100</f>
        <v>0</v>
      </c>
      <c r="AH39" s="71">
        <v>0</v>
      </c>
      <c r="AI39" s="71">
        <v>0</v>
      </c>
      <c r="AJ39" s="59">
        <v>0</v>
      </c>
      <c r="AK39" s="97" t="s">
        <v>304</v>
      </c>
      <c r="AL39" s="66">
        <v>12</v>
      </c>
      <c r="AM39" s="66">
        <v>12</v>
      </c>
      <c r="AN39" s="68">
        <f t="shared" si="7"/>
        <v>100</v>
      </c>
      <c r="AO39" s="138" t="s">
        <v>406</v>
      </c>
    </row>
    <row r="40" spans="1:41" s="42" customFormat="1" ht="244.5" customHeight="1" x14ac:dyDescent="0.4">
      <c r="A40" s="144"/>
      <c r="B40" s="145"/>
      <c r="C40" s="145"/>
      <c r="D40" s="145"/>
      <c r="E40" s="145"/>
      <c r="F40" s="155"/>
      <c r="G40" s="149"/>
      <c r="H40" s="152"/>
      <c r="I40" s="77" t="s">
        <v>233</v>
      </c>
      <c r="J40" s="54" t="s">
        <v>82</v>
      </c>
      <c r="K40" s="54" t="s">
        <v>123</v>
      </c>
      <c r="L40" s="41">
        <v>12</v>
      </c>
      <c r="M40" s="41">
        <v>0</v>
      </c>
      <c r="N40" s="47">
        <f t="shared" si="0"/>
        <v>0</v>
      </c>
      <c r="O40" s="41"/>
      <c r="P40" s="41"/>
      <c r="Q40" s="57" t="s">
        <v>260</v>
      </c>
      <c r="R40" s="41">
        <v>12</v>
      </c>
      <c r="S40" s="41">
        <v>0</v>
      </c>
      <c r="T40" s="44">
        <f t="shared" si="1"/>
        <v>0</v>
      </c>
      <c r="U40" s="41"/>
      <c r="V40" s="46">
        <v>0</v>
      </c>
      <c r="W40" s="58" t="s">
        <v>260</v>
      </c>
      <c r="X40" s="41">
        <v>0</v>
      </c>
      <c r="Y40" s="41">
        <v>0</v>
      </c>
      <c r="Z40" s="63" t="s">
        <v>299</v>
      </c>
      <c r="AA40" s="65">
        <v>0</v>
      </c>
      <c r="AB40" s="46">
        <v>0</v>
      </c>
      <c r="AC40" s="59">
        <v>0</v>
      </c>
      <c r="AD40" s="96" t="s">
        <v>306</v>
      </c>
      <c r="AE40" s="41">
        <v>1</v>
      </c>
      <c r="AF40" s="41">
        <v>0</v>
      </c>
      <c r="AG40" s="63">
        <f t="shared" si="3"/>
        <v>0</v>
      </c>
      <c r="AH40" s="70">
        <v>0</v>
      </c>
      <c r="AI40" s="70">
        <v>0</v>
      </c>
      <c r="AJ40" s="59">
        <v>0</v>
      </c>
      <c r="AK40" s="95" t="s">
        <v>304</v>
      </c>
      <c r="AL40" s="41">
        <v>12</v>
      </c>
      <c r="AM40" s="41">
        <v>0</v>
      </c>
      <c r="AN40" s="68">
        <f t="shared" si="7"/>
        <v>0</v>
      </c>
      <c r="AO40" s="95" t="s">
        <v>326</v>
      </c>
    </row>
    <row r="41" spans="1:41" s="42" customFormat="1" ht="244.5" customHeight="1" x14ac:dyDescent="0.4">
      <c r="A41" s="144"/>
      <c r="B41" s="145"/>
      <c r="C41" s="145"/>
      <c r="D41" s="145"/>
      <c r="E41" s="145"/>
      <c r="F41" s="155"/>
      <c r="G41" s="39" t="s">
        <v>199</v>
      </c>
      <c r="H41" s="34" t="s">
        <v>70</v>
      </c>
      <c r="I41" s="77" t="s">
        <v>71</v>
      </c>
      <c r="J41" s="54" t="s">
        <v>124</v>
      </c>
      <c r="K41" s="54" t="s">
        <v>125</v>
      </c>
      <c r="L41" s="41">
        <v>0</v>
      </c>
      <c r="M41" s="41">
        <v>0</v>
      </c>
      <c r="N41" s="47" t="e">
        <f t="shared" si="0"/>
        <v>#DIV/0!</v>
      </c>
      <c r="O41" s="41"/>
      <c r="P41" s="41"/>
      <c r="Q41" s="57" t="s">
        <v>260</v>
      </c>
      <c r="R41" s="41">
        <v>0</v>
      </c>
      <c r="S41" s="41">
        <v>0</v>
      </c>
      <c r="T41" s="44" t="e">
        <f t="shared" si="1"/>
        <v>#DIV/0!</v>
      </c>
      <c r="U41" s="41"/>
      <c r="V41" s="46">
        <v>0</v>
      </c>
      <c r="W41" s="58" t="s">
        <v>260</v>
      </c>
      <c r="X41" s="41">
        <v>1</v>
      </c>
      <c r="Y41" s="41">
        <v>0</v>
      </c>
      <c r="Z41" s="63">
        <f t="shared" si="5"/>
        <v>0</v>
      </c>
      <c r="AA41" s="65">
        <v>0</v>
      </c>
      <c r="AB41" s="46">
        <v>0</v>
      </c>
      <c r="AC41" s="59">
        <v>0</v>
      </c>
      <c r="AD41" s="96" t="s">
        <v>305</v>
      </c>
      <c r="AE41" s="41">
        <v>1</v>
      </c>
      <c r="AF41" s="41">
        <v>0</v>
      </c>
      <c r="AG41" s="63">
        <f>(AF41/AE41)*100</f>
        <v>0</v>
      </c>
      <c r="AH41" s="70">
        <v>0</v>
      </c>
      <c r="AI41" s="70">
        <v>0</v>
      </c>
      <c r="AJ41" s="59">
        <v>0</v>
      </c>
      <c r="AK41" s="95" t="s">
        <v>304</v>
      </c>
      <c r="AL41" s="41">
        <v>8</v>
      </c>
      <c r="AM41" s="41">
        <v>0</v>
      </c>
      <c r="AN41" s="68">
        <f t="shared" si="7"/>
        <v>0</v>
      </c>
      <c r="AO41" s="95" t="s">
        <v>326</v>
      </c>
    </row>
    <row r="42" spans="1:41" s="42" customFormat="1" ht="295.5" customHeight="1" x14ac:dyDescent="0.4">
      <c r="A42" s="144"/>
      <c r="B42" s="145"/>
      <c r="C42" s="39" t="s">
        <v>154</v>
      </c>
      <c r="D42" s="39" t="s">
        <v>139</v>
      </c>
      <c r="E42" s="39" t="s">
        <v>200</v>
      </c>
      <c r="F42" s="34" t="s">
        <v>48</v>
      </c>
      <c r="G42" s="39" t="s">
        <v>201</v>
      </c>
      <c r="H42" s="34" t="s">
        <v>216</v>
      </c>
      <c r="I42" s="77" t="s">
        <v>72</v>
      </c>
      <c r="J42" s="54" t="s">
        <v>126</v>
      </c>
      <c r="K42" s="54" t="s">
        <v>127</v>
      </c>
      <c r="L42" s="41">
        <v>0</v>
      </c>
      <c r="M42" s="41">
        <v>0</v>
      </c>
      <c r="N42" s="47" t="e">
        <f t="shared" si="0"/>
        <v>#DIV/0!</v>
      </c>
      <c r="O42" s="41"/>
      <c r="P42" s="41"/>
      <c r="Q42" s="57" t="s">
        <v>260</v>
      </c>
      <c r="R42" s="41">
        <v>1</v>
      </c>
      <c r="S42" s="41">
        <v>0</v>
      </c>
      <c r="T42" s="44">
        <f t="shared" si="1"/>
        <v>0</v>
      </c>
      <c r="U42" s="41"/>
      <c r="V42" s="46">
        <v>0</v>
      </c>
      <c r="W42" s="58" t="s">
        <v>260</v>
      </c>
      <c r="X42" s="41">
        <v>0</v>
      </c>
      <c r="Y42" s="41">
        <v>0</v>
      </c>
      <c r="Z42" s="63" t="s">
        <v>299</v>
      </c>
      <c r="AA42" s="65">
        <v>0</v>
      </c>
      <c r="AB42" s="46">
        <v>0</v>
      </c>
      <c r="AC42" s="59">
        <v>0</v>
      </c>
      <c r="AD42" s="96" t="s">
        <v>306</v>
      </c>
      <c r="AE42" s="41">
        <v>1</v>
      </c>
      <c r="AF42" s="126">
        <v>4</v>
      </c>
      <c r="AG42" s="123">
        <v>1</v>
      </c>
      <c r="AH42" s="70">
        <v>350000000</v>
      </c>
      <c r="AI42" s="70">
        <v>350000000</v>
      </c>
      <c r="AJ42" s="59">
        <v>1</v>
      </c>
      <c r="AK42" s="95" t="s">
        <v>403</v>
      </c>
      <c r="AL42" s="41">
        <v>9</v>
      </c>
      <c r="AM42" s="126">
        <v>4</v>
      </c>
      <c r="AN42" s="68">
        <f t="shared" si="7"/>
        <v>44.444444444444443</v>
      </c>
      <c r="AO42" s="95" t="s">
        <v>403</v>
      </c>
    </row>
    <row r="61" spans="2:5" ht="102.75" customHeight="1" x14ac:dyDescent="0.25">
      <c r="B61" s="26"/>
      <c r="C61" s="26"/>
      <c r="D61" s="27"/>
      <c r="E61" s="28"/>
    </row>
    <row r="62" spans="2:5" ht="102.75" customHeight="1" x14ac:dyDescent="0.25">
      <c r="B62" s="26"/>
      <c r="C62" s="26"/>
      <c r="D62" s="27"/>
      <c r="E62" s="28"/>
    </row>
    <row r="63" spans="2:5" ht="102.75" customHeight="1" x14ac:dyDescent="0.25">
      <c r="B63" s="26"/>
      <c r="C63" s="26"/>
      <c r="D63" s="27"/>
      <c r="E63" s="28"/>
    </row>
    <row r="64" spans="2:5" ht="102.75" customHeight="1" x14ac:dyDescent="0.25">
      <c r="B64" s="26"/>
      <c r="C64" s="26"/>
      <c r="D64" s="27"/>
      <c r="E64" s="28"/>
    </row>
    <row r="65" spans="2:5" ht="102.75" customHeight="1" x14ac:dyDescent="0.25">
      <c r="B65" s="26"/>
      <c r="C65" s="26"/>
      <c r="D65" s="27"/>
      <c r="E65" s="28"/>
    </row>
    <row r="66" spans="2:5" ht="102.75" customHeight="1" x14ac:dyDescent="0.25">
      <c r="B66" s="26"/>
      <c r="C66" s="26"/>
      <c r="D66" s="27"/>
      <c r="E66" s="28"/>
    </row>
    <row r="67" spans="2:5" ht="102.75" customHeight="1" x14ac:dyDescent="0.25">
      <c r="B67" s="26"/>
      <c r="C67" s="26"/>
      <c r="D67" s="27"/>
      <c r="E67" s="28"/>
    </row>
    <row r="68" spans="2:5" ht="102.75" customHeight="1" x14ac:dyDescent="0.25">
      <c r="B68" s="26"/>
      <c r="C68" s="26"/>
      <c r="D68" s="27"/>
      <c r="E68" s="28"/>
    </row>
    <row r="69" spans="2:5" ht="102.75" customHeight="1" x14ac:dyDescent="0.25">
      <c r="B69" s="26"/>
      <c r="C69" s="26"/>
      <c r="D69" s="27"/>
      <c r="E69" s="28"/>
    </row>
    <row r="70" spans="2:5" ht="102.75" customHeight="1" x14ac:dyDescent="0.25">
      <c r="B70" s="26"/>
      <c r="C70" s="26"/>
      <c r="D70" s="27"/>
      <c r="E70" s="28"/>
    </row>
    <row r="72" spans="2:5" ht="102.75" customHeight="1" x14ac:dyDescent="0.25">
      <c r="B72" s="26"/>
      <c r="C72" s="26"/>
      <c r="D72" s="27"/>
      <c r="E72" s="28"/>
    </row>
    <row r="73" spans="2:5" ht="102.75" customHeight="1" x14ac:dyDescent="0.25">
      <c r="B73" s="26"/>
      <c r="C73" s="26"/>
      <c r="D73" s="27"/>
      <c r="E73" s="28"/>
    </row>
    <row r="74" spans="2:5" ht="102.75" customHeight="1" x14ac:dyDescent="0.25">
      <c r="B74" s="26"/>
      <c r="C74" s="26"/>
      <c r="D74" s="27"/>
      <c r="E74" s="28"/>
    </row>
    <row r="75" spans="2:5" ht="102.75" customHeight="1" x14ac:dyDescent="0.25">
      <c r="B75" s="26"/>
      <c r="C75" s="26"/>
      <c r="D75" s="27"/>
      <c r="E75" s="28"/>
    </row>
    <row r="76" spans="2:5" ht="102.75" customHeight="1" x14ac:dyDescent="0.25">
      <c r="B76" s="26"/>
      <c r="C76" s="26"/>
      <c r="D76" s="27"/>
      <c r="E76" s="28"/>
    </row>
  </sheetData>
  <mergeCells count="67">
    <mergeCell ref="AL2:AO2"/>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 ref="G26:G27"/>
    <mergeCell ref="A17:A23"/>
    <mergeCell ref="B17:B23"/>
    <mergeCell ref="C17:C21"/>
    <mergeCell ref="C22:C23"/>
    <mergeCell ref="D17:D21"/>
    <mergeCell ref="A24:A37"/>
    <mergeCell ref="G17:G18"/>
    <mergeCell ref="E17:E21"/>
    <mergeCell ref="E26:E31"/>
    <mergeCell ref="F26:F31"/>
    <mergeCell ref="E22:E23"/>
    <mergeCell ref="D4:D5"/>
    <mergeCell ref="D6:D9"/>
    <mergeCell ref="C10:C13"/>
    <mergeCell ref="D22:D23"/>
    <mergeCell ref="E14:E15"/>
    <mergeCell ref="E6:E7"/>
    <mergeCell ref="E12:E13"/>
    <mergeCell ref="E8:E9"/>
    <mergeCell ref="E10:E11"/>
    <mergeCell ref="D10:D13"/>
    <mergeCell ref="D14:D16"/>
    <mergeCell ref="A4:A5"/>
    <mergeCell ref="C4:C5"/>
    <mergeCell ref="B4:B5"/>
    <mergeCell ref="A6:A16"/>
    <mergeCell ref="B6:B16"/>
    <mergeCell ref="C6:C9"/>
    <mergeCell ref="C14:C16"/>
    <mergeCell ref="A38:A42"/>
    <mergeCell ref="E38:E41"/>
    <mergeCell ref="C38:C41"/>
    <mergeCell ref="B24:B37"/>
    <mergeCell ref="E33:E37"/>
    <mergeCell ref="C33:C37"/>
    <mergeCell ref="D24:D25"/>
    <mergeCell ref="C26:C32"/>
    <mergeCell ref="C24:C25"/>
    <mergeCell ref="D33:D37"/>
    <mergeCell ref="B38:B42"/>
    <mergeCell ref="D38:D41"/>
    <mergeCell ref="D26:D32"/>
    <mergeCell ref="AE2:AK2"/>
    <mergeCell ref="R2:W2"/>
    <mergeCell ref="X2:AD2"/>
    <mergeCell ref="C3:D3"/>
    <mergeCell ref="E3:F3"/>
    <mergeCell ref="H2:K2"/>
    <mergeCell ref="G3:H3"/>
    <mergeCell ref="L2:Q2"/>
  </mergeCells>
  <conditionalFormatting sqref="N4:N24 N26:N42">
    <cfRule type="cellIs" dxfId="34" priority="214" operator="between">
      <formula>0</formula>
      <formula>39</formula>
    </cfRule>
    <cfRule type="cellIs" dxfId="33" priority="212" operator="between">
      <formula>60</formula>
      <formula>69</formula>
    </cfRule>
    <cfRule type="cellIs" dxfId="32" priority="211" operator="between">
      <formula>70</formula>
      <formula>79</formula>
    </cfRule>
    <cfRule type="cellIs" dxfId="31" priority="210" operator="between">
      <formula>80</formula>
      <formula>100</formula>
    </cfRule>
  </conditionalFormatting>
  <conditionalFormatting sqref="N4:N42">
    <cfRule type="cellIs" dxfId="30" priority="209" operator="between">
      <formula>40</formula>
      <formula>59</formula>
    </cfRule>
  </conditionalFormatting>
  <conditionalFormatting sqref="T4:T42">
    <cfRule type="cellIs" dxfId="29" priority="208" operator="between">
      <formula>0</formula>
      <formula>39</formula>
    </cfRule>
    <cfRule type="cellIs" dxfId="28" priority="207" operator="between">
      <formula>40</formula>
      <formula>59</formula>
    </cfRule>
    <cfRule type="cellIs" dxfId="27" priority="206" operator="between">
      <formula>60</formula>
      <formula>69</formula>
    </cfRule>
    <cfRule type="cellIs" dxfId="26" priority="205" operator="between">
      <formula>70</formula>
      <formula>79</formula>
    </cfRule>
    <cfRule type="cellIs" dxfId="25" priority="204" operator="between">
      <formula>80</formula>
      <formula>100</formula>
    </cfRule>
  </conditionalFormatting>
  <conditionalFormatting sqref="Z4:Z42">
    <cfRule type="cellIs" dxfId="24" priority="91" operator="between">
      <formula>80</formula>
      <formula>100</formula>
    </cfRule>
    <cfRule type="cellIs" dxfId="23" priority="92" operator="between">
      <formula>70</formula>
      <formula>79</formula>
    </cfRule>
    <cfRule type="cellIs" dxfId="22" priority="93" operator="between">
      <formula>60</formula>
      <formula>69</formula>
    </cfRule>
    <cfRule type="cellIs" dxfId="21" priority="94" operator="between">
      <formula>40</formula>
      <formula>59</formula>
    </cfRule>
    <cfRule type="cellIs" dxfId="20" priority="95" operator="between">
      <formula>0</formula>
      <formula>39</formula>
    </cfRule>
  </conditionalFormatting>
  <conditionalFormatting sqref="AC4:AC42">
    <cfRule type="cellIs" dxfId="19" priority="116" operator="between">
      <formula>0.8</formula>
      <formula>1</formula>
    </cfRule>
    <cfRule type="cellIs" dxfId="18" priority="117" operator="between">
      <formula>0.7</formula>
      <formula>0.79</formula>
    </cfRule>
    <cfRule type="cellIs" dxfId="17" priority="118" operator="between">
      <formula>0.6</formula>
      <formula>0.69</formula>
    </cfRule>
    <cfRule type="cellIs" dxfId="16" priority="119" operator="between">
      <formula>0.4</formula>
      <formula>0.59</formula>
    </cfRule>
    <cfRule type="cellIs" dxfId="15" priority="120" operator="between">
      <formula>0</formula>
      <formula>0.39</formula>
    </cfRule>
  </conditionalFormatting>
  <conditionalFormatting sqref="AG4:AG41">
    <cfRule type="cellIs" dxfId="14" priority="5" operator="between">
      <formula>0</formula>
      <formula>39</formula>
    </cfRule>
    <cfRule type="cellIs" dxfId="13" priority="4" operator="between">
      <formula>40</formula>
      <formula>59</formula>
    </cfRule>
    <cfRule type="cellIs" dxfId="12" priority="3" operator="between">
      <formula>60</formula>
      <formula>69</formula>
    </cfRule>
    <cfRule type="cellIs" dxfId="11" priority="2" operator="between">
      <formula>70</formula>
      <formula>79</formula>
    </cfRule>
    <cfRule type="cellIs" dxfId="10" priority="1" operator="between">
      <formula>80</formula>
      <formula>100</formula>
    </cfRule>
  </conditionalFormatting>
  <conditionalFormatting sqref="AJ4:AJ42">
    <cfRule type="cellIs" dxfId="9" priority="40" operator="between">
      <formula>0</formula>
      <formula>0.39</formula>
    </cfRule>
    <cfRule type="cellIs" dxfId="8" priority="39" operator="between">
      <formula>0.4</formula>
      <formula>0.59</formula>
    </cfRule>
    <cfRule type="cellIs" dxfId="7" priority="38" operator="between">
      <formula>0.6</formula>
      <formula>0.69</formula>
    </cfRule>
    <cfRule type="cellIs" dxfId="6" priority="37" operator="between">
      <formula>0.7</formula>
      <formula>0.79</formula>
    </cfRule>
    <cfRule type="cellIs" dxfId="5" priority="36" operator="between">
      <formula>0.8</formula>
      <formula>1</formula>
    </cfRule>
  </conditionalFormatting>
  <conditionalFormatting sqref="AN4:AN42">
    <cfRule type="cellIs" dxfId="4" priority="194" operator="between">
      <formula>80</formula>
      <formula>100</formula>
    </cfRule>
    <cfRule type="cellIs" dxfId="3" priority="195" operator="between">
      <formula>70</formula>
      <formula>79</formula>
    </cfRule>
    <cfRule type="cellIs" dxfId="2" priority="196" operator="between">
      <formula>60</formula>
      <formula>69</formula>
    </cfRule>
    <cfRule type="cellIs" dxfId="1" priority="197" operator="between">
      <formula>40</formula>
      <formula>59</formula>
    </cfRule>
    <cfRule type="cellIs" dxfId="0" priority="198" operator="between">
      <formula>0</formula>
      <formula>39</formula>
    </cfRule>
  </conditionalFormatting>
  <pageMargins left="0.7" right="0.7" top="0.75" bottom="0.75" header="0.3" footer="0.3"/>
  <pageSetup paperSize="5" scale="1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48" zoomScaleNormal="48" workbookViewId="0">
      <selection activeCell="O16" sqref="O16"/>
    </sheetView>
  </sheetViews>
  <sheetFormatPr baseColWidth="10" defaultRowHeight="15" x14ac:dyDescent="0.25"/>
  <cols>
    <col min="2" max="2" width="22.28515625" customWidth="1"/>
    <col min="3" max="4" width="20.42578125" customWidth="1"/>
    <col min="5" max="5" width="18.85546875" customWidth="1"/>
    <col min="6" max="6" width="23.42578125" customWidth="1"/>
    <col min="7" max="7" width="25.140625" customWidth="1"/>
    <col min="8" max="8" width="20.42578125" customWidth="1"/>
    <col min="9" max="9" width="18.85546875" customWidth="1"/>
    <col min="10" max="10" width="22" customWidth="1"/>
    <col min="13" max="13" width="13.42578125" customWidth="1"/>
    <col min="14" max="14" width="23" customWidth="1"/>
    <col min="15" max="15" width="26.28515625" customWidth="1"/>
  </cols>
  <sheetData>
    <row r="1" spans="1:23" ht="15.75" customHeight="1" thickBot="1" x14ac:dyDescent="0.3">
      <c r="A1" s="160" t="s">
        <v>245</v>
      </c>
      <c r="B1" s="162" t="s">
        <v>246</v>
      </c>
      <c r="C1" s="162" t="s">
        <v>292</v>
      </c>
      <c r="D1" s="162" t="s">
        <v>3</v>
      </c>
      <c r="E1" s="164" t="s">
        <v>342</v>
      </c>
      <c r="F1" s="165"/>
      <c r="G1" s="165"/>
      <c r="H1" s="165"/>
      <c r="I1" s="165"/>
      <c r="J1" s="166"/>
    </row>
    <row r="2" spans="1:23" ht="27.75" customHeight="1" thickBot="1" x14ac:dyDescent="0.3">
      <c r="A2" s="161"/>
      <c r="B2" s="163"/>
      <c r="C2" s="163"/>
      <c r="D2" s="163"/>
      <c r="E2" s="10" t="s">
        <v>235</v>
      </c>
      <c r="F2" s="10" t="s">
        <v>236</v>
      </c>
      <c r="G2" s="10" t="s">
        <v>237</v>
      </c>
      <c r="H2" s="10" t="s">
        <v>238</v>
      </c>
      <c r="I2" s="10" t="s">
        <v>239</v>
      </c>
      <c r="J2" s="11" t="s">
        <v>247</v>
      </c>
      <c r="N2" s="2" t="s">
        <v>248</v>
      </c>
      <c r="O2" s="3" t="s">
        <v>249</v>
      </c>
      <c r="Q2" s="159"/>
      <c r="R2" s="159"/>
      <c r="S2" s="159"/>
      <c r="T2" s="159"/>
      <c r="U2" s="159"/>
      <c r="V2" s="159"/>
      <c r="W2" s="159"/>
    </row>
    <row r="3" spans="1:23" ht="60.75" customHeight="1" thickBot="1" x14ac:dyDescent="0.3">
      <c r="A3" s="12">
        <v>1</v>
      </c>
      <c r="B3" s="13" t="s">
        <v>234</v>
      </c>
      <c r="C3" s="14">
        <v>2</v>
      </c>
      <c r="D3" s="51" t="s">
        <v>293</v>
      </c>
      <c r="E3" s="15">
        <v>1</v>
      </c>
      <c r="F3" s="16"/>
      <c r="G3" s="30"/>
      <c r="H3" s="17"/>
      <c r="I3" s="18">
        <v>1</v>
      </c>
      <c r="J3" s="19">
        <f>SUM(E3:I3)</f>
        <v>2</v>
      </c>
      <c r="N3" s="4" t="s">
        <v>250</v>
      </c>
      <c r="O3" s="5">
        <v>18</v>
      </c>
    </row>
    <row r="4" spans="1:23" ht="83.25" customHeight="1" thickBot="1" x14ac:dyDescent="0.3">
      <c r="A4" s="12">
        <v>2</v>
      </c>
      <c r="B4" s="13" t="s">
        <v>14</v>
      </c>
      <c r="C4" s="14">
        <v>11</v>
      </c>
      <c r="D4" s="51" t="s">
        <v>294</v>
      </c>
      <c r="E4" s="15">
        <v>4</v>
      </c>
      <c r="F4" s="16">
        <v>2</v>
      </c>
      <c r="G4" s="30"/>
      <c r="H4" s="17"/>
      <c r="I4" s="18">
        <v>5</v>
      </c>
      <c r="J4" s="19">
        <f t="shared" ref="J4:J7" si="0">SUM(E4:I4)</f>
        <v>11</v>
      </c>
      <c r="N4" s="6" t="s">
        <v>236</v>
      </c>
      <c r="O4" s="5">
        <v>4</v>
      </c>
    </row>
    <row r="5" spans="1:23" ht="60" customHeight="1" thickBot="1" x14ac:dyDescent="0.3">
      <c r="A5" s="12">
        <v>3</v>
      </c>
      <c r="B5" s="13" t="s">
        <v>24</v>
      </c>
      <c r="C5" s="14">
        <v>7</v>
      </c>
      <c r="D5" s="51" t="s">
        <v>295</v>
      </c>
      <c r="E5" s="15">
        <v>3</v>
      </c>
      <c r="F5" s="16">
        <v>2</v>
      </c>
      <c r="G5" s="30"/>
      <c r="H5" s="17">
        <v>1</v>
      </c>
      <c r="I5" s="18">
        <v>1</v>
      </c>
      <c r="J5" s="19">
        <f t="shared" si="0"/>
        <v>7</v>
      </c>
      <c r="N5" s="7" t="s">
        <v>237</v>
      </c>
      <c r="O5" s="5">
        <f>G8</f>
        <v>0</v>
      </c>
    </row>
    <row r="6" spans="1:23" ht="79.5" customHeight="1" thickBot="1" x14ac:dyDescent="0.3">
      <c r="A6" s="12">
        <v>4</v>
      </c>
      <c r="B6" s="13" t="s">
        <v>30</v>
      </c>
      <c r="C6" s="14">
        <v>14</v>
      </c>
      <c r="D6" s="51" t="s">
        <v>296</v>
      </c>
      <c r="E6" s="15">
        <v>6</v>
      </c>
      <c r="F6" s="16"/>
      <c r="G6" s="30"/>
      <c r="H6" s="17"/>
      <c r="I6" s="18">
        <v>8</v>
      </c>
      <c r="J6" s="19">
        <f t="shared" si="0"/>
        <v>14</v>
      </c>
      <c r="N6" s="8" t="s">
        <v>238</v>
      </c>
      <c r="O6" s="5">
        <v>1</v>
      </c>
    </row>
    <row r="7" spans="1:23" ht="107.25" customHeight="1" thickBot="1" x14ac:dyDescent="0.3">
      <c r="A7" s="12">
        <v>5</v>
      </c>
      <c r="B7" s="13" t="s">
        <v>39</v>
      </c>
      <c r="C7" s="14">
        <v>5</v>
      </c>
      <c r="D7" s="51" t="s">
        <v>297</v>
      </c>
      <c r="E7" s="15">
        <v>4</v>
      </c>
      <c r="F7" s="16"/>
      <c r="G7" s="30"/>
      <c r="H7" s="17"/>
      <c r="I7" s="18">
        <v>1</v>
      </c>
      <c r="J7" s="19">
        <f t="shared" si="0"/>
        <v>5</v>
      </c>
      <c r="N7" s="9" t="s">
        <v>239</v>
      </c>
      <c r="O7" s="5">
        <v>16</v>
      </c>
    </row>
    <row r="8" spans="1:23" ht="15.75" thickBot="1" x14ac:dyDescent="0.3">
      <c r="A8" s="156" t="s">
        <v>292</v>
      </c>
      <c r="B8" s="157"/>
      <c r="C8" s="157"/>
      <c r="D8" s="158"/>
      <c r="E8" s="20">
        <f>SUM(E3:E7)</f>
        <v>18</v>
      </c>
      <c r="F8" s="20">
        <f t="shared" ref="F8:I8" si="1">SUM(F3:F7)</f>
        <v>4</v>
      </c>
      <c r="G8" s="20">
        <f t="shared" si="1"/>
        <v>0</v>
      </c>
      <c r="H8" s="20">
        <f t="shared" si="1"/>
        <v>1</v>
      </c>
      <c r="I8" s="20">
        <f t="shared" si="1"/>
        <v>16</v>
      </c>
      <c r="J8" s="20">
        <f>SUM(J3:J7)</f>
        <v>39</v>
      </c>
      <c r="O8">
        <f>O3+O4+O5+O6+O7</f>
        <v>39</v>
      </c>
    </row>
    <row r="14" spans="1:23" ht="15.75" thickBot="1" x14ac:dyDescent="0.3"/>
    <row r="15" spans="1:23" ht="24" customHeight="1" x14ac:dyDescent="0.25">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
      <c r="B16" s="24" t="s">
        <v>234</v>
      </c>
      <c r="C16" s="15">
        <f>E3</f>
        <v>1</v>
      </c>
      <c r="D16" s="16">
        <f>F3</f>
        <v>0</v>
      </c>
      <c r="E16" s="30">
        <f>G3</f>
        <v>0</v>
      </c>
      <c r="F16" s="17">
        <f>H3</f>
        <v>0</v>
      </c>
      <c r="G16" s="18">
        <f>I3</f>
        <v>1</v>
      </c>
      <c r="J16" s="24" t="s">
        <v>14</v>
      </c>
      <c r="K16" s="15">
        <f>E4</f>
        <v>4</v>
      </c>
      <c r="L16" s="16">
        <f>F4</f>
        <v>2</v>
      </c>
      <c r="M16" s="30">
        <f>G4</f>
        <v>0</v>
      </c>
      <c r="N16" s="17">
        <f>H4</f>
        <v>0</v>
      </c>
      <c r="O16" s="18">
        <f>I4</f>
        <v>5</v>
      </c>
    </row>
    <row r="17" spans="2:30" x14ac:dyDescent="0.25">
      <c r="B17" s="1"/>
    </row>
    <row r="19" spans="2:30" ht="65.25" customHeight="1" x14ac:dyDescent="0.25"/>
    <row r="22" spans="2:30" ht="54.75" customHeight="1" x14ac:dyDescent="0.25"/>
    <row r="24" spans="2:30" x14ac:dyDescent="0.25">
      <c r="AD24" s="1"/>
    </row>
    <row r="25" spans="2:30" ht="80.25" customHeight="1" thickBot="1" x14ac:dyDescent="0.3"/>
    <row r="26" spans="2:30" ht="48" customHeight="1" x14ac:dyDescent="0.25">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
      <c r="B27" s="24" t="s">
        <v>24</v>
      </c>
      <c r="C27" s="15">
        <f>E5</f>
        <v>3</v>
      </c>
      <c r="D27" s="16">
        <f>F5</f>
        <v>2</v>
      </c>
      <c r="E27" s="30">
        <f>G5</f>
        <v>0</v>
      </c>
      <c r="F27" s="17">
        <f>H5</f>
        <v>1</v>
      </c>
      <c r="G27" s="18">
        <f>I5</f>
        <v>1</v>
      </c>
      <c r="J27" s="24" t="s">
        <v>30</v>
      </c>
      <c r="K27" s="15">
        <f>E6</f>
        <v>6</v>
      </c>
      <c r="L27" s="16">
        <f>F6</f>
        <v>0</v>
      </c>
      <c r="M27" s="30">
        <f>G6</f>
        <v>0</v>
      </c>
      <c r="N27" s="17">
        <f>H6</f>
        <v>0</v>
      </c>
      <c r="O27" s="18">
        <f>I6</f>
        <v>8</v>
      </c>
      <c r="AD27" s="1"/>
    </row>
    <row r="28" spans="2:30" ht="96.75" customHeight="1" x14ac:dyDescent="0.25"/>
    <row r="30" spans="2:30" x14ac:dyDescent="0.25">
      <c r="AD30" s="1"/>
    </row>
    <row r="44" spans="2:7" ht="15.75" thickBot="1" x14ac:dyDescent="0.3"/>
    <row r="45" spans="2:7" ht="30" customHeight="1" x14ac:dyDescent="0.25">
      <c r="B45" s="21" t="s">
        <v>244</v>
      </c>
      <c r="C45" s="22" t="s">
        <v>235</v>
      </c>
      <c r="D45" s="22" t="s">
        <v>236</v>
      </c>
      <c r="E45" s="22" t="s">
        <v>237</v>
      </c>
      <c r="F45" s="22" t="s">
        <v>238</v>
      </c>
      <c r="G45" s="23" t="s">
        <v>239</v>
      </c>
    </row>
    <row r="46" spans="2:7" ht="90.75" customHeight="1" thickBot="1" x14ac:dyDescent="0.3">
      <c r="B46" s="24" t="s">
        <v>39</v>
      </c>
      <c r="C46" s="15">
        <f>E7</f>
        <v>4</v>
      </c>
      <c r="D46" s="16">
        <f>F7</f>
        <v>0</v>
      </c>
      <c r="E46" s="30">
        <f>G7</f>
        <v>0</v>
      </c>
      <c r="F46" s="17">
        <f>H7</f>
        <v>0</v>
      </c>
      <c r="G46" s="18">
        <f>I7</f>
        <v>1</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cp:lastModifiedBy>
  <cp:lastPrinted>2021-08-19T15:54:10Z</cp:lastPrinted>
  <dcterms:created xsi:type="dcterms:W3CDTF">2019-05-08T13:38:43Z</dcterms:created>
  <dcterms:modified xsi:type="dcterms:W3CDTF">2023-12-27T20:05:43Z</dcterms:modified>
</cp:coreProperties>
</file>