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aura\Desktop\LAURA NIETO\1. GOBERNACION SP\2023\2. POLITICAS PUBLICAS CPS 1985 JUNIO-OCT\2. SGTO FAMILIA\II TRIMESTRE 2023\DEFINITIVO\POLITICA PUBLICA EQUIDAD DE GENERO\Pólitica Pública Diversidad\"/>
    </mc:Choice>
  </mc:AlternateContent>
  <xr:revisionPtr revIDLastSave="0" documentId="13_ncr:1_{23BF87F6-F8AA-4016-80BE-3DAEB86AE1CA}" xr6:coauthVersionLast="47" xr6:coauthVersionMax="47" xr10:uidLastSave="{00000000-0000-0000-0000-000000000000}"/>
  <bookViews>
    <workbookView xWindow="-120" yWindow="-120" windowWidth="20730" windowHeight="11160" xr2:uid="{00000000-000D-0000-FFFF-FFFF00000000}"/>
  </bookViews>
  <sheets>
    <sheet name="Matriz Seguimiento" sheetId="2" r:id="rId1"/>
    <sheet name="GRAFICOS" sheetId="4" r:id="rId2"/>
  </sheets>
  <definedNames>
    <definedName name="_xlnm._FilterDatabase" localSheetId="0" hidden="1">'Matriz Seguimiento'!$G$3:$AJ$42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9" i="2" l="1"/>
  <c r="AM11" i="2"/>
  <c r="AM10" i="2"/>
  <c r="AM6" i="2"/>
  <c r="Z39" i="2"/>
  <c r="AM15" i="2"/>
  <c r="AN15" i="2" s="1"/>
  <c r="AC15" i="2" l="1"/>
  <c r="AC14" i="2"/>
  <c r="AC5" i="2" l="1"/>
  <c r="Z5" i="2"/>
  <c r="AM35" i="2"/>
  <c r="AM33" i="2"/>
  <c r="AM30" i="2"/>
  <c r="AM27" i="2"/>
  <c r="AM26" i="2"/>
  <c r="AM23" i="2"/>
  <c r="AM22" i="2"/>
  <c r="AM21" i="2"/>
  <c r="AM18" i="2"/>
  <c r="AN18" i="2" s="1"/>
  <c r="AM17" i="2"/>
  <c r="AN17" i="2" s="1"/>
  <c r="AM13" i="2"/>
  <c r="AN10" i="2"/>
  <c r="AJ5" i="2"/>
  <c r="AJ6" i="2"/>
  <c r="AJ8" i="2"/>
  <c r="AJ10" i="2"/>
  <c r="AJ14" i="2"/>
  <c r="AJ15" i="2"/>
  <c r="AJ16" i="2"/>
  <c r="AJ17" i="2"/>
  <c r="AJ18" i="2"/>
  <c r="AJ19" i="2"/>
  <c r="AJ20" i="2"/>
  <c r="AJ22" i="2"/>
  <c r="AJ23" i="2"/>
  <c r="AJ24" i="2"/>
  <c r="AJ25" i="2"/>
  <c r="AJ26" i="2"/>
  <c r="AJ27" i="2"/>
  <c r="AJ28" i="2"/>
  <c r="AJ34" i="2"/>
  <c r="AJ36" i="2"/>
  <c r="AG10" i="2"/>
  <c r="AI19" i="2"/>
  <c r="G46" i="4"/>
  <c r="F46" i="4"/>
  <c r="E46" i="4"/>
  <c r="D46" i="4"/>
  <c r="C46" i="4"/>
  <c r="O27" i="4"/>
  <c r="N27" i="4"/>
  <c r="M27" i="4"/>
  <c r="L27" i="4"/>
  <c r="K27" i="4"/>
  <c r="G27" i="4"/>
  <c r="F27" i="4"/>
  <c r="E27" i="4"/>
  <c r="D27" i="4"/>
  <c r="C27" i="4"/>
  <c r="O16" i="4"/>
  <c r="N16" i="4"/>
  <c r="M16" i="4"/>
  <c r="L16" i="4"/>
  <c r="K16" i="4"/>
  <c r="G16" i="4"/>
  <c r="F16" i="4"/>
  <c r="E16" i="4"/>
  <c r="D16" i="4"/>
  <c r="C16" i="4"/>
  <c r="AG20" i="2"/>
  <c r="AI34" i="2"/>
  <c r="AH34" i="2"/>
  <c r="AI23" i="2"/>
  <c r="AH23" i="2"/>
  <c r="AI15" i="2" l="1"/>
  <c r="AH15" i="2"/>
  <c r="AN26" i="2" l="1"/>
  <c r="AH24" i="2" l="1"/>
  <c r="AN22" i="2" l="1"/>
  <c r="AN21" i="2" l="1"/>
  <c r="AN20" i="2"/>
  <c r="AN41" i="2" l="1"/>
  <c r="AI25" i="2" l="1"/>
  <c r="AH25" i="2"/>
  <c r="AI24" i="2"/>
  <c r="AN28" i="2"/>
  <c r="AN29" i="2"/>
  <c r="AN30" i="2"/>
  <c r="AN31" i="2"/>
  <c r="AN32" i="2"/>
  <c r="AN33" i="2"/>
  <c r="AN34" i="2"/>
  <c r="AN35" i="2"/>
  <c r="AN36" i="2"/>
  <c r="AN37" i="2"/>
  <c r="AN38" i="2"/>
  <c r="AN39" i="2"/>
  <c r="AN40" i="2"/>
  <c r="AN42" i="2"/>
  <c r="AN27" i="2"/>
  <c r="AN23" i="2"/>
  <c r="AN16" i="2"/>
  <c r="AN14" i="2" l="1"/>
  <c r="AN13" i="2"/>
  <c r="AN6" i="2"/>
  <c r="AG23" i="2"/>
  <c r="AI27" i="2"/>
  <c r="AH27" i="2"/>
  <c r="AI26" i="2"/>
  <c r="AH26" i="2"/>
  <c r="AI5" i="2" l="1"/>
  <c r="AH5" i="2"/>
  <c r="AH19" i="2" l="1"/>
  <c r="AI28" i="2"/>
  <c r="AH28" i="2"/>
  <c r="AI14" i="2" l="1"/>
  <c r="AH14" i="2"/>
  <c r="AI16" i="2"/>
  <c r="AH16" i="2"/>
  <c r="AG41" i="2" l="1"/>
  <c r="AG39" i="2"/>
  <c r="AI22" i="2" l="1"/>
  <c r="AH22" i="2"/>
  <c r="AI20" i="2"/>
  <c r="AH20" i="2"/>
  <c r="AI18" i="2"/>
  <c r="AH18" i="2"/>
  <c r="AI17" i="2"/>
  <c r="AH17" i="2"/>
  <c r="AI10" i="2"/>
  <c r="AH10" i="2"/>
  <c r="AI8" i="2"/>
  <c r="AH8" i="2"/>
  <c r="AH6" i="2"/>
  <c r="AI6" i="2"/>
  <c r="AG4" i="2" l="1"/>
  <c r="AG6" i="2"/>
  <c r="AG8" i="2"/>
  <c r="AG9" i="2"/>
  <c r="AG11" i="2"/>
  <c r="AG12" i="2"/>
  <c r="AG13" i="2"/>
  <c r="AG14" i="2"/>
  <c r="AG15" i="2"/>
  <c r="AG16" i="2"/>
  <c r="AG17" i="2"/>
  <c r="AG18" i="2"/>
  <c r="AG19" i="2"/>
  <c r="AG22" i="2"/>
  <c r="AG24" i="2"/>
  <c r="AG25" i="2"/>
  <c r="AG26" i="2"/>
  <c r="AG27" i="2"/>
  <c r="AG28" i="2"/>
  <c r="AG30" i="2"/>
  <c r="AG31" i="2"/>
  <c r="AG32" i="2"/>
  <c r="AG33" i="2"/>
  <c r="AG34" i="2"/>
  <c r="AG35" i="2"/>
  <c r="AG36" i="2"/>
  <c r="AG40" i="2"/>
  <c r="AG42" i="2"/>
  <c r="AG5" i="2"/>
  <c r="AC29" i="2" l="1"/>
  <c r="AC26" i="2"/>
  <c r="AB35" i="2" l="1"/>
  <c r="AA35" i="2"/>
  <c r="AC23" i="2" l="1"/>
  <c r="AA24" i="2"/>
  <c r="Z14" i="2"/>
  <c r="Z22" i="2" l="1"/>
  <c r="Z38" i="2"/>
  <c r="Z36" i="2"/>
  <c r="AA6" i="2" l="1"/>
  <c r="AB18" i="2"/>
  <c r="AA18" i="2"/>
  <c r="AB17" i="2"/>
  <c r="AA17" i="2"/>
  <c r="AB11" i="2"/>
  <c r="AA11" i="2"/>
  <c r="AB8" i="2"/>
  <c r="AA8" i="2"/>
  <c r="AB6" i="2"/>
  <c r="AA22" i="2" l="1"/>
  <c r="AB25" i="2" l="1"/>
  <c r="AA25" i="2"/>
  <c r="Z15" i="2" l="1"/>
  <c r="Z21" i="2"/>
  <c r="Z16" i="2"/>
  <c r="Z17" i="2"/>
  <c r="AC35" i="2" l="1"/>
  <c r="Z35" i="2" l="1"/>
  <c r="Z34" i="2"/>
  <c r="AC31" i="2" l="1"/>
  <c r="AC10" i="2" l="1"/>
  <c r="AC11" i="2"/>
  <c r="AC16" i="2"/>
  <c r="AC17" i="2"/>
  <c r="AC19" i="2"/>
  <c r="AC21" i="2"/>
  <c r="AC22" i="2"/>
  <c r="AC24" i="2"/>
  <c r="AC25" i="2"/>
  <c r="AC32" i="2"/>
  <c r="AC33" i="2"/>
  <c r="AC39" i="2"/>
  <c r="AC6" i="2"/>
  <c r="Z6" i="2" l="1"/>
  <c r="Z4" i="2"/>
  <c r="Z9" i="2" l="1"/>
  <c r="Z11" i="2"/>
  <c r="Z12" i="2"/>
  <c r="Z13" i="2"/>
  <c r="Z18" i="2"/>
  <c r="Z19" i="2"/>
  <c r="Z20" i="2"/>
  <c r="Z23" i="2"/>
  <c r="Z24" i="2"/>
  <c r="Z25" i="2"/>
  <c r="Z26" i="2"/>
  <c r="Z27" i="2"/>
  <c r="Z28" i="2"/>
  <c r="Z29" i="2"/>
  <c r="Z30" i="2"/>
  <c r="Z31" i="2"/>
  <c r="Z32" i="2"/>
  <c r="Z33" i="2"/>
  <c r="Z41"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N6" i="2"/>
  <c r="N8" i="2"/>
  <c r="N9" i="2"/>
  <c r="N10" i="2"/>
  <c r="N11" i="2"/>
  <c r="AN11" i="2" s="1"/>
  <c r="N12" i="2"/>
  <c r="AN12" i="2" s="1"/>
  <c r="N13" i="2"/>
  <c r="N14" i="2"/>
  <c r="N15" i="2"/>
  <c r="N17" i="2"/>
  <c r="N18" i="2"/>
  <c r="N19" i="2"/>
  <c r="N20" i="2"/>
  <c r="N21" i="2"/>
  <c r="N22" i="2"/>
  <c r="N23" i="2"/>
  <c r="N24" i="2"/>
  <c r="N25" i="2"/>
  <c r="N26" i="2"/>
  <c r="N27" i="2"/>
  <c r="N28" i="2"/>
  <c r="N29" i="2"/>
  <c r="N30" i="2"/>
  <c r="N31" i="2"/>
  <c r="N32" i="2"/>
  <c r="N33" i="2"/>
  <c r="N34" i="2"/>
  <c r="N35" i="2"/>
  <c r="N37" i="2"/>
  <c r="N38" i="2"/>
  <c r="N39" i="2"/>
  <c r="N40" i="2"/>
  <c r="N41" i="2"/>
  <c r="N42" i="2"/>
  <c r="N4" i="2"/>
  <c r="AN9" i="2" l="1"/>
  <c r="AN8" i="2"/>
  <c r="AN25" i="2"/>
  <c r="AN19" i="2"/>
  <c r="F8" i="4"/>
  <c r="I8" i="4"/>
  <c r="H8" i="4"/>
  <c r="G8" i="4"/>
  <c r="O5" i="4" s="1"/>
  <c r="E8" i="4"/>
  <c r="J7" i="4"/>
  <c r="J6" i="4"/>
  <c r="J5" i="4"/>
  <c r="J4" i="4"/>
  <c r="J3" i="4"/>
  <c r="J8" i="4" l="1"/>
  <c r="O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AUXFAMILIA21</author>
  </authors>
  <commentList>
    <comment ref="X2" authorId="0" shapeId="0" xr:uid="{00000000-0006-0000-0000-000001000000}">
      <text>
        <r>
          <rPr>
            <sz val="18"/>
            <color indexed="81"/>
            <rFont val="Tahoma"/>
            <family val="2"/>
          </rPr>
          <t>El plan de accion no corresponde al definitivo IV TRIMESTRE 2022</t>
        </r>
      </text>
    </comment>
    <comment ref="AD6" authorId="1" shapeId="0" xr:uid="{00000000-0006-0000-0000-000002000000}">
      <text>
        <r>
          <rPr>
            <b/>
            <sz val="12"/>
            <color indexed="81"/>
            <rFont val="Tahoma"/>
            <family val="2"/>
          </rPr>
          <t>AUXFAMILIA21:</t>
        </r>
        <r>
          <rPr>
            <sz val="12"/>
            <color indexed="81"/>
            <rFont val="Tahoma"/>
            <family val="2"/>
          </rPr>
          <t xml:space="preserve">
</t>
        </r>
        <r>
          <rPr>
            <sz val="26"/>
            <color indexed="81"/>
            <rFont val="Tahoma"/>
            <family val="2"/>
          </rPr>
          <t>La descripción no corresponde a la meta.
La medición es capacitaciones no entidades</t>
        </r>
      </text>
    </comment>
    <comment ref="AL23" authorId="0" shapeId="0" xr:uid="{00000000-0006-0000-0000-000006000000}">
      <text>
        <r>
          <rPr>
            <b/>
            <sz val="22"/>
            <color indexed="81"/>
            <rFont val="Tahoma"/>
            <family val="2"/>
          </rPr>
          <t>Laura:</t>
        </r>
        <r>
          <rPr>
            <sz val="22"/>
            <color indexed="81"/>
            <rFont val="Tahoma"/>
            <family val="2"/>
          </rPr>
          <t xml:space="preserve">
12</t>
        </r>
      </text>
    </comment>
    <comment ref="AN24" authorId="0" shapeId="0" xr:uid="{00000000-0006-0000-0000-000007000000}">
      <text>
        <r>
          <rPr>
            <b/>
            <sz val="24"/>
            <color indexed="81"/>
            <rFont val="Tahoma"/>
            <family val="2"/>
          </rPr>
          <t xml:space="preserve">Laura:
</t>
        </r>
        <r>
          <rPr>
            <sz val="24"/>
            <color indexed="81"/>
            <rFont val="Tahoma"/>
            <family val="2"/>
          </rPr>
          <t>relacion entre la meta programada y ejecutada</t>
        </r>
      </text>
    </comment>
    <comment ref="AO39" authorId="0" shapeId="0" xr:uid="{00000000-0006-0000-0000-00000C000000}">
      <text>
        <r>
          <rPr>
            <b/>
            <sz val="24"/>
            <color indexed="81"/>
            <rFont val="Tahoma"/>
            <family val="2"/>
          </rPr>
          <t>Laura:</t>
        </r>
        <r>
          <rPr>
            <sz val="24"/>
            <color indexed="81"/>
            <rFont val="Tahoma"/>
            <family val="2"/>
          </rPr>
          <t xml:space="preserve">
evaluar el plan decenal, ya que la meta se viene programadno cada vigencia </t>
        </r>
      </text>
    </comment>
  </commentList>
</comments>
</file>

<file path=xl/sharedStrings.xml><?xml version="1.0" encoding="utf-8"?>
<sst xmlns="http://schemas.openxmlformats.org/spreadsheetml/2006/main" count="555" uniqueCount="406">
  <si>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</si>
  <si>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</si>
  <si>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</si>
  <si>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</si>
  <si>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</si>
  <si>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</si>
  <si>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</si>
  <si>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</si>
  <si>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</si>
  <si>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</si>
  <si>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</si>
  <si>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</si>
  <si>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</si>
  <si>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</si>
  <si>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</si>
  <si>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</si>
  <si>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</si>
  <si>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</si>
  <si>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</si>
  <si>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</si>
  <si>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</si>
  <si>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</si>
  <si>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</si>
  <si>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</si>
  <si>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</si>
  <si>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</si>
  <si>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</si>
  <si>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</si>
  <si>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</si>
  <si>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</si>
  <si>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</si>
  <si>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</si>
  <si>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</si>
  <si>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</si>
  <si>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</si>
  <si>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</si>
  <si>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</si>
  <si>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</si>
  <si>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</si>
  <si>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</si>
  <si>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</si>
  <si>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</si>
  <si>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</si>
  <si>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</si>
  <si>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</si>
  <si>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</si>
  <si>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</si>
  <si>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</si>
  <si>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</si>
  <si>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</si>
  <si>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</si>
  <si>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</si>
  <si>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</si>
  <si>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</si>
  <si>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</si>
  <si>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</si>
  <si>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</si>
  <si>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</si>
  <si>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</si>
  <si>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</si>
  <si>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</si>
  <si>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</si>
  <si>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</si>
  <si>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</si>
  <si>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</si>
  <si>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</si>
  <si>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</si>
  <si>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</si>
  <si>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</si>
  <si>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</si>
  <si>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</si>
  <si>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</si>
  <si>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</si>
  <si>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</si>
  <si>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</si>
  <si>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</si>
  <si>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</si>
  <si>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</si>
  <si>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</si>
  <si>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</si>
  <si>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</si>
  <si>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</si>
  <si>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</si>
  <si>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</si>
  <si>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</si>
  <si>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</si>
  <si>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</si>
  <si>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</si>
  <si>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</si>
  <si>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</si>
  <si>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</si>
  <si>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</si>
  <si>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</si>
  <si>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</si>
  <si>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</si>
  <si>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</si>
  <si>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</si>
  <si>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</si>
  <si>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</si>
  <si>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</si>
  <si>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</si>
  <si>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</si>
  <si>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</si>
  <si>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</si>
  <si>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</si>
  <si>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</si>
  <si>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</si>
  <si>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</si>
  <si>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</si>
  <si>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</si>
  <si>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</si>
  <si>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</si>
  <si>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</si>
  <si>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</si>
  <si>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</si>
  <si>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</si>
  <si>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</si>
  <si>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</si>
  <si>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</si>
  <si>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</si>
  <si>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</si>
  <si>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</si>
  <si>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</si>
  <si>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</si>
  <si>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</si>
  <si>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</si>
  <si>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</si>
  <si>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</si>
  <si>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</si>
  <si>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</si>
  <si>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</si>
  <si>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</si>
  <si>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</si>
  <si>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</si>
  <si>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</si>
  <si>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</si>
  <si>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</si>
  <si>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</si>
  <si>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</si>
  <si>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</si>
  <si>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</si>
  <si>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</si>
  <si>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</si>
  <si>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</si>
  <si>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</si>
  <si>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</si>
  <si>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</si>
  <si>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</si>
  <si>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</si>
  <si>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</si>
  <si>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</si>
  <si>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</si>
  <si>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</si>
  <si>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</si>
  <si>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</si>
  <si>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</si>
  <si>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</si>
  <si>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</si>
  <si>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</si>
  <si>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</si>
  <si>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</si>
  <si>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</si>
  <si>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</si>
  <si>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</si>
  <si>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</si>
  <si>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</si>
  <si>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</si>
  <si>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</si>
  <si>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</si>
  <si>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</si>
  <si>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</si>
  <si>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</si>
  <si>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</si>
  <si>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</si>
  <si>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</si>
  <si>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</si>
  <si>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</si>
  <si>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</si>
  <si>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</si>
  <si>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</si>
  <si>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</si>
  <si>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</si>
  <si>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</si>
  <si>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</si>
  <si>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</si>
  <si>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</si>
  <si>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</si>
  <si>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</si>
  <si>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</si>
  <si>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</si>
  <si>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</si>
  <si>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</si>
  <si>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</si>
  <si>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</si>
  <si>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</si>
  <si>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</si>
  <si>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</si>
  <si>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</si>
  <si>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</si>
  <si>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</si>
  <si>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</si>
  <si>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</si>
  <si>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</si>
  <si>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</si>
  <si>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</si>
  <si>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</si>
  <si>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</si>
  <si>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</si>
  <si>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</si>
  <si>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</si>
  <si>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</si>
  <si>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</si>
  <si>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</si>
  <si>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</si>
  <si>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</si>
  <si>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</si>
  <si>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</si>
  <si>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</si>
  <si>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</si>
  <si>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</si>
  <si>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</si>
  <si>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</si>
  <si>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</si>
  <si>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</si>
  <si>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</si>
  <si>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</si>
  <si>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</si>
  <si>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</si>
  <si>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</si>
  <si>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</si>
  <si>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</si>
  <si>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</si>
  <si>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</si>
  <si>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</si>
  <si>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</si>
  <si>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</si>
  <si>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</si>
  <si>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</si>
  <si>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</si>
  <si>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</si>
  <si>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</si>
  <si>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</si>
  <si>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</si>
  <si>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</si>
  <si>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</si>
  <si>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</si>
  <si>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</si>
  <si>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</si>
  <si>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</si>
  <si>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</si>
  <si>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</si>
  <si>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r>
      <t xml:space="preserve">POLÍTICA PÚBLICA DE DIVERSIDAD SEXUAL E IDENTIDAD DE GÉNERO 2019-2029  </t>
    </r>
    <r>
      <rPr>
        <b/>
        <i/>
        <sz val="36"/>
        <rFont val="Arial"/>
        <family val="2"/>
      </rPr>
      <t>QUINDÍO DIVERSO</t>
    </r>
  </si>
  <si>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</si>
  <si>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</si>
  <si>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</si>
  <si>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</si>
  <si>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</si>
  <si>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</si>
  <si>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</si>
  <si>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</si>
  <si>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</si>
  <si>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</si>
  <si>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</si>
  <si>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</si>
  <si>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</si>
  <si>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</si>
  <si>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</si>
  <si>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</si>
  <si>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</si>
  <si>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</si>
  <si>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</si>
  <si>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</si>
  <si>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</si>
  <si>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</si>
  <si>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</si>
  <si>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</si>
  <si>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</si>
  <si>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</si>
  <si>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</si>
  <si>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</si>
  <si>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</si>
  <si>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</si>
  <si>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</si>
  <si>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</si>
  <si>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</si>
  <si>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</si>
  <si>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</si>
  <si>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</si>
  <si>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</si>
  <si>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</si>
  <si>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</si>
  <si>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</si>
  <si>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</si>
  <si>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</si>
  <si>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</si>
  <si>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</si>
  <si>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</si>
  <si>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</si>
  <si>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</si>
  <si>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</si>
  <si>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</si>
  <si>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</si>
  <si>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</si>
  <si>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</si>
  <si>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</si>
  <si>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</si>
  <si>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</si>
  <si>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</si>
  <si>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</si>
  <si>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</si>
  <si>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</si>
  <si>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</si>
  <si>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</si>
  <si>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</si>
  <si>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La Secretaria del Interior Departamental señala que los programas y proyectos de postconflicto se encuentran armonizados según PAT. </t>
  </si>
  <si>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así mismo señala que la garantizan el acceso y representatividad no solamente de la población sexualmente diversa del Departamento del quindío, sino, a todos los grupos poblaciones que hacen parte de nuestro ente territorial: Población Afro, LGBTI, Indigenas, Primera infancia y juventudes, Mujeres, Victimas del Conflicto Armado, Población en condición de discapacidad, personas privadas de la libertad, personas en ejercicio de la prostitución y habitantes de calle.
</t>
  </si>
  <si>
    <t>Desde Secretaría de Salud se realizó 1 campaña en proceso de  sensibilizacion en acciones relacioonadadas con la sensibiizacion  uso de protocolos informados, rutas de atencion, denuncia y seguimiento a casos de hormonizacion no regularizada en el Departamento.</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</si>
  <si>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institución educativa general Santander del municipio de Calarcá, casd santa Eufrasia armenia, institución educativa libre del municipio de Circasia, institución educativa Jesús María Córdoba,  instituto tebaida, escuela de padres Rufino centro armenia, y con los orientadores de las instituciones educativas de los doce municipios del Departamento.
</t>
  </si>
  <si>
    <t>Desde la Secretaría de Familia se brindó asistencia técnica en la conformación y consolidación de espacios de participación de la población sexualmente diversa a  los municipios de Salento, Circasia, Calarcá, Filandia, Montenegro, La Tebaida, Buenavista, Quimbaya, Córdoba y Armenia.</t>
  </si>
  <si>
    <t>Desde la Secretaría de Familia se diseñó e implementó la campaña empodérate por la diversidad en instituciones educativas de los municipios de Salento, Calarcá, Quimbaya, Armenia , Pijao,  Génova, Buenavista, Montenegro, Filandia, La Tebaida, Córdoba y Circasia.</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</si>
  <si>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 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</si>
  <si>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Desde Secretaría de Salud Departamental se realiza 1 campaña en deberes y derechos en salud y promocion y prevencion en población LGTBI en los municipios de Circasia, Calarcá, Pijao, Quimbaya, Filandia y la Tebaida</t>
  </si>
  <si>
    <t xml:space="preserve">Desde la Secretaría de Salud Departamental se realizo capacitación a Docentes de las Instituciones educativas de Quimbaya, Funcionarios del Hospital Sagrado corazón de jesus de Quimbaya, Docentes de la Institución educativa Instituto Pijao, en Deberes y Derechos sexuales y reproductivos, métodos anticonceptivos, ITS, Prevención de violencias sexuales, prevención de embarazo subsiguiente. 
</t>
  </si>
  <si>
    <t>Desde la secretaría de familia a través de la jefatura de la mujer y la equidad, se han venido desarrollando mesas de trabajo para la recopilación de la información para el diseño del observatorio.</t>
  </si>
  <si>
    <t>Para la vigencia 2023 no se tienen programadas acciones para dar cumplimiento a la meta conforme a lo establecido en el plan decenal.</t>
  </si>
  <si>
    <t>La Secretaria de Salud Departamental reporta que se realizo campaña mediante la socialización en deberes y derechos en salud  a la población  LGTBI y rutas de atención en el Municipio de Génova.</t>
  </si>
  <si>
    <t>La Secretaria de Salud Departamental reporta que se implemento capacitación en deberes y derechos en salud para la población LGTBI Municipio de Filandia.</t>
  </si>
  <si>
    <t>META PROGRAMADA</t>
  </si>
  <si>
    <t>META ACUMULADA</t>
  </si>
  <si>
    <t>OBSERVACIONES</t>
  </si>
  <si>
    <t>SEGUIMIENTO DECENIO</t>
  </si>
  <si>
    <t>Desde el año 2022 se han venido desarrollando mesas de trabajo para la recopilación de la información para el diseño del observatorio.</t>
  </si>
  <si>
    <t>No se han adelantado acciones para dar cumplimiento a esta meta.</t>
  </si>
  <si>
    <t>Desde el año 2020 la Secretaria de Familia adopto y ha venido implementando la ruta antidiscriminación en el Departamento.</t>
  </si>
  <si>
    <t>Desde el 2020 la Secretaría de Familia incorporo en los instrumentos de caracterización de usuarios variables para monitorear la atención a la población sexualmente diversa de acuerdo a lo establecido en MIPG a través del formato F-FAM-04 del 19 de noviembre de 2020.</t>
  </si>
  <si>
    <t>se implemento proceso formativo anualizado para el desarrollo del liderazgo colectivo y la incidencia política de la población sexualmente diversa del departamento en las vigencias 2020 y 2022,</t>
  </si>
  <si>
    <t>Con la creación del consejo consultivo de diversidad sexual e identidad de género(Decreto 510/2020) se da cumplimiento al 100% de esta meta.</t>
  </si>
  <si>
    <t>Se ha realizado presentación de reporte del seguimiento e implementación de la política publica en el marco de la rendición pública de cuentas institucional en las vigencias 2020,2021 y 2022.</t>
  </si>
  <si>
    <t xml:space="preserve">La Secretaria del Interior Departamental señala que desde la vigencia 2022 los programas y proyectos de postconflicto se encuentran armonizados según PAT. </t>
  </si>
  <si>
    <t>Se ha implementado la campaña anualizada con incidencia municipal de promoción del respeto por la diferencia e instalación de territorios libres de discriminación en entidades públicas y privadas, y espacios públicos en las vigencias 2020, 2022 y 2023.</t>
  </si>
  <si>
    <t>Se ha implementado la campaña anualizada con incidencia en las instituciones educativa de promoción del respeto por la diferencia e instalación de territorios libres de discriminación en las vigencias 2022 y 2023.</t>
  </si>
  <si>
    <t>La campaña anual de capacitación la población LGBTI sobre el Sistema General de Seguridad Social en Salud y afiliación de beneficiario en cada ente territorial  y mecanismos de acceso, se ha implementado en las vigencias 2022 y 2023 por parte de la Secretaria de Salud Departamental.</t>
  </si>
  <si>
    <t xml:space="preserve">La Secretaria de Salud Departamental en las vigencias 2021,2022 y 2023 ha realizado capacitación anual para la población sexualmente diversa y funcionarios públicos en deberes y derechos en Salud, soportado en la ley 1620 de derechos sexuales y reproductivos. </t>
  </si>
  <si>
    <t>En las vigencias 2021 y 2022 se implemento campaña preventiva y de sensibilización sobre los riesgos de la hormonización desregularizada, el uso de protocolos de consentimiento informado, rutas de atención y recepción de denuncias</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</si>
  <si>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 llevada a cabo en la vigencia 2022.</t>
  </si>
  <si>
    <t>Los manuales de convivencia escolar de las instituciones educativas oficiales adscritas a la secretaría de educación departamental se encuentran actualizados de conformidad a la Ley 1620 de 2013, según lo reportado por la Secretaria de Educación Departamental desde la vigencia 2021.</t>
  </si>
  <si>
    <t>Según el plan decenal, esta meta se tiene programada para ejecutar a partir del año 2025, razón por la cual no presenta avance.</t>
  </si>
  <si>
    <t>Indeportes Quindío garantiza el acceso y representatividad de la población sexualmente diversa a la oferta recreativa y deportiva del departamento.</t>
  </si>
  <si>
    <t>Desde la jefatura de la mujer y la equidad se brindó asistencia técnica en la ley 1620 y sentencia 478 a los orientadores de las instituciones educativas de los 12 municipios del Departamento en la vigencia 2022.</t>
  </si>
  <si>
    <t>META (FISICA) 2023</t>
  </si>
  <si>
    <t xml:space="preserve">
Desde la jefatura de la mujer y la equidad en la vigencia 2022, se diseñó este sistema de información tendiente a caracterizar de manera periódica la situación de derechos de la población.
</t>
  </si>
  <si>
    <t>Desde la Secretaría de Familia se adoptó e implementó la ruta antidiscriminación, en el periodo informado en los municipios de  Armenia, La Tebaida, Quimbaya y Pijao.</t>
  </si>
  <si>
    <t xml:space="preserve">Se incorporo en la caracterización de asistencia  de usuarios instrumento establecido por MIPG, el cual  contiene de manera especifica el numero de personas atendidas con enfoque diferencial y subdiferencial.                                                                      </t>
  </si>
  <si>
    <t>a Secretaría de Familia diseño e implemento instrumento de caracterización MIPG.</t>
  </si>
  <si>
    <t xml:space="preserve">La Secretaria de familia a través de la Jefatura de la mujer y la equidad, asistió técnicamente en la conformación y consolidación de espacios de participación de la población sexualmente diversa en los municipios de Pijao y Génova. 
 </t>
  </si>
  <si>
    <t xml:space="preserve">
Desde la jefatura de la mujer y la equidad se diseñó este sistema de información tendiente a caracterizar de manera periódica la situación de derechos de la población.
</t>
  </si>
  <si>
    <t xml:space="preserve">La Secretaria del Interior Departamental señala que los comités territoriales de paz, reconciliación y convivencia garantiza la representatividad de población LGBTI, conforme al PAT. </t>
  </si>
  <si>
    <t>La jefatura de la mujer y equidad diseño la estrategia de sensibilización familiar anual que fortalezca los lazos familiares con entornos de personas sexualmente diversas de acuerdo a MIPG formalizada con el código PR-FAM-05 de fecha 06 de febrero de 2023s, la cual fue implementada en el municipio de Armenia.</t>
  </si>
  <si>
    <t>La Secretaria de Educación Departamental aduce que  las instituciones educativas I.E Instituto Calarcá y Antonio Nariño el I.E del Municipio de Filandia Francisco Miranda en la actualidad cuentan con planes de convivencia  con el enfoque de Genero y diversidad.</t>
  </si>
  <si>
    <t>Desde la Secretaria de Salud Departamental reportan que ya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</si>
  <si>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Desde la Secretaría de Familia a través de la Dirección de Desarrollo Humano y Familia se Incluyó a la población sexualmente diversa en la Implementación de módulos formativos de base comunitaria para la prevención, atención y mitigación del consumo de SPA.</t>
  </si>
  <si>
    <t>En el marco de la realización de mesas técnicas con el sector salud se promociona con las EPS Medimás, Asmetsalud, Nueva EPS la garantía de la adecuación de los servicios en salud con perspectiva de Género.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</si>
  <si>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t>
  </si>
  <si>
    <t>Desde la Secretaria de Familia, a través de la  Jefatura de la Mujer y la Equidad, se encuentra en etapa de diseño de la estrategia de seguimiento a casos urgentes de discriminación y vulneración de derechos con componentes de atención, prevención y sensibilización, para su revisión, aprobación y puesta en marcha, donde se articulan acciones con los demás actores responsables.
Sin embargo,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t>
  </si>
  <si>
    <t xml:space="preserve">Según el plan decenal la meta esta programada para ejecutarse a partir del año 2025, sin embargo, en la vigencia 2022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t>
  </si>
  <si>
    <t>La jefatura de la mujer y equidad diseño la estrategia de sensibilización familiar anual que fortalezca los lazos familiares con entornos de personas sexualmente diversas de acuerdo a MIPG formalizada con el código PR-FAM-05 de fecha 06 de febrero de 2023, la cual fue implementada en el municipio de Armenia.</t>
  </si>
  <si>
    <t xml:space="preserve">Desde la Dimensión de Sexualidad salud  Sexual y Reproductiva en la vigencia 2022, se realizó asistencia técnica respecto la salud sexual y Reproductiva para el curso de vida adultez  y vejez, asistencia técnica respecto ITS VIH, Sífilis, hepatitis B -C con el personal del hospital mental de Filandia para la certificación en toma de pruebas rápidas de ITS. 
</t>
  </si>
  <si>
    <t>La Secretaria de Salud Departamental en la vigencia 2022 reporto que el modelo de atención en salud mental se encuentra fortalecido y se denomina Gestión del riesgo de Eventos de Interés en Salud Mental.</t>
  </si>
  <si>
    <t>Desde la vigencia 2021, la Secretaria de Familia a través de la Dirección de Desarrollo Humano y Familia se Incluyó a la población sexualmente diversa en la Implementación de módulos formativos de base comunitaria para la prevención, atención y mitigación del consumo de SPA.</t>
  </si>
  <si>
    <t xml:space="preserve">Según el plan decenal esta meta esta proyecta para ejecutarse a partir de la vigencia 2024,la Secretaria de Turismo, industria y comercio en las vigencias 2020,2021 y 2022, realizo asistencia técnica Departamental enfocada al fortalecimiento empresarial, acceso a nuevos mercados y emprendimientos.
</t>
  </si>
  <si>
    <t>Desde la Secretaría de Familia, a través de la  Jefatura de la Mujer y la Equidad, se encuentra en etapa de diseño de la estrategia de seguimiento a casos urgentes de discriminación y vulneración de derechos con componentes de atención, prevención y sensibilización.</t>
  </si>
  <si>
    <t>La secretaría de Cultura Departamental garantiza el acceso y representatividad de la población sexualmente diversa a la oferta cultural y artística del departamento.</t>
  </si>
  <si>
    <t>Según el plan decenal esta meta esta proyectada para ejecutarse a partir de la vigencia 2024, sin embargo, en la vigencia 2023, desde la Secretaria de Educación departamental aduce que  las instituciones educativas I.E Instituto Calarcá y Antonio Nariño el I.E del Municipio de Filandia Francisco Miranda en la actualidad cuentan con planes de convivencia  con el enfoque de Género y diversidad.</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</si>
  <si>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Filandia reporta que se creo el consejo municipal para la inclusión de personas OSIGD, dentro del cual se cuenta con una mesa técnica  para la atención a estos casos (acuerdo 016 octubre 2021).
La Secretaria de Salud Departamental aduce que participaron de la mesa técnica con los diversas secretarías para la construcción de una ruta integral y protocolo para la población LGTBI.      -La Alcaldía de Cicasia cuenta con mesa permanente de seguimiento a casos de vulneración de derechos a población sexualmente diversa en el marco del COMOSIGD para el abordaje integral de la violencia de género. </t>
  </si>
  <si>
    <t>Se han desarrollado las asistencias técnicas en la conformación y consolidación de espacios de participación de la población OSIGD así: 2020 (12), 2021 (2), 2022 (2),2023 (5).</t>
  </si>
  <si>
    <t>Desde la Secretaria de Familia se realizaron capacitaciones anualizadas en ley 1620 del 2013 y sentencia T-478 del 2015, en diversidad sexual e identidad de género a integrantes de la comunidad educativa de los municipios de Quimbaya (1), Calarcá(2), La Tebaida(1), Pijao(1) Buenavista(1), Filandia (1), Armenia (2), Circasia (1),  Génova (1), Córdoba (1), Salento (1)</t>
  </si>
  <si>
    <t>Desde la Secretaría de Familia se diseñó e implementó la campaña EMPODERATE POR LA DIVERSDIAD en instituciones educativas de los municipios de La Tebaida, Pijao,Calarcá, Buenavista, Filandia, Armenia, Montenegro, Quimbaya.</t>
  </si>
  <si>
    <t>Desde la Secretaría de Familia se brindó asistencia técnica en la conformación y consolidación de espacios de participación de la población sexualmente diversa a  los municipios de Salento, Génova, Montenegro (2) y Buenavista.</t>
  </si>
  <si>
    <t>La Secretaria de Cultura Departamental manifiesta que dentro de la implementación de los programas de lectura y escritura y formación informal en artes plásticas, danza, música, teatro  en los diferentes municipios del departamento  se  ha contado con 63 personas de la comunidad LGTBI, 102 personas son inscritas en la plataforma de soy cultura, así mismo, se dio apertura a  la convocatoria de concertación y estímulos, cual da paso para la presentación de proyectos y propuestas culturales y desarrollarlas en todo el territorio Quindiano.
La alcaldía de Circasia garantiza el acceso a la  oferta cultural y artística a la población sexualmente diversa.
La alcaldía de Córdoba señala que se garantizó el acceso y representatividad de la población sexualmente diversa a la oferta cultural y artística del municipio en las escuelas de formación: Danza folclórica, danza moderna, banda musical, chirimía, iniciación musical, banda musico marcial, club de lectura, Grupo amigos de la Biblioteca, tertulias, préstamo externo de libros, alfabetización digital.
La alcaldía de Filandia reporta que la oferta cultural y artística se da de manera incluyente, cabe destacar que dentro de las escuelas formativas hay presencia de esta población.
La alcaldía de Montenegro señala que se da cumplimiento a través de las escuelas de formación con convocatoria abierta a todos los programas culturales y artísticos como también  visita a colegios informando de las diferentes ofertas.                                                                                                                                    La administracion municpal de Circasia garantiza el acceso a la  oferta cultural y artistica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cultural.
La alcaldía de Génova señala que se garantiza el acceso de la población género diversa en los procesos culturales y artísticos del municipio.
NOTA: El presupuesto que se reporta por parte de Secretaría de Cultura compete al proceso de concertación y estimulos en su totalidad.</t>
  </si>
  <si>
    <t>Desde la Secretaria de Salud Departamental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</si>
  <si>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Se realizó presentación del reporte del seguimiento e implementación de la política pública en el marco de la rendición pública de cuentas institucional de la vigencia 2022</t>
  </si>
  <si>
    <t>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del municipio de Armenia.
Desde la Alcaldía de Filandia se realizó campaña virtual dirigida a toda la población del municipio, que estuvo enfocada en el respeto en medio del día internacional de la visibilidad trans. 
Desde la Alcaldía de Circasia se reazlizo campaña  con incidencia municipal de promoción del respeto por la diferencia e instalación de territorios libres de discriminación en la institución educativa IMET     
La Alcadldía de Montenegro realizó campaña de prevención de la homofobia, transfobia y bifobia en espacios públicos del Municipio, como también a través de redes sociales de la Administración.</t>
  </si>
  <si>
    <t>Indeportes Quindío señala que  los 12 Municipios durante los 6 primeros meses del año con programa implementado de recreación, actividad física y deporte social comunitario, con oferta inclusiva y Garantizar el acceso y representatividad de la población sexualmente diversa.
La alcaldía de Circasia garantiza el acceso a la  oferta recreativa y deportiva a la población sexualmente diversa.
La alcaldía de Córdoba señala que se garantizó el acceso y representatividad de la población sexualmente diversa a la oferta recreativa y deportiva del municipio en las escuelas de formación: de natación, patinaje y acondicionamiento físico, se han adelantado procesos de contratación para las escuelas de formación en baloncesto, futbol, microfutbol y ciclismo.  
La alcaldía de Filandia reporta que la oferta deportiva se da de manera incluyente, cabe destacar que dentro de las escuelas formativas hay presencia de esta población.
La alcaldía de Montenegro reporta que se da cumplimiento a través de las escuelas deportivas con convocatoria abierta.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Deportivas.
La alcaldía de Génova señala que se garantiza el acceso de la población género diversa en los procesos recreativos y deportivos del municipio.</t>
  </si>
  <si>
    <t xml:space="preserve">La Secretaria de Educación Departamental señala que durante la vigencia 2023 las 54 I.E realizaron la actualización del manual de convivencia.     </t>
  </si>
  <si>
    <t xml:space="preserve">
Desde la jefatura de la mujer y la equidad se diseñó este sistema, el cual fue enviado a la secretaría de planeación departamental para su revisión, aprobación y puesta en marcha por parte de la Secretaría de familia.
</t>
  </si>
  <si>
    <t xml:space="preserve">Desde la Secretaría de familia a través de la jefatura de la mujer y la equidad, se han venido desarrollando mesas de trabajo para la recopilación de la información y diseño del observatorio.
</t>
  </si>
  <si>
    <t xml:space="preserve">Desde la SecretarÍa de Familia de realizó proceso de contratación de mínima cuantía MC071-FAM3205-CPS-2022 con la finalidad de realizar diplomado en liderazgo colectivo e incidencia política de la población sexualmente diversa del departamento.
Desde la Alcaldía de Circasia  se  realizó capacitación sobre el liderazgo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t>
  </si>
  <si>
    <t xml:space="preserve">La Secretaría del Interior Departamental señala que los programas y proyectos de postconflicto se encuentran armonizados según PAT. </t>
  </si>
  <si>
    <t xml:space="preserve">La Secretaría del Interior Departamental señala que el 100% de los planes de acción municpales de Derechos Humanos y Convivencia escolar se encuentran armonizados según PAT. </t>
  </si>
  <si>
    <t xml:space="preserve">La Secretaría del Interior Departamental señala que el 100% de los comités territoriales de paz, reconciliación y convivencia garantizan la representatividad de pobación LGBTI, conforme al PAT. </t>
  </si>
  <si>
    <t xml:space="preserve"> la Secretaría de Familia diseñara e implementara estrategia de seguimiento a casos urgentes de discriminación y vulneración de derechos con componentes de atención, prevención y sensibilización, en coordinacion con los actores responsables la cual se implementara en la vigencia 2023
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t>
  </si>
  <si>
    <t xml:space="preserve">La Jefatura de la Mujer y Equidad diseño la estrategia de sensibilización familiar anual que fortalezca los lazos familiares con entornos de personas sexualmente diversas para implementarla en cada municipio del Departamento, la cual será implementada en la vigencia 2023 en coordinacion con  los actores resposables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t>
  </si>
  <si>
    <r>
      <t xml:space="preserve">Se participa de forma activa en el Comité Departamental de Convivencia Escolar donde se fortalecen los aspectos relacionados con la ruta de atención y manuales de convivencia desde el enfoque de los Derechos Humanos.
Se participa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dl embarazo y del consumo de sustancias psicoactivas, educación sexual. 
</t>
    </r>
    <r>
      <rPr>
        <b/>
        <sz val="20"/>
        <rFont val="Calibri"/>
        <family val="2"/>
      </rPr>
      <t>SIN EMBARGO; ES IMPORTANTE ACLARAR QUE LA SECRETARÍA DE EDUCACIÓN NO HACE PARTE, NI EJECUTA PROCESOS INTERNOS DE LAS ALCALDIAS DE LOS ONCE MUNICIPIOS NO CERTIFICADOS EN EDUCACIÓN.</t>
    </r>
  </si>
  <si>
    <t xml:space="preserve">Desde la Dimensión de Sexualidad salud  Sexual y Reproductiva, se realizó asistencia técnica respecto la salud sexual y Reproductiva en los municipios de Salento, Calarcá, Montenegro, Circasia, Buenavista y La Tebaida.
</t>
  </si>
  <si>
    <r>
      <t>Desde la Secretaría de Salud Departamental se trabaja de manera continua en el fortalecimiento del modelo de atención en salud mental  el cual se denomina "</t>
    </r>
    <r>
      <rPr>
        <b/>
        <sz val="20"/>
        <rFont val="Calibri"/>
        <family val="2"/>
        <scheme val="minor"/>
      </rPr>
      <t>Modelo de atención en salud mental se encuentra fortalecido y se denomina Gestión del riesgo de Eventos de Interes en Salud Mental</t>
    </r>
    <r>
      <rPr>
        <sz val="20"/>
        <rFont val="Calibri"/>
        <family val="2"/>
        <scheme val="minor"/>
      </rPr>
      <t xml:space="preserve">"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t>
    </r>
  </si>
  <si>
    <t>Desde la Secretaria de Familia se brindo asistencia técnica en ley 1620 del 2013 y sentencia T-478 del 2015, en diversidad sexual e identidad de género a integrantes de la comunidad educativa de los municipios de Circasia con los orientadores de las instituciones  y Quimbaya  con padres de familia de la IE Mercadotecnia y a los orientadores de las instituciones educativas de los doce municipios del Departamento.
Desde la Secretaría de Educación Departamental participan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del embarazo y del consumo de sustancias psicoactivas, educación sexual.</t>
  </si>
  <si>
    <t>Según el plan decenal, esta meta se tiene programada para ejecutar a partir del año 2026, razón por la cual no presenta avance.</t>
  </si>
  <si>
    <t xml:space="preserve">La Secretaría del Interior Departamental señala que el 100% de los planes de acción municpales de Derechos Humanos y Convivencia escolar se encuentran armonizados según PAT. 
</t>
  </si>
  <si>
    <t>La Secretaría del Interior Departamental señala que el 100% de los planes de acción municpales de Derechos Humanos y Convivencia escolar se encuentran armonizados según PAT.</t>
  </si>
  <si>
    <t>Durante el período informado no se tenian programas  acciones para dar cumplimiento a la meta e indicador en el año 2023.</t>
  </si>
  <si>
    <t>La universidad del Quindío desarrolló una estrategia para promover espacios de reflexión académica en torno a la cultura ciudadana, inclusión laboral sencibilzación, familia y diversidad sexual y de género para lo cual se adelantaron las siguientes acciones: 
1. Campañas de sensibilización y alfabetización en diversidad: la cuales tienen como objetivo principal, enseñar el cuidado integral en derechos sexuales, reproductivos, normativa y jurisprudencia con enfoque diferencial, dirigido a las Instituciones escolares del Departamento del Quindío – ejemplo: Conmemoración Día Internacional contra la Lesbofobia, Homofobia, Bifobia y Transfobia, tendedero por la Diversidad, taller mi cuerpo – mi territorio.      
 2 Socialización y divulgación de las rutas existentes:
2,1. “Ruta de   atención para la prevención, detección y atención de violencias y cualquier tipo de discriminación basada en género en la Universidad del Quindío”
2,2. “Programa para el reconocimiento de la diversidad desde un enfoque inclusivo”</t>
  </si>
  <si>
    <t xml:space="preserve">
La Universidad del Quindío promovió espacios de reflexión académica en torno a la cultura ciudadana y el cuidado integral en derechos sexuales "Reconocimiento de la diversidad UQ"</t>
  </si>
  <si>
    <t>Según el plan decenal esta meta esta proyectada para ejecutarse a partir de la vigencia 2024, sin embargo, en la vigencia 2020, desde la Oficina de comunicaciones se implemento la estrategia cuidarte es amarte con el fin de realizar prevención y atención del acoso escolar y otras problemáticas del sector educativo.</t>
  </si>
  <si>
    <t>Según el plan decenal, esta meta se  programo para ejecutar a partir del año 2022.
En el año 2022 se desarrollaron 20 jornadas, al segundo trimestre de 2023, 13 jornadas.</t>
  </si>
  <si>
    <t>Para la vigencia 2022 no se tienen programadas acciones para dar cumplimiento a la meta conforme a lo establecido en el plan decenal.</t>
  </si>
  <si>
    <t>2023 II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</si>
</sst>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quot;$&quot;\ #,##0"/>
  </numFmts>
  <fonts count="37"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36"/>
      <name val="Arial"/>
      <family val="2"/>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b/>
      <i/>
      <sz val="36"/>
      <name val="Arial"/>
      <family val="2"/>
    </font>
    <font>
      <sz val="36"/>
      <name val="Calibri"/>
      <family val="2"/>
      <scheme val="minor"/>
    </font>
    <font>
      <b/>
      <sz val="12"/>
      <color indexed="81"/>
      <name val="Tahoma"/>
      <family val="2"/>
    </font>
    <font>
      <sz val="12"/>
      <color indexed="81"/>
      <name val="Tahoma"/>
      <family val="2"/>
    </font>
    <font>
      <sz val="26"/>
      <color indexed="81"/>
      <name val="Tahoma"/>
      <family val="2"/>
    </font>
    <font>
      <sz val="11"/>
      <color theme="1"/>
      <name val="Calibri"/>
      <family val="2"/>
      <scheme val="minor"/>
    </font>
    <font>
      <sz val="20"/>
      <color rgb="FFFF0000"/>
      <name val="Calibri"/>
      <family val="2"/>
      <scheme val="minor"/>
    </font>
    <font>
      <b/>
      <sz val="36"/>
      <color theme="1"/>
      <name val="Arial"/>
      <family val="2"/>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
      <sz val="20"/>
      <color theme="1"/>
      <name val="Calibri"/>
      <family val="2"/>
    </font>
    <font>
      <b/>
      <sz val="22"/>
      <color indexed="81"/>
      <name val="Tahoma"/>
      <family val="2"/>
    </font>
    <font>
      <sz val="22"/>
      <color indexed="81"/>
      <name val="Tahoma"/>
      <family val="2"/>
    </font>
    <font>
      <b/>
      <sz val="24"/>
      <color indexed="81"/>
      <name val="Tahoma"/>
      <family val="2"/>
    </font>
    <font>
      <sz val="24"/>
      <color indexed="81"/>
      <name val="Tahoma"/>
      <family val="2"/>
    </font>
    <font>
      <sz val="18"/>
      <color indexed="81"/>
      <name val="Tahoma"/>
      <family val="2"/>
    </font>
    <font>
      <sz val="20"/>
      <name val="Calibri"/>
      <family val="2"/>
    </font>
    <font>
      <b/>
      <sz val="20"/>
      <name val="Calibri"/>
      <family val="2"/>
    </font>
    <font>
      <b/>
      <sz val="20"/>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rgb="FFFF33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cellStyleXfs>
  <cellXfs count="158">
    <xf numFmtId="0" fontId="0" fillId="0" borderId="0" xfId="0"/>
    <xf numFmtId="0" fontId="0" fillId="0" borderId="0" xfId="0"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8" fillId="5" borderId="16" xfId="0" applyFont="1" applyFill="1" applyBorder="1" applyAlignment="1">
      <alignment horizontal="center" vertical="center"/>
    </xf>
    <xf numFmtId="0" fontId="8" fillId="0" borderId="17" xfId="0" applyFont="1" applyBorder="1" applyAlignment="1">
      <alignment horizontal="center" vertical="center"/>
    </xf>
    <xf numFmtId="0" fontId="8" fillId="8" borderId="16" xfId="0" applyFont="1" applyFill="1" applyBorder="1" applyAlignment="1">
      <alignment horizontal="center" vertical="center"/>
    </xf>
    <xf numFmtId="0" fontId="8" fillId="3" borderId="16" xfId="0" applyFont="1" applyFill="1" applyBorder="1" applyAlignment="1">
      <alignment horizontal="center" vertical="center"/>
    </xf>
    <xf numFmtId="0" fontId="8" fillId="11" borderId="16" xfId="0" applyFont="1" applyFill="1" applyBorder="1" applyAlignment="1">
      <alignment horizontal="center" vertical="center"/>
    </xf>
    <xf numFmtId="0" fontId="8" fillId="4" borderId="16" xfId="0" applyFont="1" applyFill="1" applyBorder="1" applyAlignment="1">
      <alignment horizontal="center" vertical="center"/>
    </xf>
    <xf numFmtId="0" fontId="11" fillId="7" borderId="1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9" xfId="0" applyFont="1" applyBorder="1" applyAlignment="1">
      <alignment horizontal="center" vertical="center" wrapText="1"/>
    </xf>
    <xf numFmtId="0" fontId="10" fillId="0" borderId="17" xfId="0" applyFont="1" applyBorder="1" applyAlignment="1">
      <alignment horizontal="center" vertical="center"/>
    </xf>
    <xf numFmtId="0" fontId="10" fillId="5"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10"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0" borderId="0" xfId="0" applyFont="1" applyAlignment="1">
      <alignment wrapText="1"/>
    </xf>
    <xf numFmtId="0" fontId="13" fillId="0" borderId="0" xfId="1" applyFont="1" applyFill="1" applyAlignment="1">
      <alignment horizontal="left" vertical="center" wrapText="1"/>
    </xf>
    <xf numFmtId="0" fontId="14" fillId="0" borderId="0" xfId="1" applyFont="1" applyFill="1" applyAlignment="1">
      <alignment vertical="center" wrapText="1"/>
    </xf>
    <xf numFmtId="0" fontId="14" fillId="0" borderId="0" xfId="1" applyFont="1" applyFill="1" applyAlignment="1">
      <alignment horizontal="left" vertical="center" wrapText="1"/>
    </xf>
    <xf numFmtId="0" fontId="2" fillId="0" borderId="1" xfId="0" applyFont="1" applyBorder="1" applyAlignment="1">
      <alignment horizontal="center" vertical="center"/>
    </xf>
    <xf numFmtId="0" fontId="4" fillId="3" borderId="10"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1" fillId="0" borderId="19"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3" fillId="12"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left" vertical="center" wrapText="1"/>
    </xf>
    <xf numFmtId="9" fontId="5" fillId="0" borderId="1" xfId="2" applyFont="1" applyBorder="1" applyAlignment="1">
      <alignment horizontal="center" vertical="center" wrapText="1"/>
    </xf>
    <xf numFmtId="9" fontId="2" fillId="12" borderId="1" xfId="2" applyFont="1" applyFill="1" applyBorder="1" applyAlignment="1">
      <alignment horizontal="center" vertical="center" wrapText="1"/>
    </xf>
    <xf numFmtId="9" fontId="5" fillId="0" borderId="1" xfId="2" applyFont="1" applyBorder="1" applyAlignment="1" applyProtection="1">
      <alignment horizontal="center" vertical="center" wrapText="1"/>
      <protection locked="0"/>
    </xf>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2" fillId="17"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 fillId="17" borderId="4" xfId="0" applyFont="1" applyFill="1" applyBorder="1" applyAlignment="1">
      <alignment horizontal="center" vertical="center" wrapText="1"/>
    </xf>
    <xf numFmtId="9" fontId="5" fillId="13" borderId="1" xfId="2" applyFont="1" applyFill="1" applyBorder="1" applyAlignment="1">
      <alignment horizontal="center" vertical="center" wrapText="1"/>
    </xf>
    <xf numFmtId="44" fontId="2" fillId="12" borderId="1" xfId="4" applyFont="1" applyFill="1" applyBorder="1" applyAlignment="1">
      <alignment horizontal="center" vertical="center" wrapText="1"/>
    </xf>
    <xf numFmtId="44" fontId="5" fillId="0" borderId="1" xfId="4" applyFont="1" applyBorder="1" applyAlignment="1">
      <alignment horizontal="center" vertical="center" wrapText="1"/>
    </xf>
    <xf numFmtId="44" fontId="3" fillId="0" borderId="1" xfId="4" applyFont="1" applyBorder="1" applyAlignment="1">
      <alignment horizontal="center" vertical="center" wrapText="1"/>
    </xf>
    <xf numFmtId="44" fontId="28" fillId="0" borderId="1" xfId="4" applyFont="1" applyBorder="1" applyAlignment="1">
      <alignment horizontal="center" vertical="center" wrapText="1"/>
    </xf>
    <xf numFmtId="10" fontId="5" fillId="0" borderId="1" xfId="0" applyNumberFormat="1" applyFont="1" applyBorder="1" applyAlignment="1">
      <alignment horizontal="center" vertical="center" wrapText="1"/>
    </xf>
    <xf numFmtId="9" fontId="2" fillId="17" borderId="4" xfId="2" applyFont="1" applyFill="1" applyBorder="1" applyAlignment="1">
      <alignment horizontal="center" vertical="center" wrapText="1"/>
    </xf>
    <xf numFmtId="0" fontId="23" fillId="2" borderId="0" xfId="0" applyFont="1" applyFill="1" applyAlignment="1">
      <alignment horizontal="center" vertical="center" wrapText="1"/>
    </xf>
    <xf numFmtId="0" fontId="24" fillId="0" borderId="2" xfId="0" applyFont="1" applyBorder="1" applyAlignment="1">
      <alignment horizontal="justify" vertical="center" wrapText="1"/>
    </xf>
    <xf numFmtId="0" fontId="24" fillId="0" borderId="1" xfId="0" applyFont="1" applyBorder="1" applyAlignment="1">
      <alignment horizontal="justify" vertical="center" wrapText="1"/>
    </xf>
    <xf numFmtId="0" fontId="24" fillId="0" borderId="4" xfId="0" applyFont="1" applyBorder="1" applyAlignment="1">
      <alignment horizontal="justify" vertical="center" wrapText="1"/>
    </xf>
    <xf numFmtId="9" fontId="5" fillId="19" borderId="1" xfId="2" applyFont="1" applyFill="1" applyBorder="1" applyAlignment="1">
      <alignment horizontal="center" vertical="center" wrapText="1"/>
    </xf>
    <xf numFmtId="9" fontId="5" fillId="20" borderId="1" xfId="2" applyFont="1" applyFill="1" applyBorder="1" applyAlignment="1">
      <alignment horizontal="center" vertical="center" wrapText="1"/>
    </xf>
    <xf numFmtId="0" fontId="2" fillId="14" borderId="1" xfId="0" applyFont="1" applyFill="1" applyBorder="1" applyAlignment="1">
      <alignment horizontal="center" vertical="center" wrapText="1"/>
    </xf>
    <xf numFmtId="0" fontId="3" fillId="14" borderId="1" xfId="0" applyFont="1" applyFill="1" applyBorder="1" applyAlignment="1">
      <alignment horizontal="justify" vertical="center" wrapText="1"/>
    </xf>
    <xf numFmtId="0" fontId="24" fillId="14" borderId="1" xfId="0" applyFont="1" applyFill="1" applyBorder="1" applyAlignment="1">
      <alignment horizontal="justify" vertical="center" wrapText="1"/>
    </xf>
    <xf numFmtId="0" fontId="24" fillId="14" borderId="1" xfId="0" applyFont="1" applyFill="1" applyBorder="1" applyAlignment="1">
      <alignment horizontal="center" vertical="center" wrapText="1"/>
    </xf>
    <xf numFmtId="9" fontId="5" fillId="14" borderId="1" xfId="2" applyFont="1" applyFill="1" applyBorder="1" applyAlignment="1">
      <alignment horizontal="center" vertical="center" wrapText="1"/>
    </xf>
    <xf numFmtId="0" fontId="26" fillId="14" borderId="1" xfId="0" applyFont="1" applyFill="1" applyBorder="1" applyAlignment="1">
      <alignment vertical="center" wrapText="1"/>
    </xf>
    <xf numFmtId="2" fontId="5" fillId="14" borderId="1" xfId="0" applyNumberFormat="1" applyFont="1" applyFill="1" applyBorder="1" applyAlignment="1">
      <alignment horizontal="center" vertical="center" wrapText="1"/>
    </xf>
    <xf numFmtId="164" fontId="5" fillId="14" borderId="1" xfId="0" applyNumberFormat="1" applyFont="1" applyFill="1" applyBorder="1" applyAlignment="1">
      <alignment horizontal="center" vertical="center" wrapText="1"/>
    </xf>
    <xf numFmtId="0" fontId="26" fillId="14" borderId="1" xfId="0" applyFont="1" applyFill="1" applyBorder="1" applyAlignment="1">
      <alignment horizontal="left" vertical="center" wrapText="1"/>
    </xf>
    <xf numFmtId="9" fontId="5" fillId="14" borderId="1" xfId="3" applyNumberFormat="1" applyFont="1" applyFill="1" applyBorder="1" applyAlignment="1">
      <alignment horizontal="center" vertical="center" wrapText="1"/>
    </xf>
    <xf numFmtId="164" fontId="3" fillId="14" borderId="1" xfId="0" applyNumberFormat="1" applyFont="1" applyFill="1" applyBorder="1" applyAlignment="1">
      <alignment horizontal="center" vertical="center" wrapText="1"/>
    </xf>
    <xf numFmtId="0" fontId="5" fillId="14" borderId="20" xfId="0" applyFont="1" applyFill="1" applyBorder="1" applyAlignment="1">
      <alignment vertical="center" wrapText="1"/>
    </xf>
    <xf numFmtId="44" fontId="5" fillId="14" borderId="1" xfId="4" applyFont="1" applyFill="1" applyBorder="1" applyAlignment="1">
      <alignment horizontal="center" vertical="center" wrapText="1"/>
    </xf>
    <xf numFmtId="0" fontId="5" fillId="14" borderId="0" xfId="0" applyFont="1" applyFill="1" applyAlignment="1">
      <alignment wrapText="1"/>
    </xf>
    <xf numFmtId="164" fontId="21" fillId="14" borderId="1" xfId="0" applyNumberFormat="1" applyFont="1" applyFill="1" applyBorder="1" applyAlignment="1">
      <alignment horizontal="center" vertical="center" wrapText="1"/>
    </xf>
    <xf numFmtId="0" fontId="2" fillId="17"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4" borderId="1" xfId="0" applyFont="1" applyFill="1" applyBorder="1" applyAlignment="1">
      <alignment horizontal="justify" vertical="center" wrapText="1"/>
    </xf>
    <xf numFmtId="0" fontId="28" fillId="0" borderId="1" xfId="0" applyFont="1" applyBorder="1" applyAlignment="1">
      <alignment horizontal="justify" vertical="center" wrapText="1"/>
    </xf>
    <xf numFmtId="0" fontId="26" fillId="0" borderId="1" xfId="0" applyFont="1" applyBorder="1" applyAlignment="1">
      <alignment horizontal="justify" vertical="center" wrapText="1"/>
    </xf>
    <xf numFmtId="0" fontId="28" fillId="14" borderId="1" xfId="0" applyFont="1" applyFill="1" applyBorder="1" applyAlignment="1">
      <alignment horizontal="center" vertical="center" wrapText="1"/>
    </xf>
    <xf numFmtId="0" fontId="5" fillId="14" borderId="1" xfId="0" applyFont="1" applyFill="1" applyBorder="1" applyAlignment="1">
      <alignment vertical="center" wrapText="1"/>
    </xf>
    <xf numFmtId="0" fontId="5" fillId="14" borderId="1" xfId="0" applyFont="1" applyFill="1" applyBorder="1" applyAlignment="1">
      <alignment horizontal="left" vertical="center" wrapText="1"/>
    </xf>
    <xf numFmtId="0" fontId="3" fillId="14" borderId="1" xfId="0" applyFont="1" applyFill="1" applyBorder="1" applyAlignment="1">
      <alignment vertical="center" wrapText="1"/>
    </xf>
    <xf numFmtId="0" fontId="34" fillId="14" borderId="22" xfId="0" applyFont="1" applyFill="1" applyBorder="1" applyAlignment="1">
      <alignment horizontal="left" vertical="center" wrapText="1"/>
    </xf>
    <xf numFmtId="0" fontId="0" fillId="0" borderId="0" xfId="0" applyAlignment="1">
      <alignment wrapText="1"/>
    </xf>
    <xf numFmtId="0" fontId="24" fillId="0" borderId="0" xfId="0" applyFont="1" applyAlignment="1">
      <alignment horizontal="center" vertical="center" wrapText="1"/>
    </xf>
    <xf numFmtId="9" fontId="12" fillId="0" borderId="0" xfId="3" applyNumberFormat="1" applyFont="1" applyFill="1" applyAlignment="1">
      <alignment wrapText="1"/>
    </xf>
    <xf numFmtId="164" fontId="12" fillId="0" borderId="0" xfId="0" applyNumberFormat="1" applyFont="1" applyAlignment="1">
      <alignment wrapText="1"/>
    </xf>
    <xf numFmtId="9" fontId="12" fillId="0" borderId="0" xfId="2" applyFont="1" applyFill="1" applyAlignment="1">
      <alignment wrapText="1"/>
    </xf>
    <xf numFmtId="44" fontId="12" fillId="0" borderId="0" xfId="4" applyFont="1" applyFill="1" applyAlignment="1">
      <alignment wrapText="1"/>
    </xf>
    <xf numFmtId="0" fontId="12" fillId="0" borderId="0" xfId="0" applyFont="1" applyAlignment="1">
      <alignment horizontal="justify" vertical="center" wrapText="1"/>
    </xf>
    <xf numFmtId="10" fontId="12" fillId="0" borderId="0" xfId="0" applyNumberFormat="1" applyFont="1" applyAlignment="1">
      <alignment horizontal="justify" wrapText="1"/>
    </xf>
    <xf numFmtId="0" fontId="6" fillId="0" borderId="0" xfId="0" applyFont="1" applyAlignment="1">
      <alignment vertical="center"/>
    </xf>
    <xf numFmtId="0" fontId="22" fillId="0" borderId="0" xfId="0" applyFont="1" applyAlignment="1">
      <alignment vertical="center"/>
    </xf>
    <xf numFmtId="0" fontId="16" fillId="0" borderId="0" xfId="0" applyFont="1"/>
    <xf numFmtId="0" fontId="25" fillId="0" borderId="0" xfId="0" applyFont="1"/>
    <xf numFmtId="9" fontId="16" fillId="0" borderId="0" xfId="3" applyNumberFormat="1" applyFont="1" applyFill="1" applyAlignment="1"/>
    <xf numFmtId="164" fontId="16" fillId="0" borderId="0" xfId="0" applyNumberFormat="1" applyFont="1"/>
    <xf numFmtId="9" fontId="16" fillId="0" borderId="0" xfId="2" applyFont="1" applyFill="1" applyAlignment="1"/>
    <xf numFmtId="44" fontId="16" fillId="0" borderId="0" xfId="4" applyFont="1" applyFill="1"/>
    <xf numFmtId="0" fontId="16" fillId="0" borderId="0" xfId="0" applyFont="1" applyAlignment="1">
      <alignment horizontal="justify" vertical="center"/>
    </xf>
    <xf numFmtId="9" fontId="16" fillId="0" borderId="0" xfId="2" applyFont="1" applyFill="1"/>
    <xf numFmtId="10" fontId="16" fillId="0" borderId="0" xfId="0" applyNumberFormat="1" applyFont="1" applyAlignment="1">
      <alignment horizontal="justify" wrapText="1"/>
    </xf>
    <xf numFmtId="0" fontId="28" fillId="14" borderId="1" xfId="0" applyFont="1" applyFill="1" applyBorder="1" applyAlignment="1">
      <alignment horizontal="justify" vertical="center" wrapText="1"/>
    </xf>
    <xf numFmtId="164" fontId="2" fillId="12" borderId="1" xfId="0" applyNumberFormat="1" applyFont="1" applyFill="1" applyBorder="1" applyAlignment="1">
      <alignment horizontal="center" vertical="center" wrapText="1"/>
    </xf>
    <xf numFmtId="0" fontId="26" fillId="14" borderId="1" xfId="0" applyFont="1" applyFill="1" applyBorder="1" applyAlignment="1">
      <alignment horizontal="justify" vertical="center" wrapText="1"/>
    </xf>
    <xf numFmtId="0" fontId="9"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9" fillId="18" borderId="21" xfId="0" applyFont="1" applyFill="1" applyBorder="1" applyAlignment="1">
      <alignment horizontal="center" vertical="center" wrapText="1"/>
    </xf>
    <xf numFmtId="0" fontId="9" fillId="18" borderId="0" xfId="0" applyFont="1" applyFill="1" applyAlignment="1">
      <alignment horizontal="center" vertical="center" wrapText="1"/>
    </xf>
    <xf numFmtId="0" fontId="3" fillId="0" borderId="1" xfId="0" applyFont="1" applyBorder="1" applyAlignment="1">
      <alignment horizontal="justify" vertical="center" wrapText="1"/>
    </xf>
    <xf numFmtId="0" fontId="10" fillId="15" borderId="13"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0" fillId="0" borderId="0" xfId="0" applyAlignment="1">
      <alignment horizontal="center"/>
    </xf>
    <xf numFmtId="0" fontId="10" fillId="6" borderId="12"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35">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C000"/>
        </patternFill>
      </fill>
    </dxf>
    <dxf>
      <numFmt numFmtId="2" formatCode="0.00"/>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C000"/>
        </patternFill>
      </fill>
    </dxf>
    <dxf>
      <numFmt numFmtId="2" formatCode="0.00"/>
      <fill>
        <patternFill>
          <bgColor rgb="FFFF0000"/>
        </patternFill>
      </fill>
    </dxf>
    <dxf>
      <numFmt numFmtId="2" formatCode="0.00"/>
      <fill>
        <patternFill>
          <bgColor rgb="FFFFC00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0000"/>
        </patternFill>
      </fill>
    </dxf>
  </dxfs>
  <tableStyles count="0" defaultTableStyle="TableStyleMedium2" defaultPivotStyle="PivotStyleLight16"/>
  <colors>
    <mruColors>
      <color rgb="FFFF3300"/>
      <color rgb="FFCC00FF"/>
      <color rgb="FFFA800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4</c:v>
                </c:pt>
                <c:pt idx="1">
                  <c:v>2</c:v>
                </c:pt>
                <c:pt idx="2">
                  <c:v>0</c:v>
                </c:pt>
                <c:pt idx="3">
                  <c:v>0</c:v>
                </c:pt>
                <c:pt idx="4">
                  <c:v>5</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6</c:v>
                </c:pt>
                <c:pt idx="1">
                  <c:v>0</c:v>
                </c:pt>
                <c:pt idx="2">
                  <c:v>0</c:v>
                </c:pt>
                <c:pt idx="3">
                  <c:v>0</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1">
                  <c:v>0</c:v>
                </c:pt>
                <c:pt idx="2">
                  <c:v>0</c:v>
                </c:pt>
                <c:pt idx="3">
                  <c:v>0</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2023</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18</c:v>
                </c:pt>
                <c:pt idx="1">
                  <c:v>4</c:v>
                </c:pt>
                <c:pt idx="2">
                  <c:v>0</c:v>
                </c:pt>
                <c:pt idx="3">
                  <c:v>1</c:v>
                </c:pt>
                <c:pt idx="4">
                  <c:v>16</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0</c:v>
                </c:pt>
                <c:pt idx="3">
                  <c:v>0</c:v>
                </c:pt>
                <c:pt idx="4">
                  <c:v>1</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6"/>
  <sheetViews>
    <sheetView tabSelected="1" topLeftCell="G1" zoomScale="37" zoomScaleNormal="40" zoomScaleSheetLayoutView="50" workbookViewId="0">
      <pane xSplit="6600" ySplit="1545" topLeftCell="AE4" activePane="bottomRight"/>
      <selection activeCell="G1" sqref="G1"/>
      <selection pane="topRight" activeCell="AE2" sqref="AE2:AK2"/>
      <selection pane="bottomLeft" activeCell="G4" sqref="G4"/>
      <selection pane="bottomRight" activeCell="AK4" sqref="AK4"/>
    </sheetView>
  </sheetViews>
  <sheetFormatPr baseColWidth="10" defaultColWidth="11.42578125" defaultRowHeight="102.75" customHeight="1" x14ac:dyDescent="0.25"/>
  <cols>
    <col min="1" max="1" width="6" style="25" hidden="1" customWidth="1"/>
    <col min="2" max="2" width="43" style="25" hidden="1" customWidth="1"/>
    <col min="3" max="3" width="8.140625" style="25" hidden="1" customWidth="1"/>
    <col min="4" max="4" width="41.42578125" style="25" hidden="1" customWidth="1"/>
    <col min="5" max="5" width="10.28515625" style="25" hidden="1" customWidth="1"/>
    <col min="6" max="6" width="49" style="25" hidden="1" customWidth="1"/>
    <col min="7" max="7" width="5.140625" style="25" customWidth="1"/>
    <col min="8" max="8" width="52.85546875" style="25" customWidth="1"/>
    <col min="9" max="9" width="35" style="108" customWidth="1"/>
    <col min="10" max="10" width="39.28515625" style="109" customWidth="1"/>
    <col min="11" max="11" width="31.42578125" style="109" bestFit="1" customWidth="1"/>
    <col min="12" max="12" width="33.5703125" style="25" customWidth="1"/>
    <col min="13" max="13" width="18.28515625" style="25" customWidth="1"/>
    <col min="14" max="14" width="15.140625" style="25" customWidth="1"/>
    <col min="15" max="15" width="30.140625" style="25" customWidth="1"/>
    <col min="16" max="16" width="43.7109375" style="25" customWidth="1"/>
    <col min="17" max="17" width="106" style="25" customWidth="1"/>
    <col min="18" max="18" width="31.85546875" style="25" customWidth="1"/>
    <col min="19" max="19" width="29.42578125" style="25" customWidth="1"/>
    <col min="20" max="20" width="26.5703125" style="25" customWidth="1"/>
    <col min="21" max="21" width="35.42578125" style="25" customWidth="1"/>
    <col min="22" max="22" width="48.140625" style="25" customWidth="1"/>
    <col min="23" max="23" width="129.42578125" style="108" customWidth="1"/>
    <col min="24" max="24" width="16.140625" style="25" customWidth="1"/>
    <col min="25" max="25" width="17.7109375" style="25" customWidth="1"/>
    <col min="26" max="26" width="34.85546875" style="110" customWidth="1"/>
    <col min="27" max="27" width="39.140625" style="111" customWidth="1"/>
    <col min="28" max="28" width="35.85546875" style="111" customWidth="1"/>
    <col min="29" max="29" width="44.42578125" style="112" customWidth="1"/>
    <col min="30" max="30" width="84.5703125" style="25" customWidth="1"/>
    <col min="31" max="31" width="15.7109375" style="25" customWidth="1"/>
    <col min="32" max="32" width="13.28515625" style="25" customWidth="1"/>
    <col min="33" max="33" width="32.85546875" style="110" customWidth="1"/>
    <col min="34" max="34" width="33.28515625" style="113" customWidth="1"/>
    <col min="35" max="35" width="34.85546875" style="113" bestFit="1" customWidth="1"/>
    <col min="36" max="36" width="12" style="112" customWidth="1"/>
    <col min="37" max="37" width="73.7109375" style="114" customWidth="1"/>
    <col min="38" max="38" width="12" style="25" customWidth="1"/>
    <col min="39" max="39" width="21.140625" style="25" bestFit="1" customWidth="1"/>
    <col min="40" max="40" width="30.85546875" style="112" customWidth="1"/>
    <col min="41" max="41" width="61.140625" style="115" customWidth="1"/>
    <col min="42" max="16384" width="11.42578125" style="25"/>
  </cols>
  <sheetData>
    <row r="1" spans="1:41" s="118" customFormat="1" ht="50.25" customHeight="1" x14ac:dyDescent="0.7">
      <c r="A1" s="116" t="s">
        <v>251</v>
      </c>
      <c r="B1" s="116"/>
      <c r="C1" s="116"/>
      <c r="D1" s="116"/>
      <c r="E1" s="116"/>
      <c r="F1" s="116"/>
      <c r="G1" s="116"/>
      <c r="H1" s="116"/>
      <c r="I1" s="117"/>
      <c r="J1" s="117"/>
      <c r="K1" s="117"/>
      <c r="W1" s="119"/>
      <c r="Z1" s="120"/>
      <c r="AA1" s="121"/>
      <c r="AB1" s="121"/>
      <c r="AC1" s="122"/>
      <c r="AG1" s="120"/>
      <c r="AH1" s="123"/>
      <c r="AI1" s="123"/>
      <c r="AJ1" s="122"/>
      <c r="AK1" s="124"/>
      <c r="AN1" s="125"/>
      <c r="AO1" s="126"/>
    </row>
    <row r="2" spans="1:41" ht="36.75" customHeight="1" x14ac:dyDescent="0.25">
      <c r="A2" s="33"/>
      <c r="B2" s="33"/>
      <c r="C2" s="33"/>
      <c r="D2" s="33"/>
      <c r="E2" s="33"/>
      <c r="F2" s="33"/>
      <c r="G2" s="33"/>
      <c r="H2" s="132"/>
      <c r="I2" s="132"/>
      <c r="J2" s="132"/>
      <c r="K2" s="133"/>
      <c r="L2" s="130">
        <v>2020</v>
      </c>
      <c r="M2" s="130"/>
      <c r="N2" s="130"/>
      <c r="O2" s="130"/>
      <c r="P2" s="130"/>
      <c r="Q2" s="130"/>
      <c r="R2" s="130">
        <v>2021</v>
      </c>
      <c r="S2" s="130"/>
      <c r="T2" s="130"/>
      <c r="U2" s="130"/>
      <c r="V2" s="130"/>
      <c r="W2" s="130"/>
      <c r="X2" s="130">
        <v>2022</v>
      </c>
      <c r="Y2" s="130"/>
      <c r="Z2" s="130"/>
      <c r="AA2" s="130"/>
      <c r="AB2" s="130"/>
      <c r="AC2" s="130"/>
      <c r="AD2" s="130"/>
      <c r="AE2" s="130" t="s">
        <v>405</v>
      </c>
      <c r="AF2" s="130"/>
      <c r="AG2" s="130"/>
      <c r="AH2" s="130"/>
      <c r="AI2" s="130"/>
      <c r="AJ2" s="130"/>
      <c r="AK2" s="130"/>
      <c r="AL2" s="144" t="s">
        <v>330</v>
      </c>
      <c r="AM2" s="145"/>
      <c r="AN2" s="145"/>
      <c r="AO2" s="145"/>
    </row>
    <row r="3" spans="1:41" s="42" customFormat="1" ht="102.75" customHeight="1" x14ac:dyDescent="0.4">
      <c r="B3" s="43" t="s">
        <v>4</v>
      </c>
      <c r="C3" s="131" t="s">
        <v>0</v>
      </c>
      <c r="D3" s="131"/>
      <c r="E3" s="131" t="s">
        <v>5</v>
      </c>
      <c r="F3" s="131"/>
      <c r="G3" s="134" t="s">
        <v>1</v>
      </c>
      <c r="H3" s="134"/>
      <c r="I3" s="77" t="s">
        <v>6</v>
      </c>
      <c r="J3" s="77" t="s">
        <v>2</v>
      </c>
      <c r="K3" s="77" t="s">
        <v>3</v>
      </c>
      <c r="L3" s="40" t="s">
        <v>253</v>
      </c>
      <c r="M3" s="40" t="s">
        <v>254</v>
      </c>
      <c r="N3" s="40" t="s">
        <v>255</v>
      </c>
      <c r="O3" s="40" t="s">
        <v>273</v>
      </c>
      <c r="P3" s="40" t="s">
        <v>274</v>
      </c>
      <c r="Q3" s="40" t="s">
        <v>256</v>
      </c>
      <c r="R3" s="40" t="s">
        <v>253</v>
      </c>
      <c r="S3" s="40" t="s">
        <v>254</v>
      </c>
      <c r="T3" s="40" t="s">
        <v>255</v>
      </c>
      <c r="U3" s="40" t="s">
        <v>273</v>
      </c>
      <c r="V3" s="40" t="s">
        <v>274</v>
      </c>
      <c r="W3" s="57" t="s">
        <v>256</v>
      </c>
      <c r="X3" s="40" t="s">
        <v>253</v>
      </c>
      <c r="Y3" s="40" t="s">
        <v>254</v>
      </c>
      <c r="Z3" s="63" t="s">
        <v>255</v>
      </c>
      <c r="AA3" s="128" t="s">
        <v>273</v>
      </c>
      <c r="AB3" s="128" t="s">
        <v>274</v>
      </c>
      <c r="AC3" s="61" t="s">
        <v>303</v>
      </c>
      <c r="AD3" s="40" t="s">
        <v>256</v>
      </c>
      <c r="AE3" s="40" t="s">
        <v>253</v>
      </c>
      <c r="AF3" s="40" t="s">
        <v>254</v>
      </c>
      <c r="AG3" s="63" t="s">
        <v>255</v>
      </c>
      <c r="AH3" s="71" t="s">
        <v>273</v>
      </c>
      <c r="AI3" s="71" t="s">
        <v>274</v>
      </c>
      <c r="AJ3" s="61" t="s">
        <v>303</v>
      </c>
      <c r="AK3" s="66" t="s">
        <v>256</v>
      </c>
      <c r="AL3" s="69" t="s">
        <v>327</v>
      </c>
      <c r="AM3" s="69" t="s">
        <v>328</v>
      </c>
      <c r="AN3" s="76" t="s">
        <v>257</v>
      </c>
      <c r="AO3" s="98" t="s">
        <v>329</v>
      </c>
    </row>
    <row r="4" spans="1:41" s="42" customFormat="1" ht="241.5" customHeight="1" x14ac:dyDescent="0.4">
      <c r="A4" s="136" t="s">
        <v>7</v>
      </c>
      <c r="B4" s="138" t="s">
        <v>8</v>
      </c>
      <c r="C4" s="136" t="s">
        <v>144</v>
      </c>
      <c r="D4" s="136" t="s">
        <v>9</v>
      </c>
      <c r="E4" s="39" t="s">
        <v>155</v>
      </c>
      <c r="F4" s="36" t="s">
        <v>10</v>
      </c>
      <c r="G4" s="32" t="s">
        <v>11</v>
      </c>
      <c r="H4" s="36" t="s">
        <v>140</v>
      </c>
      <c r="I4" s="78" t="s">
        <v>217</v>
      </c>
      <c r="J4" s="54" t="s">
        <v>73</v>
      </c>
      <c r="K4" s="54" t="s">
        <v>75</v>
      </c>
      <c r="L4" s="41">
        <v>1</v>
      </c>
      <c r="M4" s="41">
        <v>1</v>
      </c>
      <c r="N4" s="47">
        <f>(M4/L4)*100</f>
        <v>100</v>
      </c>
      <c r="O4" s="41"/>
      <c r="P4" s="41"/>
      <c r="Q4" s="58" t="s">
        <v>259</v>
      </c>
      <c r="R4" s="41">
        <v>1</v>
      </c>
      <c r="S4" s="41">
        <v>0</v>
      </c>
      <c r="T4" s="44">
        <f>(S4/R4)*100</f>
        <v>0</v>
      </c>
      <c r="U4" s="41"/>
      <c r="V4" s="46"/>
      <c r="W4" s="58" t="s">
        <v>260</v>
      </c>
      <c r="X4" s="41">
        <v>1</v>
      </c>
      <c r="Y4" s="41">
        <v>0.5</v>
      </c>
      <c r="Z4" s="64">
        <f>(Y4/X4)*100</f>
        <v>50</v>
      </c>
      <c r="AA4" s="67">
        <v>0</v>
      </c>
      <c r="AB4" s="46">
        <v>0</v>
      </c>
      <c r="AC4" s="60">
        <v>0</v>
      </c>
      <c r="AD4" s="104" t="s">
        <v>384</v>
      </c>
      <c r="AE4" s="41">
        <v>1</v>
      </c>
      <c r="AF4" s="41">
        <v>1</v>
      </c>
      <c r="AG4" s="64">
        <f>(AF4/AE4)*100</f>
        <v>100</v>
      </c>
      <c r="AH4" s="72">
        <v>0</v>
      </c>
      <c r="AI4" s="72">
        <v>0</v>
      </c>
      <c r="AJ4" s="60">
        <v>0</v>
      </c>
      <c r="AK4" s="99" t="s">
        <v>355</v>
      </c>
      <c r="AL4" s="41">
        <v>1</v>
      </c>
      <c r="AM4" s="41">
        <v>0</v>
      </c>
      <c r="AN4" s="70">
        <v>100</v>
      </c>
      <c r="AO4" s="99" t="s">
        <v>350</v>
      </c>
    </row>
    <row r="5" spans="1:41" s="42" customFormat="1" ht="249.75" customHeight="1" x14ac:dyDescent="0.4">
      <c r="A5" s="136"/>
      <c r="B5" s="138"/>
      <c r="C5" s="136"/>
      <c r="D5" s="136"/>
      <c r="E5" s="39" t="s">
        <v>156</v>
      </c>
      <c r="F5" s="34" t="s">
        <v>12</v>
      </c>
      <c r="G5" s="29" t="s">
        <v>141</v>
      </c>
      <c r="H5" s="34" t="s">
        <v>41</v>
      </c>
      <c r="I5" s="79" t="s">
        <v>218</v>
      </c>
      <c r="J5" s="55" t="s">
        <v>74</v>
      </c>
      <c r="K5" s="55" t="s">
        <v>75</v>
      </c>
      <c r="L5" s="41">
        <v>1</v>
      </c>
      <c r="M5" s="41">
        <v>0</v>
      </c>
      <c r="N5" s="48">
        <f t="shared" ref="N5:N42" si="0">(M5/L5)*100</f>
        <v>0</v>
      </c>
      <c r="O5" s="41"/>
      <c r="P5" s="41"/>
      <c r="Q5" s="58" t="s">
        <v>260</v>
      </c>
      <c r="R5" s="41">
        <v>1</v>
      </c>
      <c r="S5" s="41">
        <v>0</v>
      </c>
      <c r="T5" s="41">
        <f t="shared" ref="T5:T42" si="1">(S5/R5)*100</f>
        <v>0</v>
      </c>
      <c r="U5" s="41"/>
      <c r="V5" s="46">
        <v>0</v>
      </c>
      <c r="W5" s="58" t="s">
        <v>260</v>
      </c>
      <c r="X5" s="41">
        <v>1</v>
      </c>
      <c r="Y5" s="41">
        <v>0.2</v>
      </c>
      <c r="Z5" s="64">
        <f>(Y5/X5)*100</f>
        <v>20</v>
      </c>
      <c r="AA5" s="67">
        <v>1320000</v>
      </c>
      <c r="AB5" s="46">
        <v>1320000</v>
      </c>
      <c r="AC5" s="60">
        <f>AA5/AB5</f>
        <v>1</v>
      </c>
      <c r="AD5" s="105" t="s">
        <v>385</v>
      </c>
      <c r="AE5" s="41">
        <v>1</v>
      </c>
      <c r="AF5" s="41">
        <v>0.3</v>
      </c>
      <c r="AG5" s="64">
        <f>(AF5/AE5)*100</f>
        <v>30</v>
      </c>
      <c r="AH5" s="72">
        <f>360000+360000+360000+360000</f>
        <v>1440000</v>
      </c>
      <c r="AI5" s="72">
        <f>360000+360000+360000+360000</f>
        <v>1440000</v>
      </c>
      <c r="AJ5" s="60">
        <f t="shared" ref="AJ5:AJ36" si="2">+(AI5/AH5)</f>
        <v>1</v>
      </c>
      <c r="AK5" s="99" t="s">
        <v>323</v>
      </c>
      <c r="AL5" s="41">
        <v>1</v>
      </c>
      <c r="AM5" s="41">
        <v>0.3</v>
      </c>
      <c r="AN5" s="70">
        <v>30</v>
      </c>
      <c r="AO5" s="99" t="s">
        <v>331</v>
      </c>
    </row>
    <row r="6" spans="1:41" s="42" customFormat="1" ht="409.6" customHeight="1" x14ac:dyDescent="0.4">
      <c r="A6" s="136" t="s">
        <v>13</v>
      </c>
      <c r="B6" s="139" t="s">
        <v>14</v>
      </c>
      <c r="C6" s="140" t="s">
        <v>145</v>
      </c>
      <c r="D6" s="140" t="s">
        <v>15</v>
      </c>
      <c r="E6" s="140" t="s">
        <v>157</v>
      </c>
      <c r="F6" s="143" t="s">
        <v>16</v>
      </c>
      <c r="G6" s="37" t="s">
        <v>142</v>
      </c>
      <c r="H6" s="35" t="s">
        <v>51</v>
      </c>
      <c r="I6" s="80" t="s">
        <v>67</v>
      </c>
      <c r="J6" s="56" t="s">
        <v>76</v>
      </c>
      <c r="K6" s="56" t="s">
        <v>77</v>
      </c>
      <c r="L6" s="41">
        <v>24</v>
      </c>
      <c r="M6" s="41">
        <v>0</v>
      </c>
      <c r="N6" s="49">
        <f t="shared" si="0"/>
        <v>0</v>
      </c>
      <c r="O6" s="41"/>
      <c r="P6" s="41"/>
      <c r="Q6" s="58" t="s">
        <v>260</v>
      </c>
      <c r="R6" s="41">
        <v>24</v>
      </c>
      <c r="S6" s="41">
        <v>0</v>
      </c>
      <c r="T6" s="44">
        <f t="shared" si="1"/>
        <v>0</v>
      </c>
      <c r="U6" s="41"/>
      <c r="V6" s="46">
        <v>463750</v>
      </c>
      <c r="W6" s="58" t="s">
        <v>260</v>
      </c>
      <c r="X6" s="41">
        <v>24</v>
      </c>
      <c r="Y6" s="41">
        <v>20</v>
      </c>
      <c r="Z6" s="64">
        <f>(Y6/X6)*100</f>
        <v>83.333333333333343</v>
      </c>
      <c r="AA6" s="67">
        <f>4861983+1100000+865500+463750</f>
        <v>7291233</v>
      </c>
      <c r="AB6" s="46">
        <f>655166+1100000+865500+463750</f>
        <v>3084416</v>
      </c>
      <c r="AC6" s="60">
        <f>AB6/AA6</f>
        <v>0.42303078231075597</v>
      </c>
      <c r="AD6" s="104" t="s">
        <v>317</v>
      </c>
      <c r="AE6" s="41">
        <v>24</v>
      </c>
      <c r="AF6" s="41">
        <v>13</v>
      </c>
      <c r="AG6" s="64">
        <f t="shared" ref="AG6:AG42" si="3">(AF6/AE6)*100</f>
        <v>54.166666666666664</v>
      </c>
      <c r="AH6" s="72">
        <f>360000+320000+320000+233333</f>
        <v>1233333</v>
      </c>
      <c r="AI6" s="72">
        <f>360000+320000+320000+233333</f>
        <v>1233333</v>
      </c>
      <c r="AJ6" s="60">
        <f t="shared" si="2"/>
        <v>1</v>
      </c>
      <c r="AK6" s="100" t="s">
        <v>375</v>
      </c>
      <c r="AL6" s="53">
        <v>24</v>
      </c>
      <c r="AM6" s="53">
        <f>(Y6+AF6)/2</f>
        <v>16.5</v>
      </c>
      <c r="AN6" s="70">
        <f>AM6/AL6*100</f>
        <v>68.75</v>
      </c>
      <c r="AO6" s="99" t="s">
        <v>403</v>
      </c>
    </row>
    <row r="7" spans="1:41" s="42" customFormat="1" ht="259.5" customHeight="1" x14ac:dyDescent="0.4">
      <c r="A7" s="136"/>
      <c r="B7" s="138"/>
      <c r="C7" s="136"/>
      <c r="D7" s="136"/>
      <c r="E7" s="136"/>
      <c r="F7" s="146"/>
      <c r="G7" s="39" t="s">
        <v>143</v>
      </c>
      <c r="H7" s="34" t="s">
        <v>52</v>
      </c>
      <c r="I7" s="79" t="s">
        <v>219</v>
      </c>
      <c r="J7" s="55" t="s">
        <v>78</v>
      </c>
      <c r="K7" s="55" t="s">
        <v>79</v>
      </c>
      <c r="L7" s="41">
        <v>0</v>
      </c>
      <c r="M7" s="41">
        <v>0</v>
      </c>
      <c r="N7" s="47">
        <v>0</v>
      </c>
      <c r="O7" s="41"/>
      <c r="P7" s="41"/>
      <c r="Q7" s="58" t="s">
        <v>260</v>
      </c>
      <c r="R7" s="41">
        <v>1</v>
      </c>
      <c r="S7" s="41">
        <v>0</v>
      </c>
      <c r="T7" s="44">
        <f t="shared" si="1"/>
        <v>0</v>
      </c>
      <c r="U7" s="41"/>
      <c r="V7" s="46">
        <v>0</v>
      </c>
      <c r="W7" s="58" t="s">
        <v>260</v>
      </c>
      <c r="X7" s="41">
        <v>1</v>
      </c>
      <c r="Y7" s="41">
        <v>0</v>
      </c>
      <c r="Z7" s="64">
        <v>0</v>
      </c>
      <c r="AA7" s="67">
        <v>0</v>
      </c>
      <c r="AB7" s="46">
        <v>0</v>
      </c>
      <c r="AC7" s="60">
        <v>0</v>
      </c>
      <c r="AD7" s="104" t="s">
        <v>404</v>
      </c>
      <c r="AE7" s="53">
        <v>0</v>
      </c>
      <c r="AF7" s="41">
        <v>0</v>
      </c>
      <c r="AG7" s="64">
        <v>0</v>
      </c>
      <c r="AH7" s="72">
        <v>0</v>
      </c>
      <c r="AI7" s="72">
        <v>0</v>
      </c>
      <c r="AJ7" s="60">
        <v>0</v>
      </c>
      <c r="AK7" s="100" t="s">
        <v>324</v>
      </c>
      <c r="AL7" s="41">
        <v>1</v>
      </c>
      <c r="AM7" s="41">
        <v>0</v>
      </c>
      <c r="AN7" s="70">
        <v>0</v>
      </c>
      <c r="AO7" s="100" t="s">
        <v>396</v>
      </c>
    </row>
    <row r="8" spans="1:41" s="42" customFormat="1" ht="393.75" customHeight="1" x14ac:dyDescent="0.4">
      <c r="A8" s="136"/>
      <c r="B8" s="138"/>
      <c r="C8" s="136"/>
      <c r="D8" s="136"/>
      <c r="E8" s="136" t="s">
        <v>158</v>
      </c>
      <c r="F8" s="146" t="s">
        <v>42</v>
      </c>
      <c r="G8" s="39" t="s">
        <v>171</v>
      </c>
      <c r="H8" s="34" t="s">
        <v>43</v>
      </c>
      <c r="I8" s="79" t="s">
        <v>220</v>
      </c>
      <c r="J8" s="55" t="s">
        <v>80</v>
      </c>
      <c r="K8" s="55" t="s">
        <v>79</v>
      </c>
      <c r="L8" s="41">
        <v>1</v>
      </c>
      <c r="M8" s="41">
        <v>1</v>
      </c>
      <c r="N8" s="47">
        <f t="shared" si="0"/>
        <v>100</v>
      </c>
      <c r="O8" s="41"/>
      <c r="P8" s="41"/>
      <c r="Q8" s="58" t="s">
        <v>261</v>
      </c>
      <c r="R8" s="41">
        <v>1</v>
      </c>
      <c r="S8" s="41">
        <v>1</v>
      </c>
      <c r="T8" s="44">
        <f t="shared" si="1"/>
        <v>100</v>
      </c>
      <c r="U8" s="41"/>
      <c r="V8" s="46">
        <v>1889580</v>
      </c>
      <c r="W8" s="59" t="s">
        <v>267</v>
      </c>
      <c r="X8" s="41">
        <v>1</v>
      </c>
      <c r="Y8" s="41">
        <v>1</v>
      </c>
      <c r="Z8" s="64">
        <v>100</v>
      </c>
      <c r="AA8" s="67">
        <f>4403400+733333+ 865500+463750</f>
        <v>6465983</v>
      </c>
      <c r="AB8" s="46">
        <f>1742277+733333+ 865500+463750</f>
        <v>3804860</v>
      </c>
      <c r="AC8" s="62">
        <v>0.4</v>
      </c>
      <c r="AD8" s="104" t="s">
        <v>309</v>
      </c>
      <c r="AE8" s="41">
        <v>1</v>
      </c>
      <c r="AF8" s="41">
        <v>1</v>
      </c>
      <c r="AG8" s="64">
        <f t="shared" si="3"/>
        <v>100</v>
      </c>
      <c r="AH8" s="72">
        <f>360000+320000+233333</f>
        <v>913333</v>
      </c>
      <c r="AI8" s="72">
        <f>360000+320000+233333</f>
        <v>913333</v>
      </c>
      <c r="AJ8" s="60">
        <f t="shared" si="2"/>
        <v>1</v>
      </c>
      <c r="AK8" s="99" t="s">
        <v>351</v>
      </c>
      <c r="AL8" s="41">
        <v>1</v>
      </c>
      <c r="AM8" s="41">
        <v>1</v>
      </c>
      <c r="AN8" s="70">
        <f t="shared" ref="AN8:AN25" si="4">(N8+T8+Z8+AG8)/4</f>
        <v>100</v>
      </c>
      <c r="AO8" s="99" t="s">
        <v>333</v>
      </c>
    </row>
    <row r="9" spans="1:41" s="42" customFormat="1" ht="213" customHeight="1" x14ac:dyDescent="0.4">
      <c r="A9" s="136"/>
      <c r="B9" s="138"/>
      <c r="C9" s="136"/>
      <c r="D9" s="136"/>
      <c r="E9" s="136"/>
      <c r="F9" s="146"/>
      <c r="G9" s="39" t="s">
        <v>172</v>
      </c>
      <c r="H9" s="34" t="s">
        <v>44</v>
      </c>
      <c r="I9" s="79" t="s">
        <v>221</v>
      </c>
      <c r="J9" s="55" t="s">
        <v>81</v>
      </c>
      <c r="K9" s="55" t="s">
        <v>79</v>
      </c>
      <c r="L9" s="41">
        <v>1</v>
      </c>
      <c r="M9" s="41">
        <v>1</v>
      </c>
      <c r="N9" s="47">
        <f t="shared" si="0"/>
        <v>100</v>
      </c>
      <c r="O9" s="41"/>
      <c r="P9" s="41"/>
      <c r="Q9" s="58" t="s">
        <v>352</v>
      </c>
      <c r="R9" s="41">
        <v>1</v>
      </c>
      <c r="S9" s="41">
        <v>1</v>
      </c>
      <c r="T9" s="44">
        <f t="shared" si="1"/>
        <v>100</v>
      </c>
      <c r="U9" s="41"/>
      <c r="V9" s="46">
        <v>1803117</v>
      </c>
      <c r="W9" s="59" t="s">
        <v>353</v>
      </c>
      <c r="X9" s="41">
        <v>1</v>
      </c>
      <c r="Y9" s="41">
        <v>1</v>
      </c>
      <c r="Z9" s="64">
        <f t="shared" ref="Z9:Z41" si="5">(Y9/X9)*100</f>
        <v>100</v>
      </c>
      <c r="AA9" s="67">
        <v>0</v>
      </c>
      <c r="AB9" s="46">
        <v>0</v>
      </c>
      <c r="AC9" s="60">
        <v>0</v>
      </c>
      <c r="AD9" s="106" t="s">
        <v>298</v>
      </c>
      <c r="AE9" s="31">
        <v>1</v>
      </c>
      <c r="AF9" s="31">
        <v>1</v>
      </c>
      <c r="AG9" s="64">
        <f t="shared" si="3"/>
        <v>100</v>
      </c>
      <c r="AH9" s="73">
        <v>0</v>
      </c>
      <c r="AI9" s="73">
        <v>0</v>
      </c>
      <c r="AJ9" s="60">
        <v>0</v>
      </c>
      <c r="AK9" s="34" t="s">
        <v>298</v>
      </c>
      <c r="AL9" s="31">
        <v>1</v>
      </c>
      <c r="AM9" s="31">
        <v>1</v>
      </c>
      <c r="AN9" s="70">
        <f t="shared" si="4"/>
        <v>100</v>
      </c>
      <c r="AO9" s="99" t="s">
        <v>334</v>
      </c>
    </row>
    <row r="10" spans="1:41" s="96" customFormat="1" ht="280.5" x14ac:dyDescent="0.4">
      <c r="A10" s="136"/>
      <c r="B10" s="138"/>
      <c r="C10" s="136" t="s">
        <v>146</v>
      </c>
      <c r="D10" s="136" t="s">
        <v>17</v>
      </c>
      <c r="E10" s="136" t="s">
        <v>159</v>
      </c>
      <c r="F10" s="146" t="s">
        <v>18</v>
      </c>
      <c r="G10" s="83" t="s">
        <v>173</v>
      </c>
      <c r="H10" s="84" t="s">
        <v>53</v>
      </c>
      <c r="I10" s="85" t="s">
        <v>47</v>
      </c>
      <c r="J10" s="86" t="s">
        <v>82</v>
      </c>
      <c r="K10" s="86" t="s">
        <v>95</v>
      </c>
      <c r="L10" s="53">
        <v>12</v>
      </c>
      <c r="M10" s="53">
        <v>12</v>
      </c>
      <c r="N10" s="87">
        <f t="shared" si="0"/>
        <v>100</v>
      </c>
      <c r="O10" s="53"/>
      <c r="P10" s="53"/>
      <c r="Q10" s="88" t="s">
        <v>275</v>
      </c>
      <c r="R10" s="53">
        <v>12</v>
      </c>
      <c r="S10" s="53">
        <v>2</v>
      </c>
      <c r="T10" s="89">
        <f t="shared" si="1"/>
        <v>16.666666666666664</v>
      </c>
      <c r="U10" s="53"/>
      <c r="V10" s="90">
        <v>5539767</v>
      </c>
      <c r="W10" s="91" t="s">
        <v>354</v>
      </c>
      <c r="X10" s="53">
        <v>2</v>
      </c>
      <c r="Y10" s="53">
        <v>10</v>
      </c>
      <c r="Z10" s="92">
        <v>100</v>
      </c>
      <c r="AA10" s="93">
        <v>2536457</v>
      </c>
      <c r="AB10" s="90">
        <v>2169791</v>
      </c>
      <c r="AC10" s="87">
        <f t="shared" ref="AC10:AC39" si="6">AB10/AA10</f>
        <v>0.85544166528350374</v>
      </c>
      <c r="AD10" s="104" t="s">
        <v>318</v>
      </c>
      <c r="AE10" s="53">
        <v>12</v>
      </c>
      <c r="AF10" s="53">
        <v>5</v>
      </c>
      <c r="AG10" s="64">
        <f t="shared" si="3"/>
        <v>41.666666666666671</v>
      </c>
      <c r="AH10" s="95">
        <f>360000+360000</f>
        <v>720000</v>
      </c>
      <c r="AI10" s="95">
        <f>360000+360000</f>
        <v>720000</v>
      </c>
      <c r="AJ10" s="60">
        <f t="shared" si="2"/>
        <v>1</v>
      </c>
      <c r="AK10" s="100" t="s">
        <v>377</v>
      </c>
      <c r="AL10" s="53">
        <v>12</v>
      </c>
      <c r="AM10" s="53">
        <f>(AF10+Y10+M10+S10)/4</f>
        <v>7.25</v>
      </c>
      <c r="AN10" s="87">
        <f>+(AM10/AL10)*100</f>
        <v>60.416666666666664</v>
      </c>
      <c r="AO10" s="100" t="s">
        <v>374</v>
      </c>
    </row>
    <row r="11" spans="1:41" s="42" customFormat="1" ht="408.75" customHeight="1" x14ac:dyDescent="0.4">
      <c r="A11" s="136"/>
      <c r="B11" s="138"/>
      <c r="C11" s="136"/>
      <c r="D11" s="136"/>
      <c r="E11" s="136"/>
      <c r="F11" s="146"/>
      <c r="G11" s="39" t="s">
        <v>174</v>
      </c>
      <c r="H11" s="34" t="s">
        <v>202</v>
      </c>
      <c r="I11" s="79" t="s">
        <v>54</v>
      </c>
      <c r="J11" s="55" t="s">
        <v>84</v>
      </c>
      <c r="K11" s="55" t="s">
        <v>97</v>
      </c>
      <c r="L11" s="41">
        <v>1</v>
      </c>
      <c r="M11" s="41">
        <v>1</v>
      </c>
      <c r="N11" s="47">
        <f t="shared" si="0"/>
        <v>100</v>
      </c>
      <c r="O11" s="41"/>
      <c r="P11" s="41"/>
      <c r="Q11" s="58" t="s">
        <v>262</v>
      </c>
      <c r="R11" s="41">
        <v>1</v>
      </c>
      <c r="S11" s="41">
        <v>0</v>
      </c>
      <c r="T11" s="44">
        <v>0</v>
      </c>
      <c r="U11" s="41"/>
      <c r="V11" s="46">
        <v>7253333</v>
      </c>
      <c r="W11" s="58" t="s">
        <v>260</v>
      </c>
      <c r="X11" s="41">
        <v>1</v>
      </c>
      <c r="Y11" s="41">
        <v>1</v>
      </c>
      <c r="Z11" s="64">
        <f t="shared" si="5"/>
        <v>100</v>
      </c>
      <c r="AA11" s="67">
        <f>500000+8100000</f>
        <v>8600000</v>
      </c>
      <c r="AB11" s="67">
        <f>500000+1250000</f>
        <v>1750000</v>
      </c>
      <c r="AC11" s="60">
        <f t="shared" si="6"/>
        <v>0.20348837209302326</v>
      </c>
      <c r="AD11" s="104" t="s">
        <v>386</v>
      </c>
      <c r="AE11" s="41">
        <v>1</v>
      </c>
      <c r="AF11" s="41">
        <v>0</v>
      </c>
      <c r="AG11" s="64">
        <f t="shared" si="3"/>
        <v>0</v>
      </c>
      <c r="AH11" s="72">
        <v>0</v>
      </c>
      <c r="AI11" s="95">
        <v>0</v>
      </c>
      <c r="AJ11" s="60">
        <v>0</v>
      </c>
      <c r="AK11" s="99" t="s">
        <v>304</v>
      </c>
      <c r="AL11" s="53">
        <v>1</v>
      </c>
      <c r="AM11" s="53">
        <f>(M11+S11+Y11+AF11)/4</f>
        <v>0.5</v>
      </c>
      <c r="AN11" s="82">
        <f t="shared" si="4"/>
        <v>50</v>
      </c>
      <c r="AO11" s="99" t="s">
        <v>335</v>
      </c>
    </row>
    <row r="12" spans="1:41" s="42" customFormat="1" ht="216.75" customHeight="1" x14ac:dyDescent="0.4">
      <c r="A12" s="136"/>
      <c r="B12" s="138"/>
      <c r="C12" s="136"/>
      <c r="D12" s="136"/>
      <c r="E12" s="136" t="s">
        <v>160</v>
      </c>
      <c r="F12" s="146" t="s">
        <v>19</v>
      </c>
      <c r="G12" s="137" t="s">
        <v>175</v>
      </c>
      <c r="H12" s="141" t="s">
        <v>45</v>
      </c>
      <c r="I12" s="78" t="s">
        <v>55</v>
      </c>
      <c r="J12" s="55" t="s">
        <v>85</v>
      </c>
      <c r="K12" s="55" t="s">
        <v>83</v>
      </c>
      <c r="L12" s="41">
        <v>1</v>
      </c>
      <c r="M12" s="41">
        <v>1</v>
      </c>
      <c r="N12" s="47">
        <f t="shared" si="0"/>
        <v>100</v>
      </c>
      <c r="O12" s="41"/>
      <c r="P12" s="41"/>
      <c r="Q12" s="59" t="s">
        <v>252</v>
      </c>
      <c r="R12" s="41">
        <v>1</v>
      </c>
      <c r="S12" s="41">
        <v>1</v>
      </c>
      <c r="T12" s="44">
        <f t="shared" si="1"/>
        <v>100</v>
      </c>
      <c r="U12" s="41"/>
      <c r="V12" s="46">
        <v>0</v>
      </c>
      <c r="W12" s="59" t="s">
        <v>252</v>
      </c>
      <c r="X12" s="41">
        <v>1</v>
      </c>
      <c r="Y12" s="41">
        <v>1</v>
      </c>
      <c r="Z12" s="64">
        <f t="shared" si="5"/>
        <v>100</v>
      </c>
      <c r="AA12" s="67">
        <v>0</v>
      </c>
      <c r="AB12" s="46">
        <v>0</v>
      </c>
      <c r="AC12" s="60">
        <v>0</v>
      </c>
      <c r="AD12" s="104" t="s">
        <v>252</v>
      </c>
      <c r="AE12" s="41">
        <v>1</v>
      </c>
      <c r="AF12" s="41">
        <v>1</v>
      </c>
      <c r="AG12" s="64">
        <f t="shared" si="3"/>
        <v>100</v>
      </c>
      <c r="AH12" s="72">
        <v>0</v>
      </c>
      <c r="AI12" s="72">
        <v>0</v>
      </c>
      <c r="AJ12" s="60">
        <v>0</v>
      </c>
      <c r="AK12" s="99" t="s">
        <v>252</v>
      </c>
      <c r="AL12" s="41">
        <v>1</v>
      </c>
      <c r="AM12" s="41">
        <v>1</v>
      </c>
      <c r="AN12" s="70">
        <f t="shared" si="4"/>
        <v>100</v>
      </c>
      <c r="AO12" s="99" t="s">
        <v>336</v>
      </c>
    </row>
    <row r="13" spans="1:41" s="42" customFormat="1" ht="267.75" customHeight="1" x14ac:dyDescent="0.4">
      <c r="A13" s="136"/>
      <c r="B13" s="138"/>
      <c r="C13" s="136"/>
      <c r="D13" s="136"/>
      <c r="E13" s="136"/>
      <c r="F13" s="146"/>
      <c r="G13" s="140"/>
      <c r="H13" s="143"/>
      <c r="I13" s="79" t="s">
        <v>222</v>
      </c>
      <c r="J13" s="55" t="s">
        <v>86</v>
      </c>
      <c r="K13" s="55" t="s">
        <v>95</v>
      </c>
      <c r="L13" s="41">
        <v>1</v>
      </c>
      <c r="M13" s="41">
        <v>1</v>
      </c>
      <c r="N13" s="47">
        <f t="shared" si="0"/>
        <v>100</v>
      </c>
      <c r="O13" s="41"/>
      <c r="P13" s="41"/>
      <c r="Q13" s="58" t="s">
        <v>276</v>
      </c>
      <c r="R13" s="41">
        <v>1</v>
      </c>
      <c r="S13" s="41">
        <v>1</v>
      </c>
      <c r="T13" s="44">
        <f t="shared" si="1"/>
        <v>100</v>
      </c>
      <c r="U13" s="41"/>
      <c r="V13" s="46">
        <v>280000</v>
      </c>
      <c r="W13" s="59" t="s">
        <v>268</v>
      </c>
      <c r="X13" s="41">
        <v>1</v>
      </c>
      <c r="Y13" s="41">
        <v>1</v>
      </c>
      <c r="Z13" s="64">
        <f t="shared" si="5"/>
        <v>100</v>
      </c>
      <c r="AA13" s="67">
        <v>0</v>
      </c>
      <c r="AB13" s="46">
        <v>0</v>
      </c>
      <c r="AC13" s="60">
        <v>0</v>
      </c>
      <c r="AD13" s="104" t="s">
        <v>308</v>
      </c>
      <c r="AE13" s="41">
        <v>1</v>
      </c>
      <c r="AF13" s="53">
        <v>1</v>
      </c>
      <c r="AG13" s="64">
        <f t="shared" si="3"/>
        <v>100</v>
      </c>
      <c r="AH13" s="72">
        <v>0</v>
      </c>
      <c r="AI13" s="72">
        <v>0</v>
      </c>
      <c r="AJ13" s="60">
        <v>0</v>
      </c>
      <c r="AK13" s="94" t="s">
        <v>380</v>
      </c>
      <c r="AL13" s="53">
        <v>1</v>
      </c>
      <c r="AM13" s="53">
        <f>(M13+S13+Y13+AF13)/4</f>
        <v>1</v>
      </c>
      <c r="AN13" s="70">
        <f>AM13/AL13*100</f>
        <v>100</v>
      </c>
      <c r="AO13" s="100" t="s">
        <v>337</v>
      </c>
    </row>
    <row r="14" spans="1:41" s="42" customFormat="1" ht="348.75" customHeight="1" x14ac:dyDescent="0.4">
      <c r="A14" s="136"/>
      <c r="B14" s="138"/>
      <c r="C14" s="136" t="s">
        <v>147</v>
      </c>
      <c r="D14" s="136" t="s">
        <v>20</v>
      </c>
      <c r="E14" s="136" t="s">
        <v>161</v>
      </c>
      <c r="F14" s="146" t="s">
        <v>21</v>
      </c>
      <c r="G14" s="39" t="s">
        <v>176</v>
      </c>
      <c r="H14" s="34" t="s">
        <v>128</v>
      </c>
      <c r="I14" s="79" t="s">
        <v>129</v>
      </c>
      <c r="J14" s="55" t="s">
        <v>87</v>
      </c>
      <c r="K14" s="55" t="s">
        <v>88</v>
      </c>
      <c r="L14" s="41">
        <v>1</v>
      </c>
      <c r="M14" s="41">
        <v>0</v>
      </c>
      <c r="N14" s="47">
        <f t="shared" si="0"/>
        <v>0</v>
      </c>
      <c r="O14" s="41"/>
      <c r="P14" s="41"/>
      <c r="Q14" s="58" t="s">
        <v>263</v>
      </c>
      <c r="R14" s="41">
        <v>1</v>
      </c>
      <c r="S14" s="41">
        <v>0</v>
      </c>
      <c r="T14" s="44">
        <f t="shared" si="1"/>
        <v>0</v>
      </c>
      <c r="U14" s="41"/>
      <c r="V14" s="46">
        <v>143000000</v>
      </c>
      <c r="W14" s="58" t="s">
        <v>260</v>
      </c>
      <c r="X14" s="41">
        <v>100</v>
      </c>
      <c r="Y14" s="41">
        <v>100</v>
      </c>
      <c r="Z14" s="64">
        <f t="shared" si="5"/>
        <v>100</v>
      </c>
      <c r="AA14" s="67">
        <v>7000000</v>
      </c>
      <c r="AB14" s="46">
        <v>7000000</v>
      </c>
      <c r="AC14" s="60">
        <f>AB14/AA14</f>
        <v>1</v>
      </c>
      <c r="AD14" s="105" t="s">
        <v>387</v>
      </c>
      <c r="AE14" s="65">
        <v>1</v>
      </c>
      <c r="AF14" s="65">
        <v>1</v>
      </c>
      <c r="AG14" s="64">
        <f t="shared" si="3"/>
        <v>100</v>
      </c>
      <c r="AH14" s="72">
        <f>9600000</f>
        <v>9600000</v>
      </c>
      <c r="AI14" s="72">
        <f>3200000</f>
        <v>3200000</v>
      </c>
      <c r="AJ14" s="60">
        <f t="shared" si="2"/>
        <v>0.33333333333333331</v>
      </c>
      <c r="AK14" s="100" t="s">
        <v>314</v>
      </c>
      <c r="AL14" s="65">
        <v>1</v>
      </c>
      <c r="AM14" s="65">
        <v>1</v>
      </c>
      <c r="AN14" s="70">
        <f>AM14/AL14*100</f>
        <v>100</v>
      </c>
      <c r="AO14" s="99" t="s">
        <v>338</v>
      </c>
    </row>
    <row r="15" spans="1:41" s="42" customFormat="1" ht="266.25" customHeight="1" x14ac:dyDescent="0.4">
      <c r="A15" s="136"/>
      <c r="B15" s="138"/>
      <c r="C15" s="136"/>
      <c r="D15" s="136"/>
      <c r="E15" s="136"/>
      <c r="F15" s="146"/>
      <c r="G15" s="39" t="s">
        <v>177</v>
      </c>
      <c r="H15" s="34" t="s">
        <v>46</v>
      </c>
      <c r="I15" s="79" t="s">
        <v>130</v>
      </c>
      <c r="J15" s="55" t="s">
        <v>89</v>
      </c>
      <c r="K15" s="55" t="s">
        <v>96</v>
      </c>
      <c r="L15" s="41">
        <v>1</v>
      </c>
      <c r="M15" s="41">
        <v>0</v>
      </c>
      <c r="N15" s="47">
        <f t="shared" si="0"/>
        <v>0</v>
      </c>
      <c r="O15" s="41"/>
      <c r="P15" s="41"/>
      <c r="Q15" s="58" t="s">
        <v>260</v>
      </c>
      <c r="R15" s="41">
        <v>12</v>
      </c>
      <c r="S15" s="41">
        <v>2</v>
      </c>
      <c r="T15" s="45">
        <f t="shared" si="1"/>
        <v>16.666666666666664</v>
      </c>
      <c r="U15" s="41"/>
      <c r="V15" s="46">
        <v>5164321</v>
      </c>
      <c r="W15" s="59" t="s">
        <v>286</v>
      </c>
      <c r="X15" s="65">
        <v>1</v>
      </c>
      <c r="Y15" s="65">
        <v>1</v>
      </c>
      <c r="Z15" s="64">
        <f>(Y15/X15)*100</f>
        <v>100</v>
      </c>
      <c r="AA15" s="67">
        <v>7000000</v>
      </c>
      <c r="AB15" s="46">
        <v>7000000</v>
      </c>
      <c r="AC15" s="60">
        <f>AB15/AA15</f>
        <v>1</v>
      </c>
      <c r="AD15" s="104" t="s">
        <v>388</v>
      </c>
      <c r="AE15" s="65">
        <v>1</v>
      </c>
      <c r="AF15" s="65">
        <v>1</v>
      </c>
      <c r="AG15" s="64">
        <f t="shared" si="3"/>
        <v>100</v>
      </c>
      <c r="AH15" s="72">
        <f>200000</f>
        <v>200000</v>
      </c>
      <c r="AI15" s="72">
        <f>200000</f>
        <v>200000</v>
      </c>
      <c r="AJ15" s="60">
        <f t="shared" si="2"/>
        <v>1</v>
      </c>
      <c r="AK15" s="100" t="s">
        <v>397</v>
      </c>
      <c r="AL15" s="65">
        <v>1</v>
      </c>
      <c r="AM15" s="75">
        <f>(AF15+Y15+S15+M15)/4</f>
        <v>1</v>
      </c>
      <c r="AN15" s="70">
        <f>AM15/AL15*100</f>
        <v>100</v>
      </c>
      <c r="AO15" s="100" t="s">
        <v>398</v>
      </c>
    </row>
    <row r="16" spans="1:41" s="42" customFormat="1" ht="204.75" customHeight="1" x14ac:dyDescent="0.4">
      <c r="A16" s="136"/>
      <c r="B16" s="138"/>
      <c r="C16" s="136"/>
      <c r="D16" s="136"/>
      <c r="E16" s="39" t="s">
        <v>162</v>
      </c>
      <c r="F16" s="36" t="s">
        <v>22</v>
      </c>
      <c r="G16" s="38" t="s">
        <v>178</v>
      </c>
      <c r="H16" s="36" t="s">
        <v>203</v>
      </c>
      <c r="I16" s="78" t="s">
        <v>223</v>
      </c>
      <c r="J16" s="55" t="s">
        <v>90</v>
      </c>
      <c r="K16" s="55" t="s">
        <v>91</v>
      </c>
      <c r="L16" s="41">
        <v>0</v>
      </c>
      <c r="M16" s="41">
        <v>0</v>
      </c>
      <c r="N16" s="50">
        <v>0</v>
      </c>
      <c r="O16" s="41"/>
      <c r="P16" s="41"/>
      <c r="Q16" s="58" t="s">
        <v>277</v>
      </c>
      <c r="R16" s="41">
        <v>12</v>
      </c>
      <c r="S16" s="41">
        <v>0</v>
      </c>
      <c r="T16" s="44">
        <f t="shared" si="1"/>
        <v>0</v>
      </c>
      <c r="U16" s="41"/>
      <c r="V16" s="46">
        <v>3000000</v>
      </c>
      <c r="W16" s="59" t="s">
        <v>260</v>
      </c>
      <c r="X16" s="65">
        <v>1</v>
      </c>
      <c r="Y16" s="65">
        <v>1</v>
      </c>
      <c r="Z16" s="64">
        <f>(Y16/X16)*100</f>
        <v>100</v>
      </c>
      <c r="AA16" s="67">
        <v>7000000</v>
      </c>
      <c r="AB16" s="67">
        <v>7000000</v>
      </c>
      <c r="AC16" s="60">
        <f t="shared" si="6"/>
        <v>1</v>
      </c>
      <c r="AD16" s="104" t="s">
        <v>389</v>
      </c>
      <c r="AE16" s="65">
        <v>1</v>
      </c>
      <c r="AF16" s="65">
        <v>1</v>
      </c>
      <c r="AG16" s="64">
        <f t="shared" si="3"/>
        <v>100</v>
      </c>
      <c r="AH16" s="72">
        <f>9600000</f>
        <v>9600000</v>
      </c>
      <c r="AI16" s="72">
        <f>3200000</f>
        <v>3200000</v>
      </c>
      <c r="AJ16" s="60">
        <f t="shared" si="2"/>
        <v>0.33333333333333331</v>
      </c>
      <c r="AK16" s="99" t="s">
        <v>356</v>
      </c>
      <c r="AL16" s="65">
        <v>1</v>
      </c>
      <c r="AM16" s="65">
        <v>1</v>
      </c>
      <c r="AN16" s="70">
        <f>AM16/AL16*100</f>
        <v>100</v>
      </c>
      <c r="AO16" s="99" t="s">
        <v>356</v>
      </c>
    </row>
    <row r="17" spans="1:41" s="96" customFormat="1" ht="409.5" customHeight="1" x14ac:dyDescent="0.4">
      <c r="A17" s="137" t="s">
        <v>23</v>
      </c>
      <c r="B17" s="137" t="s">
        <v>24</v>
      </c>
      <c r="C17" s="136" t="s">
        <v>148</v>
      </c>
      <c r="D17" s="137" t="s">
        <v>25</v>
      </c>
      <c r="E17" s="136" t="s">
        <v>163</v>
      </c>
      <c r="F17" s="141" t="s">
        <v>26</v>
      </c>
      <c r="G17" s="137" t="s">
        <v>179</v>
      </c>
      <c r="H17" s="146" t="s">
        <v>57</v>
      </c>
      <c r="I17" s="85" t="s">
        <v>58</v>
      </c>
      <c r="J17" s="86" t="s">
        <v>92</v>
      </c>
      <c r="K17" s="86" t="s">
        <v>95</v>
      </c>
      <c r="L17" s="53">
        <v>1</v>
      </c>
      <c r="M17" s="53">
        <v>1</v>
      </c>
      <c r="N17" s="87">
        <f t="shared" si="0"/>
        <v>100</v>
      </c>
      <c r="O17" s="53"/>
      <c r="P17" s="53"/>
      <c r="Q17" s="88" t="s">
        <v>278</v>
      </c>
      <c r="R17" s="53">
        <v>1</v>
      </c>
      <c r="S17" s="53">
        <v>0</v>
      </c>
      <c r="T17" s="53">
        <f t="shared" si="1"/>
        <v>0</v>
      </c>
      <c r="U17" s="53"/>
      <c r="V17" s="97">
        <v>5739187</v>
      </c>
      <c r="W17" s="91" t="s">
        <v>260</v>
      </c>
      <c r="X17" s="53">
        <v>1</v>
      </c>
      <c r="Y17" s="53">
        <v>1</v>
      </c>
      <c r="Z17" s="92">
        <f t="shared" si="5"/>
        <v>100</v>
      </c>
      <c r="AA17" s="93">
        <f>3797819+577000+463750</f>
        <v>4838569</v>
      </c>
      <c r="AB17" s="90">
        <f>2236694+577000+463750</f>
        <v>3277444</v>
      </c>
      <c r="AC17" s="87">
        <f t="shared" si="6"/>
        <v>0.67735811972506743</v>
      </c>
      <c r="AD17" s="104" t="s">
        <v>310</v>
      </c>
      <c r="AE17" s="53">
        <v>1</v>
      </c>
      <c r="AF17" s="53">
        <v>1</v>
      </c>
      <c r="AG17" s="92">
        <f t="shared" si="3"/>
        <v>100</v>
      </c>
      <c r="AH17" s="95">
        <f>360000</f>
        <v>360000</v>
      </c>
      <c r="AI17" s="95">
        <f>360000</f>
        <v>360000</v>
      </c>
      <c r="AJ17" s="60">
        <f t="shared" si="2"/>
        <v>1</v>
      </c>
      <c r="AK17" s="100" t="s">
        <v>381</v>
      </c>
      <c r="AL17" s="53">
        <v>1</v>
      </c>
      <c r="AM17" s="53">
        <f>(M17+S17+Y17+AF17)/4</f>
        <v>0.75</v>
      </c>
      <c r="AN17" s="70">
        <f>AM17/AL17*100</f>
        <v>75</v>
      </c>
      <c r="AO17" s="100" t="s">
        <v>339</v>
      </c>
    </row>
    <row r="18" spans="1:41" s="42" customFormat="1" ht="276.75" customHeight="1" x14ac:dyDescent="0.4">
      <c r="A18" s="135"/>
      <c r="B18" s="135"/>
      <c r="C18" s="136"/>
      <c r="D18" s="135"/>
      <c r="E18" s="136"/>
      <c r="F18" s="142"/>
      <c r="G18" s="140"/>
      <c r="H18" s="146"/>
      <c r="I18" s="79" t="s">
        <v>56</v>
      </c>
      <c r="J18" s="55" t="s">
        <v>92</v>
      </c>
      <c r="K18" s="55" t="s">
        <v>95</v>
      </c>
      <c r="L18" s="41">
        <v>1</v>
      </c>
      <c r="M18" s="41">
        <v>0</v>
      </c>
      <c r="N18" s="47">
        <f t="shared" si="0"/>
        <v>0</v>
      </c>
      <c r="O18" s="41"/>
      <c r="P18" s="41"/>
      <c r="Q18" s="58" t="s">
        <v>260</v>
      </c>
      <c r="R18" s="52">
        <v>1</v>
      </c>
      <c r="S18" s="41">
        <v>0</v>
      </c>
      <c r="T18" s="44">
        <f t="shared" si="1"/>
        <v>0</v>
      </c>
      <c r="U18" s="41"/>
      <c r="V18" s="46">
        <v>1115357</v>
      </c>
      <c r="W18" s="59" t="s">
        <v>260</v>
      </c>
      <c r="X18" s="41">
        <v>1</v>
      </c>
      <c r="Y18" s="41">
        <v>1</v>
      </c>
      <c r="Z18" s="64">
        <f t="shared" si="5"/>
        <v>100</v>
      </c>
      <c r="AA18" s="67">
        <f>4367372+618333</f>
        <v>4985705</v>
      </c>
      <c r="AB18" s="46">
        <f>2593290+618333</f>
        <v>3211623</v>
      </c>
      <c r="AC18" s="60">
        <v>0.59</v>
      </c>
      <c r="AD18" s="104" t="s">
        <v>319</v>
      </c>
      <c r="AE18" s="41">
        <v>1</v>
      </c>
      <c r="AF18" s="41">
        <v>1</v>
      </c>
      <c r="AG18" s="64">
        <f t="shared" si="3"/>
        <v>100</v>
      </c>
      <c r="AH18" s="72">
        <f>320000+320000+233333</f>
        <v>873333</v>
      </c>
      <c r="AI18" s="72">
        <f>320000+320000+233333</f>
        <v>873333</v>
      </c>
      <c r="AJ18" s="60">
        <f t="shared" si="2"/>
        <v>1</v>
      </c>
      <c r="AK18" s="100" t="s">
        <v>376</v>
      </c>
      <c r="AL18" s="53">
        <v>1</v>
      </c>
      <c r="AM18" s="41">
        <f>(M18+S18+Y18+AF18)/4</f>
        <v>0.5</v>
      </c>
      <c r="AN18" s="70">
        <f>+(AM18/AL18)*100</f>
        <v>50</v>
      </c>
      <c r="AO18" s="99" t="s">
        <v>340</v>
      </c>
    </row>
    <row r="19" spans="1:41" s="42" customFormat="1" ht="409.5" customHeight="1" x14ac:dyDescent="0.4">
      <c r="A19" s="135"/>
      <c r="B19" s="135"/>
      <c r="C19" s="136"/>
      <c r="D19" s="135"/>
      <c r="E19" s="136"/>
      <c r="F19" s="142"/>
      <c r="G19" s="39" t="s">
        <v>180</v>
      </c>
      <c r="H19" s="34" t="s">
        <v>131</v>
      </c>
      <c r="I19" s="79" t="s">
        <v>59</v>
      </c>
      <c r="J19" s="55" t="s">
        <v>93</v>
      </c>
      <c r="K19" s="55" t="s">
        <v>94</v>
      </c>
      <c r="L19" s="41">
        <v>1</v>
      </c>
      <c r="M19" s="41">
        <v>1</v>
      </c>
      <c r="N19" s="47">
        <f t="shared" si="0"/>
        <v>100</v>
      </c>
      <c r="O19" s="41"/>
      <c r="P19" s="41"/>
      <c r="Q19" s="58" t="s">
        <v>279</v>
      </c>
      <c r="R19" s="41">
        <v>1</v>
      </c>
      <c r="S19" s="41">
        <v>1</v>
      </c>
      <c r="T19" s="44">
        <f t="shared" si="1"/>
        <v>100</v>
      </c>
      <c r="U19" s="41"/>
      <c r="V19" s="46">
        <v>10624940</v>
      </c>
      <c r="W19" s="59" t="s">
        <v>265</v>
      </c>
      <c r="X19" s="41">
        <v>1</v>
      </c>
      <c r="Y19" s="41">
        <v>1</v>
      </c>
      <c r="Z19" s="64">
        <f t="shared" si="5"/>
        <v>100</v>
      </c>
      <c r="AA19" s="67">
        <v>500000</v>
      </c>
      <c r="AB19" s="67">
        <v>500000</v>
      </c>
      <c r="AC19" s="60">
        <f t="shared" si="6"/>
        <v>1</v>
      </c>
      <c r="AD19" s="104" t="s">
        <v>320</v>
      </c>
      <c r="AE19" s="41">
        <v>1</v>
      </c>
      <c r="AF19" s="41">
        <v>1</v>
      </c>
      <c r="AG19" s="64">
        <f t="shared" si="3"/>
        <v>100</v>
      </c>
      <c r="AH19" s="72">
        <f>27600000+3600000</f>
        <v>31200000</v>
      </c>
      <c r="AI19" s="72">
        <f>2300000+3600000+200000</f>
        <v>6100000</v>
      </c>
      <c r="AJ19" s="60">
        <f t="shared" si="2"/>
        <v>0.19551282051282051</v>
      </c>
      <c r="AK19" s="99" t="s">
        <v>373</v>
      </c>
      <c r="AL19" s="41">
        <v>1</v>
      </c>
      <c r="AM19" s="41">
        <v>1</v>
      </c>
      <c r="AN19" s="70">
        <f t="shared" si="4"/>
        <v>100</v>
      </c>
      <c r="AO19" s="99" t="s">
        <v>362</v>
      </c>
    </row>
    <row r="20" spans="1:41" s="42" customFormat="1" ht="409.5" customHeight="1" x14ac:dyDescent="0.4">
      <c r="A20" s="135"/>
      <c r="B20" s="135"/>
      <c r="C20" s="136"/>
      <c r="D20" s="135"/>
      <c r="E20" s="136"/>
      <c r="F20" s="142"/>
      <c r="G20" s="39" t="s">
        <v>181</v>
      </c>
      <c r="H20" s="34" t="s">
        <v>60</v>
      </c>
      <c r="I20" s="79" t="s">
        <v>132</v>
      </c>
      <c r="J20" s="55" t="s">
        <v>98</v>
      </c>
      <c r="K20" s="55" t="s">
        <v>99</v>
      </c>
      <c r="L20" s="41">
        <v>1</v>
      </c>
      <c r="M20" s="41">
        <v>0</v>
      </c>
      <c r="N20" s="47">
        <f t="shared" si="0"/>
        <v>0</v>
      </c>
      <c r="O20" s="41"/>
      <c r="P20" s="41"/>
      <c r="Q20" s="58" t="s">
        <v>260</v>
      </c>
      <c r="R20" s="41">
        <v>1</v>
      </c>
      <c r="S20" s="41"/>
      <c r="T20" s="44">
        <f t="shared" si="1"/>
        <v>0</v>
      </c>
      <c r="U20" s="41"/>
      <c r="V20" s="46">
        <v>234107</v>
      </c>
      <c r="W20" s="59" t="s">
        <v>260</v>
      </c>
      <c r="X20" s="41">
        <v>1</v>
      </c>
      <c r="Y20" s="41">
        <v>1</v>
      </c>
      <c r="Z20" s="64">
        <f t="shared" si="5"/>
        <v>100</v>
      </c>
      <c r="AA20" s="67">
        <v>0</v>
      </c>
      <c r="AB20" s="46">
        <v>0</v>
      </c>
      <c r="AC20" s="60">
        <v>0</v>
      </c>
      <c r="AD20" s="104" t="s">
        <v>390</v>
      </c>
      <c r="AE20" s="41">
        <v>1</v>
      </c>
      <c r="AF20" s="41">
        <v>0.4</v>
      </c>
      <c r="AG20" s="64">
        <f t="shared" si="3"/>
        <v>40</v>
      </c>
      <c r="AH20" s="72">
        <f>320000</f>
        <v>320000</v>
      </c>
      <c r="AI20" s="72">
        <f>320000</f>
        <v>320000</v>
      </c>
      <c r="AJ20" s="60">
        <f t="shared" si="2"/>
        <v>1</v>
      </c>
      <c r="AK20" s="100" t="s">
        <v>370</v>
      </c>
      <c r="AL20" s="41">
        <v>1</v>
      </c>
      <c r="AM20" s="41">
        <v>0.4</v>
      </c>
      <c r="AN20" s="70">
        <f>AM20/AL20*100</f>
        <v>40</v>
      </c>
      <c r="AO20" s="99" t="s">
        <v>363</v>
      </c>
    </row>
    <row r="21" spans="1:41" s="42" customFormat="1" ht="408.75" customHeight="1" x14ac:dyDescent="0.4">
      <c r="A21" s="135"/>
      <c r="B21" s="135"/>
      <c r="C21" s="136"/>
      <c r="D21" s="140"/>
      <c r="E21" s="136"/>
      <c r="F21" s="143"/>
      <c r="G21" s="39" t="s">
        <v>182</v>
      </c>
      <c r="H21" s="34" t="s">
        <v>204</v>
      </c>
      <c r="I21" s="79" t="s">
        <v>224</v>
      </c>
      <c r="J21" s="55" t="s">
        <v>84</v>
      </c>
      <c r="K21" s="55" t="s">
        <v>95</v>
      </c>
      <c r="L21" s="41">
        <v>1</v>
      </c>
      <c r="M21" s="41">
        <v>0</v>
      </c>
      <c r="N21" s="47">
        <f t="shared" si="0"/>
        <v>0</v>
      </c>
      <c r="O21" s="41"/>
      <c r="P21" s="41"/>
      <c r="Q21" s="58" t="s">
        <v>280</v>
      </c>
      <c r="R21" s="41">
        <v>1</v>
      </c>
      <c r="S21" s="41">
        <v>0</v>
      </c>
      <c r="T21" s="44">
        <f t="shared" si="1"/>
        <v>0</v>
      </c>
      <c r="U21" s="41"/>
      <c r="V21" s="46">
        <v>1664107</v>
      </c>
      <c r="W21" s="59" t="s">
        <v>258</v>
      </c>
      <c r="X21" s="41">
        <v>1</v>
      </c>
      <c r="Y21" s="41">
        <v>1</v>
      </c>
      <c r="Z21" s="64">
        <f>(Y21/X21)*100</f>
        <v>100</v>
      </c>
      <c r="AA21" s="46">
        <v>733332</v>
      </c>
      <c r="AB21" s="46">
        <v>733332</v>
      </c>
      <c r="AC21" s="60">
        <f t="shared" si="6"/>
        <v>1</v>
      </c>
      <c r="AD21" s="104" t="s">
        <v>311</v>
      </c>
      <c r="AE21" s="53">
        <v>0</v>
      </c>
      <c r="AF21" s="41">
        <v>0</v>
      </c>
      <c r="AG21" s="64">
        <v>0</v>
      </c>
      <c r="AH21" s="72">
        <v>0</v>
      </c>
      <c r="AI21" s="72">
        <v>0</v>
      </c>
      <c r="AJ21" s="60">
        <v>0</v>
      </c>
      <c r="AK21" s="127" t="s">
        <v>324</v>
      </c>
      <c r="AL21" s="53">
        <v>1</v>
      </c>
      <c r="AM21" s="41">
        <f>(M21+S21+Y21+AF21)/4</f>
        <v>0.25</v>
      </c>
      <c r="AN21" s="70">
        <f>AM21/AL21*100</f>
        <v>25</v>
      </c>
      <c r="AO21" s="99" t="s">
        <v>364</v>
      </c>
    </row>
    <row r="22" spans="1:41" s="42" customFormat="1" ht="408.75" customHeight="1" x14ac:dyDescent="0.4">
      <c r="A22" s="135"/>
      <c r="B22" s="135"/>
      <c r="C22" s="136" t="s">
        <v>149</v>
      </c>
      <c r="D22" s="136" t="s">
        <v>27</v>
      </c>
      <c r="E22" s="136" t="s">
        <v>164</v>
      </c>
      <c r="F22" s="146" t="s">
        <v>28</v>
      </c>
      <c r="G22" s="39" t="s">
        <v>183</v>
      </c>
      <c r="H22" s="34" t="s">
        <v>49</v>
      </c>
      <c r="I22" s="79" t="s">
        <v>225</v>
      </c>
      <c r="J22" s="55" t="s">
        <v>100</v>
      </c>
      <c r="K22" s="55" t="s">
        <v>101</v>
      </c>
      <c r="L22" s="41">
        <v>1</v>
      </c>
      <c r="M22" s="41">
        <v>0</v>
      </c>
      <c r="N22" s="47">
        <f t="shared" si="0"/>
        <v>0</v>
      </c>
      <c r="O22" s="41"/>
      <c r="P22" s="41"/>
      <c r="Q22" s="58" t="s">
        <v>281</v>
      </c>
      <c r="R22" s="41">
        <v>1</v>
      </c>
      <c r="S22" s="41">
        <v>0</v>
      </c>
      <c r="T22" s="44">
        <f t="shared" si="1"/>
        <v>0</v>
      </c>
      <c r="U22" s="41"/>
      <c r="V22" s="46">
        <v>5023333</v>
      </c>
      <c r="W22" s="59" t="s">
        <v>260</v>
      </c>
      <c r="X22" s="41">
        <v>1</v>
      </c>
      <c r="Y22" s="41">
        <v>1</v>
      </c>
      <c r="Z22" s="64">
        <f>(Y22/X22)*100</f>
        <v>100</v>
      </c>
      <c r="AA22" s="67">
        <f>2434123+214000</f>
        <v>2648123</v>
      </c>
      <c r="AB22" s="46">
        <v>1237041</v>
      </c>
      <c r="AC22" s="60">
        <f t="shared" si="6"/>
        <v>0.4671387998216095</v>
      </c>
      <c r="AD22" s="104" t="s">
        <v>391</v>
      </c>
      <c r="AE22" s="41">
        <v>1</v>
      </c>
      <c r="AF22" s="41">
        <v>1</v>
      </c>
      <c r="AG22" s="64">
        <f t="shared" si="3"/>
        <v>100</v>
      </c>
      <c r="AH22" s="72">
        <f>360000+360000</f>
        <v>720000</v>
      </c>
      <c r="AI22" s="72">
        <f>360000+360000</f>
        <v>720000</v>
      </c>
      <c r="AJ22" s="60">
        <f t="shared" si="2"/>
        <v>1</v>
      </c>
      <c r="AK22" s="99" t="s">
        <v>357</v>
      </c>
      <c r="AL22" s="53">
        <v>1</v>
      </c>
      <c r="AM22" s="41">
        <f>(M22+S22+Y22+AF22)/4</f>
        <v>0.5</v>
      </c>
      <c r="AN22" s="70">
        <f>AM22/AL22*100</f>
        <v>50</v>
      </c>
      <c r="AO22" s="99" t="s">
        <v>365</v>
      </c>
    </row>
    <row r="23" spans="1:41" s="42" customFormat="1" ht="409.5" customHeight="1" x14ac:dyDescent="0.4">
      <c r="A23" s="140"/>
      <c r="B23" s="140"/>
      <c r="C23" s="136"/>
      <c r="D23" s="136"/>
      <c r="E23" s="136"/>
      <c r="F23" s="146"/>
      <c r="G23" s="39" t="s">
        <v>184</v>
      </c>
      <c r="H23" s="34" t="s">
        <v>205</v>
      </c>
      <c r="I23" s="79" t="s">
        <v>226</v>
      </c>
      <c r="J23" s="55" t="s">
        <v>102</v>
      </c>
      <c r="K23" s="55" t="s">
        <v>103</v>
      </c>
      <c r="L23" s="41">
        <v>11</v>
      </c>
      <c r="M23" s="41">
        <v>0</v>
      </c>
      <c r="N23" s="47">
        <f t="shared" si="0"/>
        <v>0</v>
      </c>
      <c r="O23" s="41"/>
      <c r="P23" s="41"/>
      <c r="Q23" s="58" t="s">
        <v>260</v>
      </c>
      <c r="R23" s="41">
        <v>12</v>
      </c>
      <c r="S23" s="41">
        <v>0</v>
      </c>
      <c r="T23" s="44">
        <f t="shared" si="1"/>
        <v>0</v>
      </c>
      <c r="U23" s="41"/>
      <c r="V23" s="46">
        <v>0</v>
      </c>
      <c r="W23" s="59" t="s">
        <v>260</v>
      </c>
      <c r="X23" s="41">
        <v>12</v>
      </c>
      <c r="Y23" s="41">
        <v>0</v>
      </c>
      <c r="Z23" s="64">
        <f t="shared" si="5"/>
        <v>0</v>
      </c>
      <c r="AA23" s="67">
        <v>25770000</v>
      </c>
      <c r="AB23" s="46">
        <v>25676000</v>
      </c>
      <c r="AC23" s="60">
        <f t="shared" si="6"/>
        <v>0.99635234769111369</v>
      </c>
      <c r="AD23" s="107" t="s">
        <v>392</v>
      </c>
      <c r="AE23" s="68">
        <v>12</v>
      </c>
      <c r="AF23" s="68">
        <v>2</v>
      </c>
      <c r="AG23" s="64">
        <f t="shared" si="3"/>
        <v>16.666666666666664</v>
      </c>
      <c r="AH23" s="74">
        <f>1600000</f>
        <v>1600000</v>
      </c>
      <c r="AI23" s="74">
        <f>800000</f>
        <v>800000</v>
      </c>
      <c r="AJ23" s="60">
        <f t="shared" si="2"/>
        <v>0.5</v>
      </c>
      <c r="AK23" s="101" t="s">
        <v>358</v>
      </c>
      <c r="AL23" s="103">
        <v>12</v>
      </c>
      <c r="AM23" s="68">
        <f>(M23+S23+Y23+AF23)</f>
        <v>2</v>
      </c>
      <c r="AN23" s="70">
        <f>AM23/AL23*100</f>
        <v>16.666666666666664</v>
      </c>
      <c r="AO23" s="99" t="s">
        <v>372</v>
      </c>
    </row>
    <row r="24" spans="1:41" s="42" customFormat="1" ht="408.75" customHeight="1" x14ac:dyDescent="0.4">
      <c r="A24" s="137" t="s">
        <v>29</v>
      </c>
      <c r="B24" s="136" t="s">
        <v>30</v>
      </c>
      <c r="C24" s="136" t="s">
        <v>150</v>
      </c>
      <c r="D24" s="136" t="s">
        <v>31</v>
      </c>
      <c r="E24" s="39" t="s">
        <v>165</v>
      </c>
      <c r="F24" s="34" t="s">
        <v>32</v>
      </c>
      <c r="G24" s="39" t="s">
        <v>185</v>
      </c>
      <c r="H24" s="36" t="s">
        <v>206</v>
      </c>
      <c r="I24" s="79" t="s">
        <v>227</v>
      </c>
      <c r="J24" s="55" t="s">
        <v>104</v>
      </c>
      <c r="K24" s="55" t="s">
        <v>105</v>
      </c>
      <c r="L24" s="41">
        <v>12</v>
      </c>
      <c r="M24" s="41">
        <v>11</v>
      </c>
      <c r="N24" s="47">
        <f t="shared" si="0"/>
        <v>91.666666666666657</v>
      </c>
      <c r="O24" s="41"/>
      <c r="P24" s="41"/>
      <c r="Q24" s="58" t="s">
        <v>282</v>
      </c>
      <c r="R24" s="41">
        <v>12</v>
      </c>
      <c r="S24" s="41">
        <v>12</v>
      </c>
      <c r="T24" s="44">
        <f t="shared" si="1"/>
        <v>100</v>
      </c>
      <c r="U24" s="41"/>
      <c r="V24" s="46">
        <v>13544107</v>
      </c>
      <c r="W24" s="59" t="s">
        <v>269</v>
      </c>
      <c r="X24" s="41">
        <v>12</v>
      </c>
      <c r="Y24" s="41">
        <v>12</v>
      </c>
      <c r="Z24" s="64">
        <f t="shared" si="5"/>
        <v>100</v>
      </c>
      <c r="AA24" s="67">
        <f>10000000+1430000</f>
        <v>11430000</v>
      </c>
      <c r="AB24" s="46">
        <v>6532000</v>
      </c>
      <c r="AC24" s="60">
        <f t="shared" si="6"/>
        <v>0.57147856517935258</v>
      </c>
      <c r="AD24" s="104" t="s">
        <v>315</v>
      </c>
      <c r="AE24" s="41">
        <v>12</v>
      </c>
      <c r="AF24" s="41">
        <v>12</v>
      </c>
      <c r="AG24" s="64">
        <f t="shared" si="3"/>
        <v>100</v>
      </c>
      <c r="AH24" s="95">
        <f>563000+1518000000+15000000</f>
        <v>1533563000</v>
      </c>
      <c r="AI24" s="72">
        <f>563000+1800000+6000000</f>
        <v>8363000</v>
      </c>
      <c r="AJ24" s="60">
        <f t="shared" si="2"/>
        <v>5.4533136232420842E-3</v>
      </c>
      <c r="AK24" s="100" t="s">
        <v>378</v>
      </c>
      <c r="AL24" s="41">
        <v>12</v>
      </c>
      <c r="AM24" s="53">
        <v>12</v>
      </c>
      <c r="AN24" s="81">
        <v>100</v>
      </c>
      <c r="AO24" s="99" t="s">
        <v>371</v>
      </c>
    </row>
    <row r="25" spans="1:41" s="42" customFormat="1" ht="408.75" customHeight="1" x14ac:dyDescent="0.4">
      <c r="A25" s="135"/>
      <c r="B25" s="136"/>
      <c r="C25" s="136"/>
      <c r="D25" s="136"/>
      <c r="E25" s="39" t="s">
        <v>166</v>
      </c>
      <c r="F25" s="34" t="s">
        <v>133</v>
      </c>
      <c r="G25" s="39" t="s">
        <v>186</v>
      </c>
      <c r="H25" s="36" t="s">
        <v>207</v>
      </c>
      <c r="I25" s="79" t="s">
        <v>228</v>
      </c>
      <c r="J25" s="55" t="s">
        <v>106</v>
      </c>
      <c r="K25" s="55" t="s">
        <v>107</v>
      </c>
      <c r="L25" s="41">
        <v>12</v>
      </c>
      <c r="M25" s="41">
        <v>6</v>
      </c>
      <c r="N25" s="47">
        <f t="shared" si="0"/>
        <v>50</v>
      </c>
      <c r="O25" s="41" t="s">
        <v>283</v>
      </c>
      <c r="P25" s="41" t="s">
        <v>283</v>
      </c>
      <c r="Q25" s="58" t="s">
        <v>284</v>
      </c>
      <c r="R25" s="41">
        <v>12</v>
      </c>
      <c r="S25" s="41">
        <v>12</v>
      </c>
      <c r="T25" s="44">
        <f t="shared" si="1"/>
        <v>100</v>
      </c>
      <c r="U25" s="41"/>
      <c r="V25" s="46">
        <v>801079547</v>
      </c>
      <c r="W25" s="59" t="s">
        <v>270</v>
      </c>
      <c r="X25" s="41">
        <v>12</v>
      </c>
      <c r="Y25" s="41">
        <v>12</v>
      </c>
      <c r="Z25" s="64">
        <f t="shared" si="5"/>
        <v>100</v>
      </c>
      <c r="AA25" s="67">
        <f>302419700+90000000</f>
        <v>392419700</v>
      </c>
      <c r="AB25" s="67">
        <f>302419700+90000000</f>
        <v>392419700</v>
      </c>
      <c r="AC25" s="60">
        <f t="shared" si="6"/>
        <v>1</v>
      </c>
      <c r="AD25" s="105" t="s">
        <v>312</v>
      </c>
      <c r="AE25" s="41">
        <v>12</v>
      </c>
      <c r="AF25" s="41">
        <v>12</v>
      </c>
      <c r="AG25" s="64">
        <f t="shared" si="3"/>
        <v>100</v>
      </c>
      <c r="AH25" s="72">
        <f>563000+130000000+15000000</f>
        <v>145563000</v>
      </c>
      <c r="AI25" s="72">
        <f>563000+130000000+6000000</f>
        <v>136563000</v>
      </c>
      <c r="AJ25" s="60">
        <f t="shared" si="2"/>
        <v>0.93817110117268809</v>
      </c>
      <c r="AK25" s="100" t="s">
        <v>382</v>
      </c>
      <c r="AL25" s="41">
        <v>12</v>
      </c>
      <c r="AM25" s="41">
        <v>12</v>
      </c>
      <c r="AN25" s="70">
        <f t="shared" si="4"/>
        <v>87.5</v>
      </c>
      <c r="AO25" s="99" t="s">
        <v>347</v>
      </c>
    </row>
    <row r="26" spans="1:41" s="42" customFormat="1" ht="216" customHeight="1" x14ac:dyDescent="0.4">
      <c r="A26" s="135"/>
      <c r="B26" s="136"/>
      <c r="C26" s="136" t="s">
        <v>151</v>
      </c>
      <c r="D26" s="137" t="s">
        <v>33</v>
      </c>
      <c r="E26" s="136" t="s">
        <v>167</v>
      </c>
      <c r="F26" s="141" t="s">
        <v>34</v>
      </c>
      <c r="G26" s="137" t="s">
        <v>187</v>
      </c>
      <c r="H26" s="141" t="s">
        <v>208</v>
      </c>
      <c r="I26" s="80" t="s">
        <v>134</v>
      </c>
      <c r="J26" s="55" t="s">
        <v>108</v>
      </c>
      <c r="K26" s="55" t="s">
        <v>109</v>
      </c>
      <c r="L26" s="41">
        <v>1</v>
      </c>
      <c r="M26" s="41">
        <v>0</v>
      </c>
      <c r="N26" s="47">
        <f t="shared" si="0"/>
        <v>0</v>
      </c>
      <c r="O26" s="41"/>
      <c r="P26" s="41"/>
      <c r="Q26" s="58" t="s">
        <v>260</v>
      </c>
      <c r="R26" s="41">
        <v>1</v>
      </c>
      <c r="S26" s="41">
        <v>0</v>
      </c>
      <c r="T26" s="44">
        <f t="shared" si="1"/>
        <v>0</v>
      </c>
      <c r="U26" s="41"/>
      <c r="V26" s="46">
        <v>0</v>
      </c>
      <c r="W26" s="59" t="s">
        <v>260</v>
      </c>
      <c r="X26" s="41">
        <v>1</v>
      </c>
      <c r="Y26" s="41">
        <v>1</v>
      </c>
      <c r="Z26" s="64">
        <f t="shared" si="5"/>
        <v>100</v>
      </c>
      <c r="AA26" s="67">
        <v>9600000</v>
      </c>
      <c r="AB26" s="46">
        <v>3300000</v>
      </c>
      <c r="AC26" s="60">
        <f t="shared" si="6"/>
        <v>0.34375</v>
      </c>
      <c r="AD26" s="104" t="s">
        <v>321</v>
      </c>
      <c r="AE26" s="41">
        <v>1</v>
      </c>
      <c r="AF26" s="41">
        <v>1</v>
      </c>
      <c r="AG26" s="64">
        <f t="shared" si="3"/>
        <v>100</v>
      </c>
      <c r="AH26" s="72">
        <f>3600000</f>
        <v>3600000</v>
      </c>
      <c r="AI26" s="72">
        <f>3600000</f>
        <v>3600000</v>
      </c>
      <c r="AJ26" s="60">
        <f t="shared" si="2"/>
        <v>1</v>
      </c>
      <c r="AK26" s="99" t="s">
        <v>325</v>
      </c>
      <c r="AL26" s="53">
        <v>1</v>
      </c>
      <c r="AM26" s="53">
        <f>(M26+S26+Y26+AF26)/4</f>
        <v>0.5</v>
      </c>
      <c r="AN26" s="70">
        <f>AM26/AL26*100</f>
        <v>50</v>
      </c>
      <c r="AO26" s="99" t="s">
        <v>341</v>
      </c>
    </row>
    <row r="27" spans="1:41" s="42" customFormat="1" ht="409.5" customHeight="1" x14ac:dyDescent="0.4">
      <c r="A27" s="135"/>
      <c r="B27" s="136"/>
      <c r="C27" s="136"/>
      <c r="D27" s="135"/>
      <c r="E27" s="136"/>
      <c r="F27" s="142"/>
      <c r="G27" s="140"/>
      <c r="H27" s="143"/>
      <c r="I27" s="79" t="s">
        <v>229</v>
      </c>
      <c r="J27" s="55" t="s">
        <v>110</v>
      </c>
      <c r="K27" s="55" t="s">
        <v>111</v>
      </c>
      <c r="L27" s="41">
        <v>1</v>
      </c>
      <c r="M27" s="41">
        <v>0</v>
      </c>
      <c r="N27" s="47">
        <f t="shared" si="0"/>
        <v>0</v>
      </c>
      <c r="O27" s="41"/>
      <c r="P27" s="41"/>
      <c r="Q27" s="58" t="s">
        <v>260</v>
      </c>
      <c r="R27" s="41">
        <v>1</v>
      </c>
      <c r="S27" s="41">
        <v>1</v>
      </c>
      <c r="T27" s="44">
        <f t="shared" si="1"/>
        <v>100</v>
      </c>
      <c r="U27" s="41"/>
      <c r="V27" s="46">
        <v>1650000</v>
      </c>
      <c r="W27" s="59" t="s">
        <v>287</v>
      </c>
      <c r="X27" s="41">
        <v>1</v>
      </c>
      <c r="Y27" s="41">
        <v>1</v>
      </c>
      <c r="Z27" s="64">
        <f t="shared" si="5"/>
        <v>100</v>
      </c>
      <c r="AA27" s="67">
        <v>0</v>
      </c>
      <c r="AB27" s="46">
        <v>0</v>
      </c>
      <c r="AC27" s="60">
        <v>0</v>
      </c>
      <c r="AD27" s="104" t="s">
        <v>322</v>
      </c>
      <c r="AE27" s="41">
        <v>1</v>
      </c>
      <c r="AF27" s="41">
        <v>1</v>
      </c>
      <c r="AG27" s="64">
        <f t="shared" si="3"/>
        <v>100</v>
      </c>
      <c r="AH27" s="72">
        <f>3600000</f>
        <v>3600000</v>
      </c>
      <c r="AI27" s="72">
        <f>3600000</f>
        <v>3600000</v>
      </c>
      <c r="AJ27" s="60">
        <f t="shared" si="2"/>
        <v>1</v>
      </c>
      <c r="AK27" s="99" t="s">
        <v>326</v>
      </c>
      <c r="AL27" s="53">
        <v>1</v>
      </c>
      <c r="AM27" s="41">
        <f>(M27+S27+Y27+AF27)/4</f>
        <v>0.75</v>
      </c>
      <c r="AN27" s="70">
        <f>AM27/AL27*100</f>
        <v>75</v>
      </c>
      <c r="AO27" s="99" t="s">
        <v>342</v>
      </c>
    </row>
    <row r="28" spans="1:41" s="42" customFormat="1" ht="218.25" customHeight="1" x14ac:dyDescent="0.4">
      <c r="A28" s="135"/>
      <c r="B28" s="136"/>
      <c r="C28" s="136"/>
      <c r="D28" s="135"/>
      <c r="E28" s="136"/>
      <c r="F28" s="142"/>
      <c r="G28" s="39" t="s">
        <v>188</v>
      </c>
      <c r="H28" s="34" t="s">
        <v>209</v>
      </c>
      <c r="I28" s="79" t="s">
        <v>61</v>
      </c>
      <c r="J28" s="55" t="s">
        <v>93</v>
      </c>
      <c r="K28" s="55" t="s">
        <v>111</v>
      </c>
      <c r="L28" s="41">
        <v>1</v>
      </c>
      <c r="M28" s="41">
        <v>0</v>
      </c>
      <c r="N28" s="47">
        <f t="shared" si="0"/>
        <v>0</v>
      </c>
      <c r="O28" s="41"/>
      <c r="P28" s="41"/>
      <c r="Q28" s="58" t="s">
        <v>260</v>
      </c>
      <c r="R28" s="41">
        <v>1</v>
      </c>
      <c r="S28" s="41">
        <v>0</v>
      </c>
      <c r="T28" s="44">
        <f t="shared" si="1"/>
        <v>0</v>
      </c>
      <c r="U28" s="41"/>
      <c r="V28" s="46">
        <v>1650000</v>
      </c>
      <c r="W28" s="59" t="s">
        <v>361</v>
      </c>
      <c r="X28" s="41">
        <v>1</v>
      </c>
      <c r="Y28" s="41">
        <v>0</v>
      </c>
      <c r="Z28" s="64">
        <f t="shared" si="5"/>
        <v>0</v>
      </c>
      <c r="AA28" s="67">
        <v>0</v>
      </c>
      <c r="AB28" s="46">
        <v>0</v>
      </c>
      <c r="AC28" s="60">
        <v>0</v>
      </c>
      <c r="AD28" s="104" t="s">
        <v>304</v>
      </c>
      <c r="AE28" s="41">
        <v>1</v>
      </c>
      <c r="AF28" s="41">
        <v>1</v>
      </c>
      <c r="AG28" s="64">
        <f t="shared" si="3"/>
        <v>100</v>
      </c>
      <c r="AH28" s="72">
        <f>3200000</f>
        <v>3200000</v>
      </c>
      <c r="AI28" s="72">
        <f>3200000</f>
        <v>3200000</v>
      </c>
      <c r="AJ28" s="60">
        <f t="shared" si="2"/>
        <v>1</v>
      </c>
      <c r="AK28" s="99" t="s">
        <v>359</v>
      </c>
      <c r="AL28" s="41">
        <v>1</v>
      </c>
      <c r="AM28" s="41">
        <v>1</v>
      </c>
      <c r="AN28" s="70">
        <f t="shared" ref="AN28:AN42" si="7">AM28/AL28*100</f>
        <v>100</v>
      </c>
      <c r="AO28" s="100" t="s">
        <v>379</v>
      </c>
    </row>
    <row r="29" spans="1:41" s="42" customFormat="1" ht="346.5" customHeight="1" x14ac:dyDescent="0.4">
      <c r="A29" s="135"/>
      <c r="B29" s="136"/>
      <c r="C29" s="136"/>
      <c r="D29" s="135"/>
      <c r="E29" s="136"/>
      <c r="F29" s="142"/>
      <c r="G29" s="39" t="s">
        <v>189</v>
      </c>
      <c r="H29" s="34" t="s">
        <v>210</v>
      </c>
      <c r="I29" s="79" t="s">
        <v>135</v>
      </c>
      <c r="J29" s="55" t="s">
        <v>112</v>
      </c>
      <c r="K29" s="55" t="s">
        <v>111</v>
      </c>
      <c r="L29" s="41">
        <v>1</v>
      </c>
      <c r="M29" s="41">
        <v>0</v>
      </c>
      <c r="N29" s="47">
        <f t="shared" si="0"/>
        <v>0</v>
      </c>
      <c r="O29" s="41"/>
      <c r="P29" s="41"/>
      <c r="Q29" s="58" t="s">
        <v>260</v>
      </c>
      <c r="R29" s="41">
        <v>1</v>
      </c>
      <c r="S29" s="41">
        <v>0</v>
      </c>
      <c r="T29" s="44">
        <f t="shared" si="1"/>
        <v>0</v>
      </c>
      <c r="U29" s="41"/>
      <c r="V29" s="46">
        <v>961660</v>
      </c>
      <c r="W29" s="59" t="s">
        <v>300</v>
      </c>
      <c r="X29" s="41">
        <v>1</v>
      </c>
      <c r="Y29" s="41">
        <v>1</v>
      </c>
      <c r="Z29" s="64">
        <f t="shared" si="5"/>
        <v>100</v>
      </c>
      <c r="AA29" s="67">
        <v>9600000</v>
      </c>
      <c r="AB29" s="46">
        <v>3300000</v>
      </c>
      <c r="AC29" s="60">
        <f>AB29/AA29</f>
        <v>0.34375</v>
      </c>
      <c r="AD29" s="104" t="s">
        <v>316</v>
      </c>
      <c r="AE29" s="41">
        <v>0</v>
      </c>
      <c r="AF29" s="41">
        <v>0</v>
      </c>
      <c r="AG29" s="64">
        <v>0</v>
      </c>
      <c r="AH29" s="72">
        <v>0</v>
      </c>
      <c r="AI29" s="72">
        <v>0</v>
      </c>
      <c r="AJ29" s="60">
        <v>0</v>
      </c>
      <c r="AK29" s="100" t="s">
        <v>399</v>
      </c>
      <c r="AL29" s="41">
        <v>1</v>
      </c>
      <c r="AM29" s="41">
        <f>(M29+S29+Y29+AF29)/4</f>
        <v>0.25</v>
      </c>
      <c r="AN29" s="70">
        <f t="shared" si="7"/>
        <v>25</v>
      </c>
      <c r="AO29" s="100" t="s">
        <v>343</v>
      </c>
    </row>
    <row r="30" spans="1:41" s="42" customFormat="1" ht="409.6" customHeight="1" x14ac:dyDescent="0.4">
      <c r="A30" s="135"/>
      <c r="B30" s="136"/>
      <c r="C30" s="136"/>
      <c r="D30" s="135"/>
      <c r="E30" s="136"/>
      <c r="F30" s="142"/>
      <c r="G30" s="39" t="s">
        <v>190</v>
      </c>
      <c r="H30" s="34" t="s">
        <v>62</v>
      </c>
      <c r="I30" s="79" t="s">
        <v>136</v>
      </c>
      <c r="J30" s="55" t="s">
        <v>82</v>
      </c>
      <c r="K30" s="55" t="s">
        <v>111</v>
      </c>
      <c r="L30" s="41">
        <v>12</v>
      </c>
      <c r="M30" s="41">
        <v>0</v>
      </c>
      <c r="N30" s="47">
        <f t="shared" si="0"/>
        <v>0</v>
      </c>
      <c r="O30" s="41"/>
      <c r="P30" s="41"/>
      <c r="Q30" s="58" t="s">
        <v>260</v>
      </c>
      <c r="R30" s="41">
        <v>12</v>
      </c>
      <c r="S30" s="41">
        <v>0</v>
      </c>
      <c r="T30" s="44">
        <f t="shared" si="1"/>
        <v>0</v>
      </c>
      <c r="U30" s="41"/>
      <c r="V30" s="46">
        <v>2200000</v>
      </c>
      <c r="W30" s="59" t="s">
        <v>288</v>
      </c>
      <c r="X30" s="41">
        <v>12</v>
      </c>
      <c r="Y30" s="41">
        <v>6</v>
      </c>
      <c r="Z30" s="64">
        <f t="shared" si="5"/>
        <v>50</v>
      </c>
      <c r="AA30" s="67">
        <v>0</v>
      </c>
      <c r="AB30" s="46">
        <v>0</v>
      </c>
      <c r="AC30" s="60">
        <v>0</v>
      </c>
      <c r="AD30" s="104" t="s">
        <v>393</v>
      </c>
      <c r="AE30" s="41">
        <v>0</v>
      </c>
      <c r="AF30" s="41">
        <v>0</v>
      </c>
      <c r="AG30" s="64" t="e">
        <f t="shared" si="3"/>
        <v>#DIV/0!</v>
      </c>
      <c r="AH30" s="72">
        <v>0</v>
      </c>
      <c r="AI30" s="72">
        <v>0</v>
      </c>
      <c r="AJ30" s="60">
        <v>0</v>
      </c>
      <c r="AK30" s="100" t="s">
        <v>324</v>
      </c>
      <c r="AL30" s="53">
        <v>12</v>
      </c>
      <c r="AM30" s="53">
        <f>(M30+S30+Y30+AF30)/4</f>
        <v>1.5</v>
      </c>
      <c r="AN30" s="70">
        <f t="shared" si="7"/>
        <v>12.5</v>
      </c>
      <c r="AO30" s="99" t="s">
        <v>366</v>
      </c>
    </row>
    <row r="31" spans="1:41" s="42" customFormat="1" ht="409.6" customHeight="1" x14ac:dyDescent="0.4">
      <c r="A31" s="135"/>
      <c r="B31" s="136"/>
      <c r="C31" s="136"/>
      <c r="D31" s="135"/>
      <c r="E31" s="136"/>
      <c r="F31" s="143"/>
      <c r="G31" s="39" t="s">
        <v>191</v>
      </c>
      <c r="H31" s="34" t="s">
        <v>211</v>
      </c>
      <c r="I31" s="79" t="s">
        <v>230</v>
      </c>
      <c r="J31" s="55" t="s">
        <v>113</v>
      </c>
      <c r="K31" s="55" t="s">
        <v>111</v>
      </c>
      <c r="L31" s="53">
        <v>1</v>
      </c>
      <c r="M31" s="41">
        <v>0</v>
      </c>
      <c r="N31" s="47">
        <f t="shared" si="0"/>
        <v>0</v>
      </c>
      <c r="O31" s="41"/>
      <c r="P31" s="41"/>
      <c r="Q31" s="58" t="s">
        <v>260</v>
      </c>
      <c r="R31" s="41">
        <v>1</v>
      </c>
      <c r="S31" s="41"/>
      <c r="T31" s="44">
        <f t="shared" si="1"/>
        <v>0</v>
      </c>
      <c r="U31" s="41"/>
      <c r="V31" s="46">
        <v>69240000</v>
      </c>
      <c r="W31" s="59" t="s">
        <v>289</v>
      </c>
      <c r="X31" s="41">
        <v>1</v>
      </c>
      <c r="Y31" s="41">
        <v>1</v>
      </c>
      <c r="Z31" s="64">
        <f t="shared" si="5"/>
        <v>100</v>
      </c>
      <c r="AA31" s="67">
        <v>0</v>
      </c>
      <c r="AB31" s="46">
        <v>37583333</v>
      </c>
      <c r="AC31" s="60" t="e">
        <f t="shared" si="6"/>
        <v>#DIV/0!</v>
      </c>
      <c r="AD31" s="104" t="s">
        <v>394</v>
      </c>
      <c r="AE31" s="41">
        <v>1</v>
      </c>
      <c r="AF31" s="41">
        <v>0</v>
      </c>
      <c r="AG31" s="64">
        <f t="shared" si="3"/>
        <v>0</v>
      </c>
      <c r="AH31" s="72">
        <v>0</v>
      </c>
      <c r="AI31" s="72">
        <v>0</v>
      </c>
      <c r="AJ31" s="60">
        <v>0</v>
      </c>
      <c r="AK31" s="100" t="s">
        <v>304</v>
      </c>
      <c r="AL31" s="41">
        <v>1</v>
      </c>
      <c r="AM31" s="41">
        <v>1</v>
      </c>
      <c r="AN31" s="70">
        <f t="shared" si="7"/>
        <v>100</v>
      </c>
      <c r="AO31" s="99" t="s">
        <v>367</v>
      </c>
    </row>
    <row r="32" spans="1:41" s="42" customFormat="1" ht="299.25" customHeight="1" x14ac:dyDescent="0.4">
      <c r="A32" s="135"/>
      <c r="B32" s="136"/>
      <c r="C32" s="136"/>
      <c r="D32" s="135"/>
      <c r="E32" s="39" t="s">
        <v>168</v>
      </c>
      <c r="F32" s="34" t="s">
        <v>35</v>
      </c>
      <c r="G32" s="39" t="s">
        <v>192</v>
      </c>
      <c r="H32" s="36" t="s">
        <v>212</v>
      </c>
      <c r="I32" s="78" t="s">
        <v>63</v>
      </c>
      <c r="J32" s="55" t="s">
        <v>114</v>
      </c>
      <c r="K32" s="55" t="s">
        <v>83</v>
      </c>
      <c r="L32" s="41">
        <v>1</v>
      </c>
      <c r="M32" s="41">
        <v>0</v>
      </c>
      <c r="N32" s="47">
        <f t="shared" si="0"/>
        <v>0</v>
      </c>
      <c r="O32" s="41"/>
      <c r="P32" s="41"/>
      <c r="Q32" s="58" t="s">
        <v>260</v>
      </c>
      <c r="R32" s="41">
        <v>1</v>
      </c>
      <c r="S32" s="41">
        <v>1</v>
      </c>
      <c r="T32" s="44">
        <f t="shared" si="1"/>
        <v>100</v>
      </c>
      <c r="U32" s="41"/>
      <c r="V32" s="46">
        <v>641110</v>
      </c>
      <c r="W32" s="59" t="s">
        <v>271</v>
      </c>
      <c r="X32" s="41">
        <v>1</v>
      </c>
      <c r="Y32" s="41">
        <v>1</v>
      </c>
      <c r="Z32" s="64">
        <f t="shared" si="5"/>
        <v>100</v>
      </c>
      <c r="AA32" s="67">
        <v>721250</v>
      </c>
      <c r="AB32" s="67">
        <v>721250</v>
      </c>
      <c r="AC32" s="60">
        <f t="shared" si="6"/>
        <v>1</v>
      </c>
      <c r="AD32" s="104" t="s">
        <v>307</v>
      </c>
      <c r="AE32" s="41">
        <v>1</v>
      </c>
      <c r="AF32" s="41">
        <v>1</v>
      </c>
      <c r="AG32" s="64">
        <f t="shared" si="3"/>
        <v>100</v>
      </c>
      <c r="AH32" s="72">
        <v>0</v>
      </c>
      <c r="AI32" s="72">
        <v>0</v>
      </c>
      <c r="AJ32" s="60">
        <v>0</v>
      </c>
      <c r="AK32" s="99" t="s">
        <v>360</v>
      </c>
      <c r="AL32" s="41">
        <v>1</v>
      </c>
      <c r="AM32" s="41">
        <v>1</v>
      </c>
      <c r="AN32" s="70">
        <f t="shared" si="7"/>
        <v>100</v>
      </c>
      <c r="AO32" s="99" t="s">
        <v>368</v>
      </c>
    </row>
    <row r="33" spans="1:41" s="42" customFormat="1" ht="225.75" customHeight="1" x14ac:dyDescent="0.4">
      <c r="A33" s="135"/>
      <c r="B33" s="136"/>
      <c r="C33" s="136" t="s">
        <v>152</v>
      </c>
      <c r="D33" s="136" t="s">
        <v>36</v>
      </c>
      <c r="E33" s="136" t="s">
        <v>169</v>
      </c>
      <c r="F33" s="146" t="s">
        <v>37</v>
      </c>
      <c r="G33" s="39" t="s">
        <v>193</v>
      </c>
      <c r="H33" s="34" t="s">
        <v>64</v>
      </c>
      <c r="I33" s="79" t="s">
        <v>231</v>
      </c>
      <c r="J33" s="55" t="s">
        <v>115</v>
      </c>
      <c r="K33" s="55" t="s">
        <v>116</v>
      </c>
      <c r="L33" s="41">
        <v>1</v>
      </c>
      <c r="M33" s="41">
        <v>0</v>
      </c>
      <c r="N33" s="47">
        <f t="shared" si="0"/>
        <v>0</v>
      </c>
      <c r="O33" s="41"/>
      <c r="P33" s="41"/>
      <c r="Q33" s="58" t="s">
        <v>260</v>
      </c>
      <c r="R33" s="41">
        <v>1</v>
      </c>
      <c r="S33" s="41">
        <v>0</v>
      </c>
      <c r="T33" s="44">
        <f t="shared" si="1"/>
        <v>0</v>
      </c>
      <c r="U33" s="41"/>
      <c r="V33" s="46">
        <v>0</v>
      </c>
      <c r="W33" s="59" t="s">
        <v>260</v>
      </c>
      <c r="X33" s="41">
        <v>1</v>
      </c>
      <c r="Y33" s="41">
        <v>1</v>
      </c>
      <c r="Z33" s="64">
        <f t="shared" si="5"/>
        <v>100</v>
      </c>
      <c r="AA33" s="67">
        <v>1197082</v>
      </c>
      <c r="AB33" s="46">
        <v>598541</v>
      </c>
      <c r="AC33" s="60">
        <f t="shared" si="6"/>
        <v>0.5</v>
      </c>
      <c r="AD33" s="104" t="s">
        <v>313</v>
      </c>
      <c r="AE33" s="41">
        <v>1</v>
      </c>
      <c r="AF33" s="41">
        <v>0</v>
      </c>
      <c r="AG33" s="64">
        <f t="shared" si="3"/>
        <v>0</v>
      </c>
      <c r="AH33" s="72">
        <v>0</v>
      </c>
      <c r="AI33" s="72">
        <v>0</v>
      </c>
      <c r="AJ33" s="60">
        <v>0</v>
      </c>
      <c r="AK33" s="100" t="s">
        <v>304</v>
      </c>
      <c r="AL33" s="53">
        <v>1</v>
      </c>
      <c r="AM33" s="41">
        <f>(M33+S33+Y33+AF33)/4</f>
        <v>0.25</v>
      </c>
      <c r="AN33" s="70">
        <f t="shared" si="7"/>
        <v>25</v>
      </c>
      <c r="AO33" s="99" t="s">
        <v>344</v>
      </c>
    </row>
    <row r="34" spans="1:41" s="42" customFormat="1" ht="210.75" customHeight="1" x14ac:dyDescent="0.4">
      <c r="A34" s="135"/>
      <c r="B34" s="136"/>
      <c r="C34" s="136"/>
      <c r="D34" s="136"/>
      <c r="E34" s="136"/>
      <c r="F34" s="146"/>
      <c r="G34" s="39" t="s">
        <v>194</v>
      </c>
      <c r="H34" s="34" t="s">
        <v>213</v>
      </c>
      <c r="I34" s="79" t="s">
        <v>66</v>
      </c>
      <c r="J34" s="55" t="s">
        <v>117</v>
      </c>
      <c r="K34" s="55" t="s">
        <v>116</v>
      </c>
      <c r="L34" s="41">
        <v>1</v>
      </c>
      <c r="M34" s="41">
        <v>0</v>
      </c>
      <c r="N34" s="47">
        <f t="shared" si="0"/>
        <v>0</v>
      </c>
      <c r="O34" s="41"/>
      <c r="P34" s="41"/>
      <c r="Q34" s="58" t="s">
        <v>264</v>
      </c>
      <c r="R34" s="41">
        <v>54</v>
      </c>
      <c r="S34" s="41">
        <v>54</v>
      </c>
      <c r="T34" s="44">
        <f t="shared" si="1"/>
        <v>100</v>
      </c>
      <c r="U34" s="41"/>
      <c r="V34" s="46">
        <v>19810334</v>
      </c>
      <c r="W34" s="59" t="s">
        <v>272</v>
      </c>
      <c r="X34" s="65">
        <v>1</v>
      </c>
      <c r="Y34" s="65">
        <v>1</v>
      </c>
      <c r="Z34" s="64">
        <f>(Y34/X34)*100</f>
        <v>100</v>
      </c>
      <c r="AA34" s="67">
        <v>0</v>
      </c>
      <c r="AB34" s="46">
        <v>0</v>
      </c>
      <c r="AC34" s="60">
        <v>0</v>
      </c>
      <c r="AD34" s="104" t="s">
        <v>266</v>
      </c>
      <c r="AE34" s="65">
        <v>1</v>
      </c>
      <c r="AF34" s="65">
        <v>1</v>
      </c>
      <c r="AG34" s="64">
        <f t="shared" si="3"/>
        <v>100</v>
      </c>
      <c r="AH34" s="74">
        <f>1600000</f>
        <v>1600000</v>
      </c>
      <c r="AI34" s="74">
        <f>800000</f>
        <v>800000</v>
      </c>
      <c r="AJ34" s="60">
        <f t="shared" si="2"/>
        <v>0.5</v>
      </c>
      <c r="AK34" s="100" t="s">
        <v>383</v>
      </c>
      <c r="AL34" s="65">
        <v>1</v>
      </c>
      <c r="AM34" s="65">
        <v>1</v>
      </c>
      <c r="AN34" s="70">
        <f t="shared" si="7"/>
        <v>100</v>
      </c>
      <c r="AO34" s="102" t="s">
        <v>345</v>
      </c>
    </row>
    <row r="35" spans="1:41" s="96" customFormat="1" ht="409.5" customHeight="1" x14ac:dyDescent="0.4">
      <c r="A35" s="135"/>
      <c r="B35" s="136"/>
      <c r="C35" s="136"/>
      <c r="D35" s="136"/>
      <c r="E35" s="136"/>
      <c r="F35" s="146"/>
      <c r="G35" s="83" t="s">
        <v>195</v>
      </c>
      <c r="H35" s="84" t="s">
        <v>50</v>
      </c>
      <c r="I35" s="85" t="s">
        <v>67</v>
      </c>
      <c r="J35" s="86" t="s">
        <v>82</v>
      </c>
      <c r="K35" s="86" t="s">
        <v>116</v>
      </c>
      <c r="L35" s="53">
        <v>12</v>
      </c>
      <c r="M35" s="53">
        <v>0</v>
      </c>
      <c r="N35" s="87">
        <f t="shared" si="0"/>
        <v>0</v>
      </c>
      <c r="O35" s="53"/>
      <c r="P35" s="53"/>
      <c r="Q35" s="88" t="s">
        <v>260</v>
      </c>
      <c r="R35" s="53">
        <v>12</v>
      </c>
      <c r="S35" s="53">
        <v>0</v>
      </c>
      <c r="T35" s="53">
        <f t="shared" si="1"/>
        <v>0</v>
      </c>
      <c r="U35" s="53"/>
      <c r="V35" s="90">
        <v>0</v>
      </c>
      <c r="W35" s="91" t="s">
        <v>301</v>
      </c>
      <c r="X35" s="53">
        <v>12</v>
      </c>
      <c r="Y35" s="53">
        <v>12</v>
      </c>
      <c r="Z35" s="87">
        <f>(Y35/X35)*100</f>
        <v>100</v>
      </c>
      <c r="AA35" s="93">
        <f>1310332+1100000+865500+463750+25770000</f>
        <v>29509582</v>
      </c>
      <c r="AB35" s="90">
        <f>655166+1100000+865500+463750+25676000</f>
        <v>28760416</v>
      </c>
      <c r="AC35" s="87">
        <f t="shared" si="6"/>
        <v>0.97461278848341537</v>
      </c>
      <c r="AD35" s="104" t="s">
        <v>395</v>
      </c>
      <c r="AE35" s="53">
        <v>1</v>
      </c>
      <c r="AF35" s="53">
        <v>0</v>
      </c>
      <c r="AG35" s="92">
        <f t="shared" si="3"/>
        <v>0</v>
      </c>
      <c r="AH35" s="95">
        <v>0</v>
      </c>
      <c r="AI35" s="95">
        <v>0</v>
      </c>
      <c r="AJ35" s="60">
        <v>0</v>
      </c>
      <c r="AK35" s="100" t="s">
        <v>304</v>
      </c>
      <c r="AL35" s="53">
        <v>12</v>
      </c>
      <c r="AM35" s="53">
        <f>(M35+S35+Y35+AF35)/4</f>
        <v>3</v>
      </c>
      <c r="AN35" s="87">
        <f t="shared" si="7"/>
        <v>25</v>
      </c>
      <c r="AO35" s="100" t="s">
        <v>348</v>
      </c>
    </row>
    <row r="36" spans="1:41" s="96" customFormat="1" ht="207" customHeight="1" x14ac:dyDescent="0.4">
      <c r="A36" s="135"/>
      <c r="B36" s="136"/>
      <c r="C36" s="136"/>
      <c r="D36" s="136"/>
      <c r="E36" s="136"/>
      <c r="F36" s="146"/>
      <c r="G36" s="83" t="s">
        <v>196</v>
      </c>
      <c r="H36" s="84" t="s">
        <v>65</v>
      </c>
      <c r="I36" s="85" t="s">
        <v>137</v>
      </c>
      <c r="J36" s="86" t="s">
        <v>118</v>
      </c>
      <c r="K36" s="86" t="s">
        <v>119</v>
      </c>
      <c r="L36" s="53">
        <v>0</v>
      </c>
      <c r="M36" s="53">
        <v>0</v>
      </c>
      <c r="N36" s="87">
        <v>0</v>
      </c>
      <c r="O36" s="53"/>
      <c r="P36" s="53"/>
      <c r="Q36" s="88" t="s">
        <v>260</v>
      </c>
      <c r="R36" s="53">
        <v>1</v>
      </c>
      <c r="S36" s="53">
        <v>0</v>
      </c>
      <c r="T36" s="53">
        <f t="shared" si="1"/>
        <v>0</v>
      </c>
      <c r="U36" s="53"/>
      <c r="V36" s="90">
        <v>0</v>
      </c>
      <c r="W36" s="91" t="s">
        <v>290</v>
      </c>
      <c r="X36" s="53">
        <v>1</v>
      </c>
      <c r="Y36" s="53">
        <v>0</v>
      </c>
      <c r="Z36" s="87">
        <f>(Y36/X36)*100</f>
        <v>0</v>
      </c>
      <c r="AA36" s="93">
        <v>0</v>
      </c>
      <c r="AB36" s="90">
        <v>0</v>
      </c>
      <c r="AC36" s="87">
        <v>0</v>
      </c>
      <c r="AD36" s="104" t="s">
        <v>304</v>
      </c>
      <c r="AE36" s="53">
        <v>1</v>
      </c>
      <c r="AF36" s="53">
        <v>1</v>
      </c>
      <c r="AG36" s="92">
        <f t="shared" si="3"/>
        <v>100</v>
      </c>
      <c r="AH36" s="95">
        <v>8001089</v>
      </c>
      <c r="AI36" s="95">
        <v>8001089</v>
      </c>
      <c r="AJ36" s="60">
        <f t="shared" si="2"/>
        <v>1</v>
      </c>
      <c r="AK36" s="100" t="s">
        <v>400</v>
      </c>
      <c r="AL36" s="53">
        <v>1</v>
      </c>
      <c r="AM36" s="53">
        <v>1</v>
      </c>
      <c r="AN36" s="87">
        <f t="shared" si="7"/>
        <v>100</v>
      </c>
      <c r="AO36" s="100" t="s">
        <v>401</v>
      </c>
    </row>
    <row r="37" spans="1:41" s="42" customFormat="1" ht="140.25" customHeight="1" x14ac:dyDescent="0.4">
      <c r="A37" s="135"/>
      <c r="B37" s="136"/>
      <c r="C37" s="136"/>
      <c r="D37" s="136"/>
      <c r="E37" s="136"/>
      <c r="F37" s="146"/>
      <c r="G37" s="39" t="s">
        <v>197</v>
      </c>
      <c r="H37" s="36" t="s">
        <v>214</v>
      </c>
      <c r="I37" s="80" t="s">
        <v>68</v>
      </c>
      <c r="J37" s="55" t="s">
        <v>98</v>
      </c>
      <c r="K37" s="55" t="s">
        <v>120</v>
      </c>
      <c r="L37" s="41">
        <v>1</v>
      </c>
      <c r="M37" s="41">
        <v>1</v>
      </c>
      <c r="N37" s="47">
        <f t="shared" si="0"/>
        <v>100</v>
      </c>
      <c r="O37" s="41"/>
      <c r="P37" s="41"/>
      <c r="Q37" s="58" t="s">
        <v>285</v>
      </c>
      <c r="R37" s="41">
        <v>1</v>
      </c>
      <c r="S37" s="41">
        <v>0</v>
      </c>
      <c r="T37" s="44">
        <f t="shared" si="1"/>
        <v>0</v>
      </c>
      <c r="U37" s="41"/>
      <c r="V37" s="46">
        <v>0</v>
      </c>
      <c r="W37" s="59" t="s">
        <v>260</v>
      </c>
      <c r="X37" s="41">
        <v>0</v>
      </c>
      <c r="Y37" s="41">
        <v>0</v>
      </c>
      <c r="Z37" s="64" t="s">
        <v>299</v>
      </c>
      <c r="AA37" s="67">
        <v>0</v>
      </c>
      <c r="AB37" s="46">
        <v>0</v>
      </c>
      <c r="AC37" s="60">
        <v>0</v>
      </c>
      <c r="AD37" s="105" t="s">
        <v>306</v>
      </c>
      <c r="AE37" s="41">
        <v>0</v>
      </c>
      <c r="AF37" s="41">
        <v>0</v>
      </c>
      <c r="AG37" s="64">
        <v>0</v>
      </c>
      <c r="AH37" s="72">
        <v>0</v>
      </c>
      <c r="AI37" s="72">
        <v>0</v>
      </c>
      <c r="AJ37" s="60">
        <v>0</v>
      </c>
      <c r="AK37" s="127" t="s">
        <v>324</v>
      </c>
      <c r="AL37" s="68">
        <v>1</v>
      </c>
      <c r="AM37" s="68">
        <v>1</v>
      </c>
      <c r="AN37" s="70">
        <f t="shared" si="7"/>
        <v>100</v>
      </c>
      <c r="AO37" s="102" t="s">
        <v>402</v>
      </c>
    </row>
    <row r="38" spans="1:41" s="42" customFormat="1" ht="293.25" customHeight="1" x14ac:dyDescent="0.4">
      <c r="A38" s="135" t="s">
        <v>38</v>
      </c>
      <c r="B38" s="136" t="s">
        <v>39</v>
      </c>
      <c r="C38" s="136" t="s">
        <v>153</v>
      </c>
      <c r="D38" s="136" t="s">
        <v>40</v>
      </c>
      <c r="E38" s="136" t="s">
        <v>170</v>
      </c>
      <c r="F38" s="146" t="s">
        <v>138</v>
      </c>
      <c r="G38" s="135" t="s">
        <v>198</v>
      </c>
      <c r="H38" s="141" t="s">
        <v>215</v>
      </c>
      <c r="I38" s="80" t="s">
        <v>69</v>
      </c>
      <c r="J38" s="55" t="s">
        <v>121</v>
      </c>
      <c r="K38" s="55" t="s">
        <v>122</v>
      </c>
      <c r="L38" s="41">
        <v>1</v>
      </c>
      <c r="M38" s="41">
        <v>0</v>
      </c>
      <c r="N38" s="47">
        <f t="shared" si="0"/>
        <v>0</v>
      </c>
      <c r="O38" s="41"/>
      <c r="P38" s="41"/>
      <c r="Q38" s="58" t="s">
        <v>260</v>
      </c>
      <c r="R38" s="41">
        <v>1</v>
      </c>
      <c r="S38" s="41">
        <v>0</v>
      </c>
      <c r="T38" s="44">
        <f t="shared" si="1"/>
        <v>0</v>
      </c>
      <c r="U38" s="41"/>
      <c r="V38" s="46">
        <v>2308000</v>
      </c>
      <c r="W38" s="59" t="s">
        <v>260</v>
      </c>
      <c r="X38" s="41">
        <v>1</v>
      </c>
      <c r="Y38" s="41">
        <v>0</v>
      </c>
      <c r="Z38" s="47">
        <f>(Y38/X38)*100</f>
        <v>0</v>
      </c>
      <c r="AA38" s="67">
        <v>0</v>
      </c>
      <c r="AB38" s="46">
        <v>0</v>
      </c>
      <c r="AC38" s="60">
        <v>0</v>
      </c>
      <c r="AD38" s="104" t="s">
        <v>304</v>
      </c>
      <c r="AE38" s="41">
        <v>0</v>
      </c>
      <c r="AF38" s="41">
        <v>0</v>
      </c>
      <c r="AG38" s="64">
        <v>0</v>
      </c>
      <c r="AH38" s="72">
        <v>0</v>
      </c>
      <c r="AI38" s="72">
        <v>0</v>
      </c>
      <c r="AJ38" s="60">
        <v>0</v>
      </c>
      <c r="AK38" s="101" t="s">
        <v>324</v>
      </c>
      <c r="AL38" s="68">
        <v>1</v>
      </c>
      <c r="AM38" s="68">
        <v>0</v>
      </c>
      <c r="AN38" s="70">
        <f t="shared" si="7"/>
        <v>0</v>
      </c>
      <c r="AO38" s="99" t="s">
        <v>346</v>
      </c>
    </row>
    <row r="39" spans="1:41" s="42" customFormat="1" ht="250.5" customHeight="1" x14ac:dyDescent="0.4">
      <c r="A39" s="135"/>
      <c r="B39" s="136"/>
      <c r="C39" s="136"/>
      <c r="D39" s="136"/>
      <c r="E39" s="136"/>
      <c r="F39" s="146"/>
      <c r="G39" s="135"/>
      <c r="H39" s="142"/>
      <c r="I39" s="79" t="s">
        <v>232</v>
      </c>
      <c r="J39" s="55" t="s">
        <v>82</v>
      </c>
      <c r="K39" s="55" t="s">
        <v>123</v>
      </c>
      <c r="L39" s="41">
        <v>12</v>
      </c>
      <c r="M39" s="41">
        <v>12</v>
      </c>
      <c r="N39" s="47">
        <f t="shared" si="0"/>
        <v>100</v>
      </c>
      <c r="O39" s="41"/>
      <c r="P39" s="41"/>
      <c r="Q39" s="58" t="s">
        <v>291</v>
      </c>
      <c r="R39" s="41">
        <v>12</v>
      </c>
      <c r="S39" s="41">
        <v>0</v>
      </c>
      <c r="T39" s="44">
        <f t="shared" si="1"/>
        <v>0</v>
      </c>
      <c r="U39" s="41"/>
      <c r="V39" s="46">
        <v>4000000</v>
      </c>
      <c r="W39" s="58" t="s">
        <v>291</v>
      </c>
      <c r="X39" s="41">
        <v>1</v>
      </c>
      <c r="Y39" s="41">
        <v>1</v>
      </c>
      <c r="Z39" s="64">
        <f t="shared" si="5"/>
        <v>100</v>
      </c>
      <c r="AA39" s="67">
        <v>2000000</v>
      </c>
      <c r="AB39" s="46">
        <v>1000000</v>
      </c>
      <c r="AC39" s="60">
        <f t="shared" si="6"/>
        <v>0.5</v>
      </c>
      <c r="AD39" s="104" t="s">
        <v>302</v>
      </c>
      <c r="AE39" s="31">
        <v>12</v>
      </c>
      <c r="AF39" s="31">
        <v>0</v>
      </c>
      <c r="AG39" s="64">
        <f>(AF39/AE39)*100</f>
        <v>0</v>
      </c>
      <c r="AH39" s="73">
        <v>0</v>
      </c>
      <c r="AI39" s="73">
        <v>0</v>
      </c>
      <c r="AJ39" s="60">
        <v>0</v>
      </c>
      <c r="AK39" s="101" t="s">
        <v>304</v>
      </c>
      <c r="AL39" s="68">
        <v>12</v>
      </c>
      <c r="AM39" s="68">
        <v>12</v>
      </c>
      <c r="AN39" s="70">
        <f t="shared" si="7"/>
        <v>100</v>
      </c>
      <c r="AO39" s="129" t="s">
        <v>369</v>
      </c>
    </row>
    <row r="40" spans="1:41" s="42" customFormat="1" ht="244.5" customHeight="1" x14ac:dyDescent="0.4">
      <c r="A40" s="135"/>
      <c r="B40" s="136"/>
      <c r="C40" s="136"/>
      <c r="D40" s="136"/>
      <c r="E40" s="136"/>
      <c r="F40" s="146"/>
      <c r="G40" s="140"/>
      <c r="H40" s="143"/>
      <c r="I40" s="79" t="s">
        <v>233</v>
      </c>
      <c r="J40" s="55" t="s">
        <v>82</v>
      </c>
      <c r="K40" s="55" t="s">
        <v>123</v>
      </c>
      <c r="L40" s="41">
        <v>12</v>
      </c>
      <c r="M40" s="41">
        <v>0</v>
      </c>
      <c r="N40" s="47">
        <f t="shared" si="0"/>
        <v>0</v>
      </c>
      <c r="O40" s="41"/>
      <c r="P40" s="41"/>
      <c r="Q40" s="58" t="s">
        <v>260</v>
      </c>
      <c r="R40" s="41">
        <v>12</v>
      </c>
      <c r="S40" s="41">
        <v>0</v>
      </c>
      <c r="T40" s="44">
        <f t="shared" si="1"/>
        <v>0</v>
      </c>
      <c r="U40" s="41"/>
      <c r="V40" s="46">
        <v>0</v>
      </c>
      <c r="W40" s="59" t="s">
        <v>260</v>
      </c>
      <c r="X40" s="41">
        <v>0</v>
      </c>
      <c r="Y40" s="41">
        <v>0</v>
      </c>
      <c r="Z40" s="64" t="s">
        <v>299</v>
      </c>
      <c r="AA40" s="67">
        <v>0</v>
      </c>
      <c r="AB40" s="46">
        <v>0</v>
      </c>
      <c r="AC40" s="60">
        <v>0</v>
      </c>
      <c r="AD40" s="105" t="s">
        <v>306</v>
      </c>
      <c r="AE40" s="41">
        <v>1</v>
      </c>
      <c r="AF40" s="41">
        <v>0</v>
      </c>
      <c r="AG40" s="64">
        <f t="shared" si="3"/>
        <v>0</v>
      </c>
      <c r="AH40" s="72">
        <v>0</v>
      </c>
      <c r="AI40" s="72">
        <v>0</v>
      </c>
      <c r="AJ40" s="60">
        <v>0</v>
      </c>
      <c r="AK40" s="99" t="s">
        <v>304</v>
      </c>
      <c r="AL40" s="41">
        <v>12</v>
      </c>
      <c r="AM40" s="41">
        <v>0</v>
      </c>
      <c r="AN40" s="70">
        <f t="shared" si="7"/>
        <v>0</v>
      </c>
      <c r="AO40" s="99" t="s">
        <v>332</v>
      </c>
    </row>
    <row r="41" spans="1:41" s="42" customFormat="1" ht="244.5" customHeight="1" x14ac:dyDescent="0.4">
      <c r="A41" s="135"/>
      <c r="B41" s="136"/>
      <c r="C41" s="136"/>
      <c r="D41" s="136"/>
      <c r="E41" s="136"/>
      <c r="F41" s="146"/>
      <c r="G41" s="39" t="s">
        <v>199</v>
      </c>
      <c r="H41" s="34" t="s">
        <v>70</v>
      </c>
      <c r="I41" s="79" t="s">
        <v>71</v>
      </c>
      <c r="J41" s="55" t="s">
        <v>124</v>
      </c>
      <c r="K41" s="55" t="s">
        <v>125</v>
      </c>
      <c r="L41" s="41">
        <v>0</v>
      </c>
      <c r="M41" s="41">
        <v>0</v>
      </c>
      <c r="N41" s="47" t="e">
        <f t="shared" si="0"/>
        <v>#DIV/0!</v>
      </c>
      <c r="O41" s="41"/>
      <c r="P41" s="41"/>
      <c r="Q41" s="58" t="s">
        <v>260</v>
      </c>
      <c r="R41" s="41">
        <v>0</v>
      </c>
      <c r="S41" s="41">
        <v>0</v>
      </c>
      <c r="T41" s="44" t="e">
        <f t="shared" si="1"/>
        <v>#DIV/0!</v>
      </c>
      <c r="U41" s="41"/>
      <c r="V41" s="46">
        <v>0</v>
      </c>
      <c r="W41" s="59" t="s">
        <v>260</v>
      </c>
      <c r="X41" s="41">
        <v>1</v>
      </c>
      <c r="Y41" s="41">
        <v>0</v>
      </c>
      <c r="Z41" s="64">
        <f t="shared" si="5"/>
        <v>0</v>
      </c>
      <c r="AA41" s="67">
        <v>0</v>
      </c>
      <c r="AB41" s="46">
        <v>0</v>
      </c>
      <c r="AC41" s="60">
        <v>0</v>
      </c>
      <c r="AD41" s="104" t="s">
        <v>305</v>
      </c>
      <c r="AE41" s="41">
        <v>1</v>
      </c>
      <c r="AF41" s="41">
        <v>0</v>
      </c>
      <c r="AG41" s="64">
        <f>(AF41/AE41)*100</f>
        <v>0</v>
      </c>
      <c r="AH41" s="72">
        <v>0</v>
      </c>
      <c r="AI41" s="72">
        <v>0</v>
      </c>
      <c r="AJ41" s="60">
        <v>0</v>
      </c>
      <c r="AK41" s="99" t="s">
        <v>304</v>
      </c>
      <c r="AL41" s="41">
        <v>8</v>
      </c>
      <c r="AM41" s="41">
        <v>0</v>
      </c>
      <c r="AN41" s="70">
        <f t="shared" si="7"/>
        <v>0</v>
      </c>
      <c r="AO41" s="99" t="s">
        <v>332</v>
      </c>
    </row>
    <row r="42" spans="1:41" s="42" customFormat="1" ht="295.5" customHeight="1" x14ac:dyDescent="0.4">
      <c r="A42" s="135"/>
      <c r="B42" s="136"/>
      <c r="C42" s="39" t="s">
        <v>154</v>
      </c>
      <c r="D42" s="39" t="s">
        <v>139</v>
      </c>
      <c r="E42" s="39" t="s">
        <v>200</v>
      </c>
      <c r="F42" s="34" t="s">
        <v>48</v>
      </c>
      <c r="G42" s="39" t="s">
        <v>201</v>
      </c>
      <c r="H42" s="34" t="s">
        <v>216</v>
      </c>
      <c r="I42" s="79" t="s">
        <v>72</v>
      </c>
      <c r="J42" s="55" t="s">
        <v>126</v>
      </c>
      <c r="K42" s="55" t="s">
        <v>127</v>
      </c>
      <c r="L42" s="41">
        <v>0</v>
      </c>
      <c r="M42" s="41">
        <v>0</v>
      </c>
      <c r="N42" s="47" t="e">
        <f t="shared" si="0"/>
        <v>#DIV/0!</v>
      </c>
      <c r="O42" s="41"/>
      <c r="P42" s="41"/>
      <c r="Q42" s="58" t="s">
        <v>260</v>
      </c>
      <c r="R42" s="41">
        <v>1</v>
      </c>
      <c r="S42" s="41">
        <v>0</v>
      </c>
      <c r="T42" s="44">
        <f t="shared" si="1"/>
        <v>0</v>
      </c>
      <c r="U42" s="41"/>
      <c r="V42" s="46">
        <v>0</v>
      </c>
      <c r="W42" s="59" t="s">
        <v>260</v>
      </c>
      <c r="X42" s="41">
        <v>0</v>
      </c>
      <c r="Y42" s="41">
        <v>0</v>
      </c>
      <c r="Z42" s="64" t="s">
        <v>299</v>
      </c>
      <c r="AA42" s="67">
        <v>0</v>
      </c>
      <c r="AB42" s="46">
        <v>0</v>
      </c>
      <c r="AC42" s="60">
        <v>0</v>
      </c>
      <c r="AD42" s="105" t="s">
        <v>306</v>
      </c>
      <c r="AE42" s="41">
        <v>1</v>
      </c>
      <c r="AF42" s="41">
        <v>0</v>
      </c>
      <c r="AG42" s="64">
        <f t="shared" si="3"/>
        <v>0</v>
      </c>
      <c r="AH42" s="72">
        <v>0</v>
      </c>
      <c r="AI42" s="72">
        <v>0</v>
      </c>
      <c r="AJ42" s="60">
        <v>0</v>
      </c>
      <c r="AK42" s="99" t="s">
        <v>304</v>
      </c>
      <c r="AL42" s="41">
        <v>9</v>
      </c>
      <c r="AM42" s="41">
        <v>0</v>
      </c>
      <c r="AN42" s="70">
        <f t="shared" si="7"/>
        <v>0</v>
      </c>
      <c r="AO42" s="99" t="s">
        <v>332</v>
      </c>
    </row>
    <row r="61" spans="2:5" ht="102.75" customHeight="1" x14ac:dyDescent="0.25">
      <c r="B61" s="26"/>
      <c r="C61" s="26"/>
      <c r="D61" s="27"/>
      <c r="E61" s="28"/>
    </row>
    <row r="62" spans="2:5" ht="102.75" customHeight="1" x14ac:dyDescent="0.25">
      <c r="B62" s="26"/>
      <c r="C62" s="26"/>
      <c r="D62" s="27"/>
      <c r="E62" s="28"/>
    </row>
    <row r="63" spans="2:5" ht="102.75" customHeight="1" x14ac:dyDescent="0.25">
      <c r="B63" s="26"/>
      <c r="C63" s="26"/>
      <c r="D63" s="27"/>
      <c r="E63" s="28"/>
    </row>
    <row r="64" spans="2:5" ht="102.75" customHeight="1" x14ac:dyDescent="0.25">
      <c r="B64" s="26"/>
      <c r="C64" s="26"/>
      <c r="D64" s="27"/>
      <c r="E64" s="28"/>
    </row>
    <row r="65" spans="2:5" ht="102.75" customHeight="1" x14ac:dyDescent="0.25">
      <c r="B65" s="26"/>
      <c r="C65" s="26"/>
      <c r="D65" s="27"/>
      <c r="E65" s="28"/>
    </row>
    <row r="66" spans="2:5" ht="102.75" customHeight="1" x14ac:dyDescent="0.25">
      <c r="B66" s="26"/>
      <c r="C66" s="26"/>
      <c r="D66" s="27"/>
      <c r="E66" s="28"/>
    </row>
    <row r="67" spans="2:5" ht="102.75" customHeight="1" x14ac:dyDescent="0.25">
      <c r="B67" s="26"/>
      <c r="C67" s="26"/>
      <c r="D67" s="27"/>
      <c r="E67" s="28"/>
    </row>
    <row r="68" spans="2:5" ht="102.75" customHeight="1" x14ac:dyDescent="0.25">
      <c r="B68" s="26"/>
      <c r="C68" s="26"/>
      <c r="D68" s="27"/>
      <c r="E68" s="28"/>
    </row>
    <row r="69" spans="2:5" ht="102.75" customHeight="1" x14ac:dyDescent="0.25">
      <c r="B69" s="26"/>
      <c r="C69" s="26"/>
      <c r="D69" s="27"/>
      <c r="E69" s="28"/>
    </row>
    <row r="70" spans="2:5" ht="102.75" customHeight="1" x14ac:dyDescent="0.25">
      <c r="B70" s="26"/>
      <c r="C70" s="26"/>
      <c r="D70" s="27"/>
      <c r="E70" s="28"/>
    </row>
    <row r="72" spans="2:5" ht="102.75" customHeight="1" x14ac:dyDescent="0.25">
      <c r="B72" s="26"/>
      <c r="C72" s="26"/>
      <c r="D72" s="27"/>
      <c r="E72" s="28"/>
    </row>
    <row r="73" spans="2:5" ht="102.75" customHeight="1" x14ac:dyDescent="0.25">
      <c r="B73" s="26"/>
      <c r="C73" s="26"/>
      <c r="D73" s="27"/>
      <c r="E73" s="28"/>
    </row>
    <row r="74" spans="2:5" ht="102.75" customHeight="1" x14ac:dyDescent="0.25">
      <c r="B74" s="26"/>
      <c r="C74" s="26"/>
      <c r="D74" s="27"/>
      <c r="E74" s="28"/>
    </row>
    <row r="75" spans="2:5" ht="102.75" customHeight="1" x14ac:dyDescent="0.25">
      <c r="B75" s="26"/>
      <c r="C75" s="26"/>
      <c r="D75" s="27"/>
      <c r="E75" s="28"/>
    </row>
    <row r="76" spans="2:5" ht="102.75" customHeight="1" x14ac:dyDescent="0.25">
      <c r="B76" s="26"/>
      <c r="C76" s="26"/>
      <c r="D76" s="27"/>
      <c r="E76" s="28"/>
    </row>
  </sheetData>
  <mergeCells count="67">
    <mergeCell ref="AL2:AO2"/>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 ref="G26:G27"/>
    <mergeCell ref="A17:A23"/>
    <mergeCell ref="B17:B23"/>
    <mergeCell ref="C17:C21"/>
    <mergeCell ref="C22:C23"/>
    <mergeCell ref="D17:D21"/>
    <mergeCell ref="A24:A37"/>
    <mergeCell ref="G17:G18"/>
    <mergeCell ref="E17:E21"/>
    <mergeCell ref="E26:E31"/>
    <mergeCell ref="F26:F31"/>
    <mergeCell ref="E22:E23"/>
    <mergeCell ref="D4:D5"/>
    <mergeCell ref="D6:D9"/>
    <mergeCell ref="C10:C13"/>
    <mergeCell ref="D22:D23"/>
    <mergeCell ref="E14:E15"/>
    <mergeCell ref="E6:E7"/>
    <mergeCell ref="E12:E13"/>
    <mergeCell ref="E8:E9"/>
    <mergeCell ref="E10:E11"/>
    <mergeCell ref="D10:D13"/>
    <mergeCell ref="D14:D16"/>
    <mergeCell ref="A4:A5"/>
    <mergeCell ref="C4:C5"/>
    <mergeCell ref="B4:B5"/>
    <mergeCell ref="A6:A16"/>
    <mergeCell ref="B6:B16"/>
    <mergeCell ref="C6:C9"/>
    <mergeCell ref="C14:C16"/>
    <mergeCell ref="A38:A42"/>
    <mergeCell ref="E38:E41"/>
    <mergeCell ref="C38:C41"/>
    <mergeCell ref="B24:B37"/>
    <mergeCell ref="E33:E37"/>
    <mergeCell ref="C33:C37"/>
    <mergeCell ref="D24:D25"/>
    <mergeCell ref="C26:C32"/>
    <mergeCell ref="C24:C25"/>
    <mergeCell ref="D33:D37"/>
    <mergeCell ref="B38:B42"/>
    <mergeCell ref="D38:D41"/>
    <mergeCell ref="D26:D32"/>
    <mergeCell ref="AE2:AK2"/>
    <mergeCell ref="R2:W2"/>
    <mergeCell ref="X2:AD2"/>
    <mergeCell ref="C3:D3"/>
    <mergeCell ref="E3:F3"/>
    <mergeCell ref="H2:K2"/>
    <mergeCell ref="G3:H3"/>
    <mergeCell ref="L2:Q2"/>
  </mergeCells>
  <conditionalFormatting sqref="N4:N24 N26:N42">
    <cfRule type="cellIs" dxfId="34" priority="214" operator="between">
      <formula>0</formula>
      <formula>39</formula>
    </cfRule>
    <cfRule type="cellIs" dxfId="33" priority="212" operator="between">
      <formula>60</formula>
      <formula>69</formula>
    </cfRule>
    <cfRule type="cellIs" dxfId="32" priority="211" operator="between">
      <formula>70</formula>
      <formula>79</formula>
    </cfRule>
    <cfRule type="cellIs" dxfId="31" priority="210" operator="between">
      <formula>80</formula>
      <formula>100</formula>
    </cfRule>
  </conditionalFormatting>
  <conditionalFormatting sqref="N4:N42">
    <cfRule type="cellIs" dxfId="30" priority="209" operator="between">
      <formula>40</formula>
      <formula>59</formula>
    </cfRule>
  </conditionalFormatting>
  <conditionalFormatting sqref="T4:T42">
    <cfRule type="cellIs" dxfId="29" priority="208" operator="between">
      <formula>0</formula>
      <formula>39</formula>
    </cfRule>
    <cfRule type="cellIs" dxfId="28" priority="207" operator="between">
      <formula>40</formula>
      <formula>59</formula>
    </cfRule>
    <cfRule type="cellIs" dxfId="27" priority="206" operator="between">
      <formula>60</formula>
      <formula>69</formula>
    </cfRule>
    <cfRule type="cellIs" dxfId="26" priority="205" operator="between">
      <formula>70</formula>
      <formula>79</formula>
    </cfRule>
    <cfRule type="cellIs" dxfId="25" priority="204" operator="between">
      <formula>80</formula>
      <formula>100</formula>
    </cfRule>
  </conditionalFormatting>
  <conditionalFormatting sqref="Z4:Z42">
    <cfRule type="cellIs" dxfId="24" priority="91" operator="between">
      <formula>80</formula>
      <formula>100</formula>
    </cfRule>
    <cfRule type="cellIs" dxfId="23" priority="92" operator="between">
      <formula>70</formula>
      <formula>79</formula>
    </cfRule>
    <cfRule type="cellIs" dxfId="22" priority="93" operator="between">
      <formula>60</formula>
      <formula>69</formula>
    </cfRule>
    <cfRule type="cellIs" dxfId="21" priority="94" operator="between">
      <formula>40</formula>
      <formula>59</formula>
    </cfRule>
    <cfRule type="cellIs" dxfId="20" priority="95" operator="between">
      <formula>0</formula>
      <formula>39</formula>
    </cfRule>
  </conditionalFormatting>
  <conditionalFormatting sqref="AC4:AC42">
    <cfRule type="cellIs" dxfId="19" priority="116" operator="between">
      <formula>0.8</formula>
      <formula>1</formula>
    </cfRule>
    <cfRule type="cellIs" dxfId="18" priority="117" operator="between">
      <formula>0.7</formula>
      <formula>0.79</formula>
    </cfRule>
    <cfRule type="cellIs" dxfId="17" priority="118" operator="between">
      <formula>0.6</formula>
      <formula>0.69</formula>
    </cfRule>
    <cfRule type="cellIs" dxfId="16" priority="119" operator="between">
      <formula>0.4</formula>
      <formula>0.59</formula>
    </cfRule>
    <cfRule type="cellIs" dxfId="15" priority="120" operator="between">
      <formula>0</formula>
      <formula>0.39</formula>
    </cfRule>
  </conditionalFormatting>
  <conditionalFormatting sqref="AG4:AG42">
    <cfRule type="cellIs" dxfId="14" priority="5" operator="between">
      <formula>0</formula>
      <formula>39</formula>
    </cfRule>
    <cfRule type="cellIs" dxfId="13" priority="4" operator="between">
      <formula>40</formula>
      <formula>59</formula>
    </cfRule>
    <cfRule type="cellIs" dxfId="12" priority="3" operator="between">
      <formula>60</formula>
      <formula>69</formula>
    </cfRule>
    <cfRule type="cellIs" dxfId="11" priority="2" operator="between">
      <formula>70</formula>
      <formula>79</formula>
    </cfRule>
    <cfRule type="cellIs" dxfId="10" priority="1" operator="between">
      <formula>80</formula>
      <formula>100</formula>
    </cfRule>
  </conditionalFormatting>
  <conditionalFormatting sqref="AJ4:AJ42">
    <cfRule type="cellIs" dxfId="9" priority="40" operator="between">
      <formula>0</formula>
      <formula>0.39</formula>
    </cfRule>
    <cfRule type="cellIs" dxfId="8" priority="39" operator="between">
      <formula>0.4</formula>
      <formula>0.59</formula>
    </cfRule>
    <cfRule type="cellIs" dxfId="7" priority="38" operator="between">
      <formula>0.6</formula>
      <formula>0.69</formula>
    </cfRule>
    <cfRule type="cellIs" dxfId="6" priority="37" operator="between">
      <formula>0.7</formula>
      <formula>0.79</formula>
    </cfRule>
    <cfRule type="cellIs" dxfId="5" priority="36" operator="between">
      <formula>0.8</formula>
      <formula>1</formula>
    </cfRule>
  </conditionalFormatting>
  <conditionalFormatting sqref="AN4:AN42">
    <cfRule type="cellIs" dxfId="4" priority="194" operator="between">
      <formula>80</formula>
      <formula>100</formula>
    </cfRule>
    <cfRule type="cellIs" dxfId="3" priority="195" operator="between">
      <formula>70</formula>
      <formula>79</formula>
    </cfRule>
    <cfRule type="cellIs" dxfId="2" priority="196" operator="between">
      <formula>60</formula>
      <formula>69</formula>
    </cfRule>
    <cfRule type="cellIs" dxfId="1" priority="197" operator="between">
      <formula>40</formula>
      <formula>59</formula>
    </cfRule>
    <cfRule type="cellIs" dxfId="0" priority="198" operator="between">
      <formula>0</formula>
      <formula>39</formula>
    </cfRule>
  </conditionalFormatting>
  <pageMargins left="0.7" right="0.7" top="0.75" bottom="0.75" header="0.3" footer="0.3"/>
  <pageSetup paperSize="5" scale="10" fitToHeight="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48" zoomScaleNormal="48" workbookViewId="0">
      <selection activeCell="O16" sqref="O16"/>
    </sheetView>
  </sheetViews>
  <sheetFormatPr baseColWidth="10" defaultRowHeight="15" x14ac:dyDescent="0.25"/>
  <cols>
    <col min="2" max="2" width="22.28515625" customWidth="1"/>
    <col min="3" max="4" width="20.42578125" customWidth="1"/>
    <col min="5" max="5" width="18.85546875" customWidth="1"/>
    <col min="6" max="6" width="23.42578125" customWidth="1"/>
    <col min="7" max="7" width="25.140625" customWidth="1"/>
    <col min="8" max="8" width="20.42578125" customWidth="1"/>
    <col min="9" max="9" width="18.85546875" customWidth="1"/>
    <col min="10" max="10" width="22" customWidth="1"/>
    <col min="13" max="13" width="13.42578125" customWidth="1"/>
    <col min="14" max="14" width="23" customWidth="1"/>
    <col min="15" max="15" width="26.28515625" customWidth="1"/>
  </cols>
  <sheetData>
    <row r="1" spans="1:23" ht="15.75" customHeight="1" thickBot="1" x14ac:dyDescent="0.3">
      <c r="A1" s="151" t="s">
        <v>245</v>
      </c>
      <c r="B1" s="153" t="s">
        <v>246</v>
      </c>
      <c r="C1" s="153" t="s">
        <v>292</v>
      </c>
      <c r="D1" s="153" t="s">
        <v>3</v>
      </c>
      <c r="E1" s="155" t="s">
        <v>349</v>
      </c>
      <c r="F1" s="156"/>
      <c r="G1" s="156"/>
      <c r="H1" s="156"/>
      <c r="I1" s="156"/>
      <c r="J1" s="157"/>
    </row>
    <row r="2" spans="1:23" ht="27.75" customHeight="1" thickBot="1" x14ac:dyDescent="0.3">
      <c r="A2" s="152"/>
      <c r="B2" s="154"/>
      <c r="C2" s="154"/>
      <c r="D2" s="154"/>
      <c r="E2" s="10" t="s">
        <v>235</v>
      </c>
      <c r="F2" s="10" t="s">
        <v>236</v>
      </c>
      <c r="G2" s="10" t="s">
        <v>237</v>
      </c>
      <c r="H2" s="10" t="s">
        <v>238</v>
      </c>
      <c r="I2" s="10" t="s">
        <v>239</v>
      </c>
      <c r="J2" s="11" t="s">
        <v>247</v>
      </c>
      <c r="N2" s="2" t="s">
        <v>248</v>
      </c>
      <c r="O2" s="3" t="s">
        <v>249</v>
      </c>
      <c r="Q2" s="150"/>
      <c r="R2" s="150"/>
      <c r="S2" s="150"/>
      <c r="T2" s="150"/>
      <c r="U2" s="150"/>
      <c r="V2" s="150"/>
      <c r="W2" s="150"/>
    </row>
    <row r="3" spans="1:23" ht="60.75" customHeight="1" thickBot="1" x14ac:dyDescent="0.3">
      <c r="A3" s="12">
        <v>1</v>
      </c>
      <c r="B3" s="13" t="s">
        <v>234</v>
      </c>
      <c r="C3" s="14">
        <v>2</v>
      </c>
      <c r="D3" s="51" t="s">
        <v>293</v>
      </c>
      <c r="E3" s="15">
        <v>1</v>
      </c>
      <c r="F3" s="16"/>
      <c r="G3" s="30"/>
      <c r="H3" s="17"/>
      <c r="I3" s="18">
        <v>1</v>
      </c>
      <c r="J3" s="19">
        <f>SUM(E3:I3)</f>
        <v>2</v>
      </c>
      <c r="N3" s="4" t="s">
        <v>250</v>
      </c>
      <c r="O3" s="5">
        <v>18</v>
      </c>
    </row>
    <row r="4" spans="1:23" ht="83.25" customHeight="1" thickBot="1" x14ac:dyDescent="0.3">
      <c r="A4" s="12">
        <v>2</v>
      </c>
      <c r="B4" s="13" t="s">
        <v>14</v>
      </c>
      <c r="C4" s="14">
        <v>11</v>
      </c>
      <c r="D4" s="51" t="s">
        <v>294</v>
      </c>
      <c r="E4" s="15">
        <v>4</v>
      </c>
      <c r="F4" s="16">
        <v>2</v>
      </c>
      <c r="G4" s="30"/>
      <c r="H4" s="17"/>
      <c r="I4" s="18">
        <v>5</v>
      </c>
      <c r="J4" s="19">
        <f t="shared" ref="J4:J7" si="0">SUM(E4:I4)</f>
        <v>11</v>
      </c>
      <c r="N4" s="6" t="s">
        <v>236</v>
      </c>
      <c r="O4" s="5">
        <v>4</v>
      </c>
    </row>
    <row r="5" spans="1:23" ht="60" customHeight="1" thickBot="1" x14ac:dyDescent="0.3">
      <c r="A5" s="12">
        <v>3</v>
      </c>
      <c r="B5" s="13" t="s">
        <v>24</v>
      </c>
      <c r="C5" s="14">
        <v>7</v>
      </c>
      <c r="D5" s="51" t="s">
        <v>295</v>
      </c>
      <c r="E5" s="15">
        <v>3</v>
      </c>
      <c r="F5" s="16">
        <v>2</v>
      </c>
      <c r="G5" s="30"/>
      <c r="H5" s="17">
        <v>1</v>
      </c>
      <c r="I5" s="18">
        <v>1</v>
      </c>
      <c r="J5" s="19">
        <f t="shared" si="0"/>
        <v>7</v>
      </c>
      <c r="N5" s="7" t="s">
        <v>237</v>
      </c>
      <c r="O5" s="5">
        <f>G8</f>
        <v>0</v>
      </c>
    </row>
    <row r="6" spans="1:23" ht="79.5" customHeight="1" thickBot="1" x14ac:dyDescent="0.3">
      <c r="A6" s="12">
        <v>4</v>
      </c>
      <c r="B6" s="13" t="s">
        <v>30</v>
      </c>
      <c r="C6" s="14">
        <v>14</v>
      </c>
      <c r="D6" s="51" t="s">
        <v>296</v>
      </c>
      <c r="E6" s="15">
        <v>6</v>
      </c>
      <c r="F6" s="16"/>
      <c r="G6" s="30"/>
      <c r="H6" s="17"/>
      <c r="I6" s="18">
        <v>8</v>
      </c>
      <c r="J6" s="19">
        <f t="shared" si="0"/>
        <v>14</v>
      </c>
      <c r="N6" s="8" t="s">
        <v>238</v>
      </c>
      <c r="O6" s="5">
        <v>1</v>
      </c>
    </row>
    <row r="7" spans="1:23" ht="107.25" customHeight="1" thickBot="1" x14ac:dyDescent="0.3">
      <c r="A7" s="12">
        <v>5</v>
      </c>
      <c r="B7" s="13" t="s">
        <v>39</v>
      </c>
      <c r="C7" s="14">
        <v>5</v>
      </c>
      <c r="D7" s="51" t="s">
        <v>297</v>
      </c>
      <c r="E7" s="15">
        <v>4</v>
      </c>
      <c r="F7" s="16"/>
      <c r="G7" s="30"/>
      <c r="H7" s="17"/>
      <c r="I7" s="18">
        <v>1</v>
      </c>
      <c r="J7" s="19">
        <f t="shared" si="0"/>
        <v>5</v>
      </c>
      <c r="N7" s="9" t="s">
        <v>239</v>
      </c>
      <c r="O7" s="5">
        <v>16</v>
      </c>
    </row>
    <row r="8" spans="1:23" ht="15.75" thickBot="1" x14ac:dyDescent="0.3">
      <c r="A8" s="147" t="s">
        <v>292</v>
      </c>
      <c r="B8" s="148"/>
      <c r="C8" s="148"/>
      <c r="D8" s="149"/>
      <c r="E8" s="20">
        <f>SUM(E3:E7)</f>
        <v>18</v>
      </c>
      <c r="F8" s="20">
        <f t="shared" ref="F8:I8" si="1">SUM(F3:F7)</f>
        <v>4</v>
      </c>
      <c r="G8" s="20">
        <f t="shared" si="1"/>
        <v>0</v>
      </c>
      <c r="H8" s="20">
        <f t="shared" si="1"/>
        <v>1</v>
      </c>
      <c r="I8" s="20">
        <f t="shared" si="1"/>
        <v>16</v>
      </c>
      <c r="J8" s="20">
        <f>SUM(J3:J7)</f>
        <v>39</v>
      </c>
      <c r="O8">
        <f>O3+O4+O5+O6+O7</f>
        <v>39</v>
      </c>
    </row>
    <row r="14" spans="1:23" ht="15.75" thickBot="1" x14ac:dyDescent="0.3"/>
    <row r="15" spans="1:23" ht="24" customHeight="1" x14ac:dyDescent="0.25">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
      <c r="B16" s="24" t="s">
        <v>234</v>
      </c>
      <c r="C16" s="15">
        <f>E3</f>
        <v>1</v>
      </c>
      <c r="D16" s="16">
        <f>F3</f>
        <v>0</v>
      </c>
      <c r="E16" s="30">
        <f>G3</f>
        <v>0</v>
      </c>
      <c r="F16" s="17">
        <f>H3</f>
        <v>0</v>
      </c>
      <c r="G16" s="18">
        <f>I3</f>
        <v>1</v>
      </c>
      <c r="J16" s="24" t="s">
        <v>14</v>
      </c>
      <c r="K16" s="15">
        <f>E4</f>
        <v>4</v>
      </c>
      <c r="L16" s="16">
        <f>F4</f>
        <v>2</v>
      </c>
      <c r="M16" s="30">
        <f>G4</f>
        <v>0</v>
      </c>
      <c r="N16" s="17">
        <f>H4</f>
        <v>0</v>
      </c>
      <c r="O16" s="18">
        <f>I4</f>
        <v>5</v>
      </c>
    </row>
    <row r="17" spans="2:30" x14ac:dyDescent="0.25">
      <c r="B17" s="1"/>
    </row>
    <row r="19" spans="2:30" ht="65.25" customHeight="1" x14ac:dyDescent="0.25"/>
    <row r="22" spans="2:30" ht="54.75" customHeight="1" x14ac:dyDescent="0.25"/>
    <row r="24" spans="2:30" x14ac:dyDescent="0.25">
      <c r="AD24" s="1"/>
    </row>
    <row r="25" spans="2:30" ht="80.25" customHeight="1" thickBot="1" x14ac:dyDescent="0.3"/>
    <row r="26" spans="2:30" ht="48" customHeight="1" x14ac:dyDescent="0.25">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
      <c r="B27" s="24" t="s">
        <v>24</v>
      </c>
      <c r="C27" s="15">
        <f>E5</f>
        <v>3</v>
      </c>
      <c r="D27" s="16">
        <f>F5</f>
        <v>2</v>
      </c>
      <c r="E27" s="30">
        <f>G5</f>
        <v>0</v>
      </c>
      <c r="F27" s="17">
        <f>H5</f>
        <v>1</v>
      </c>
      <c r="G27" s="18">
        <f>I5</f>
        <v>1</v>
      </c>
      <c r="J27" s="24" t="s">
        <v>30</v>
      </c>
      <c r="K27" s="15">
        <f>E6</f>
        <v>6</v>
      </c>
      <c r="L27" s="16">
        <f>F6</f>
        <v>0</v>
      </c>
      <c r="M27" s="30">
        <f>G6</f>
        <v>0</v>
      </c>
      <c r="N27" s="17">
        <f>H6</f>
        <v>0</v>
      </c>
      <c r="O27" s="18">
        <f>I6</f>
        <v>8</v>
      </c>
      <c r="AD27" s="1"/>
    </row>
    <row r="28" spans="2:30" ht="96.75" customHeight="1" x14ac:dyDescent="0.25"/>
    <row r="30" spans="2:30" x14ac:dyDescent="0.25">
      <c r="AD30" s="1"/>
    </row>
    <row r="44" spans="2:7" ht="15.75" thickBot="1" x14ac:dyDescent="0.3"/>
    <row r="45" spans="2:7" ht="30" customHeight="1" x14ac:dyDescent="0.25">
      <c r="B45" s="21" t="s">
        <v>244</v>
      </c>
      <c r="C45" s="22" t="s">
        <v>235</v>
      </c>
      <c r="D45" s="22" t="s">
        <v>236</v>
      </c>
      <c r="E45" s="22" t="s">
        <v>237</v>
      </c>
      <c r="F45" s="22" t="s">
        <v>238</v>
      </c>
      <c r="G45" s="23" t="s">
        <v>239</v>
      </c>
    </row>
    <row r="46" spans="2:7" ht="90.75" customHeight="1" thickBot="1" x14ac:dyDescent="0.3">
      <c r="B46" s="24" t="s">
        <v>39</v>
      </c>
      <c r="C46" s="15">
        <f>E7</f>
        <v>4</v>
      </c>
      <c r="D46" s="16">
        <f>F7</f>
        <v>0</v>
      </c>
      <c r="E46" s="30">
        <f>G7</f>
        <v>0</v>
      </c>
      <c r="F46" s="17">
        <f>H7</f>
        <v>0</v>
      </c>
      <c r="G46" s="18">
        <f>I7</f>
        <v>1</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cp:lastModifiedBy>
  <cp:lastPrinted>2021-08-19T15:54:10Z</cp:lastPrinted>
  <dcterms:created xsi:type="dcterms:W3CDTF">2019-05-08T13:38:43Z</dcterms:created>
  <dcterms:modified xsi:type="dcterms:W3CDTF">2023-10-08T00:27:21Z</dcterms:modified>
</cp:coreProperties>
</file>