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Fanny Villamil H\Desktop\INSTRUMENTOS PUBLICAR\"/>
    </mc:Choice>
  </mc:AlternateContent>
  <xr:revisionPtr revIDLastSave="0" documentId="13_ncr:1_{519537AD-9598-46FA-B84A-87CC8BFA8817}" xr6:coauthVersionLast="45" xr6:coauthVersionMax="45" xr10:uidLastSave="{00000000-0000-0000-0000-000000000000}"/>
  <bookViews>
    <workbookView xWindow="-120" yWindow="90" windowWidth="20490" windowHeight="10920" xr2:uid="{00000000-000D-0000-FFFF-FFFF00000000}"/>
  </bookViews>
  <sheets>
    <sheet name="SGTO PA PLANEACION" sheetId="8" r:id="rId1"/>
    <sheet name="SGTO PA HACIENDA" sheetId="7" r:id="rId2"/>
    <sheet name="SGTO PA INFRA" sheetId="3" r:id="rId3"/>
    <sheet name="SGTO PA INTERIOR" sheetId="11" r:id="rId4"/>
    <sheet name="SGTO PA CULTURA" sheetId="12" r:id="rId5"/>
    <sheet name="SGTO PA TURISMO" sheetId="9" r:id="rId6"/>
    <sheet name="SGTO PA AGRICULTURA" sheetId="13" r:id="rId7"/>
    <sheet name="SGTO PA PRIVADA" sheetId="14" r:id="rId8"/>
    <sheet name="SGTO PA EDCACION" sheetId="18" r:id="rId9"/>
    <sheet name="SGTO PA FAMILIA" sheetId="6" r:id="rId10"/>
    <sheet name="SGT PA SALUD" sheetId="16" r:id="rId11"/>
    <sheet name="SGTO PA TIC" sheetId="1" r:id="rId12"/>
    <sheet name="SGTO PA INDEPORTES" sheetId="15" r:id="rId13"/>
    <sheet name="SGTO PA PROMOTORA" sheetId="5" r:id="rId14"/>
    <sheet name="SGTO PA IDTQ" sheetId="4" r:id="rId15"/>
  </sheets>
  <externalReferences>
    <externalReference r:id="rId16"/>
    <externalReference r:id="rId17"/>
    <externalReference r:id="rId18"/>
    <externalReference r:id="rId19"/>
    <externalReference r:id="rId20"/>
    <externalReference r:id="rId21"/>
  </externalReferences>
  <definedNames>
    <definedName name="_1._Apoyo_con_equipos_para_la_seguridad_vial_Licenciamiento_de_software_para_comunicaciones" localSheetId="10">#REF!</definedName>
    <definedName name="_1._Apoyo_con_equipos_para_la_seguridad_vial_Licenciamiento_de_software_para_comunicaciones" localSheetId="6">#REF!</definedName>
    <definedName name="_1._Apoyo_con_equipos_para_la_seguridad_vial_Licenciamiento_de_software_para_comunicaciones" localSheetId="4">#REF!</definedName>
    <definedName name="_1._Apoyo_con_equipos_para_la_seguridad_vial_Licenciamiento_de_software_para_comunicaciones" localSheetId="8">#REF!</definedName>
    <definedName name="_1._Apoyo_con_equipos_para_la_seguridad_vial_Licenciamiento_de_software_para_comunicaciones" localSheetId="9">#REF!</definedName>
    <definedName name="_1._Apoyo_con_equipos_para_la_seguridad_vial_Licenciamiento_de_software_para_comunicaciones" localSheetId="1">#REF!</definedName>
    <definedName name="_1._Apoyo_con_equipos_para_la_seguridad_vial_Licenciamiento_de_software_para_comunicaciones" localSheetId="14">#REF!</definedName>
    <definedName name="_1._Apoyo_con_equipos_para_la_seguridad_vial_Licenciamiento_de_software_para_comunicaciones" localSheetId="12">#REF!</definedName>
    <definedName name="_1._Apoyo_con_equipos_para_la_seguridad_vial_Licenciamiento_de_software_para_comunicaciones" localSheetId="2">#REF!</definedName>
    <definedName name="_1._Apoyo_con_equipos_para_la_seguridad_vial_Licenciamiento_de_software_para_comunicaciones" localSheetId="3">#REF!</definedName>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13">#REF!</definedName>
    <definedName name="_1._Apoyo_con_equipos_para_la_seguridad_vial_Licenciamiento_de_software_para_comunicaciones" localSheetId="11">#REF!</definedName>
    <definedName name="_1._Apoyo_con_equipos_para_la_seguridad_vial_Licenciamiento_de_software_para_comunicaciones" localSheetId="5">#REF!</definedName>
    <definedName name="_1._Apoyo_con_equipos_para_la_seguridad_vial_Licenciamiento_de_software_para_comunicaciones">#REF!</definedName>
    <definedName name="_xlnm._FilterDatabase" localSheetId="9" hidden="1">'SGTO PA FAMILIA'!$A$9:$WXP$130</definedName>
    <definedName name="_xlnm._FilterDatabase" localSheetId="2" hidden="1">'SGTO PA INFRA'!$A$27:$DA$75</definedName>
    <definedName name="_xlnm.Print_Area" localSheetId="0">'SGTO PA PLANEACION'!$A$1:$BQ$11</definedName>
    <definedName name="CODIGO_DIVIPOLA" localSheetId="10">#REF!</definedName>
    <definedName name="CODIGO_DIVIPOLA" localSheetId="6">#REF!</definedName>
    <definedName name="CODIGO_DIVIPOLA" localSheetId="4">#REF!</definedName>
    <definedName name="CODIGO_DIVIPOLA" localSheetId="8">#REF!</definedName>
    <definedName name="CODIGO_DIVIPOLA" localSheetId="9">#REF!</definedName>
    <definedName name="CODIGO_DIVIPOLA" localSheetId="1">#REF!</definedName>
    <definedName name="CODIGO_DIVIPOLA" localSheetId="14">#REF!</definedName>
    <definedName name="CODIGO_DIVIPOLA" localSheetId="12">#REF!</definedName>
    <definedName name="CODIGO_DIVIPOLA" localSheetId="2">#REF!</definedName>
    <definedName name="CODIGO_DIVIPOLA" localSheetId="3">#REF!</definedName>
    <definedName name="CODIGO_DIVIPOLA" localSheetId="0">#REF!</definedName>
    <definedName name="CODIGO_DIVIPOLA" localSheetId="7">#REF!</definedName>
    <definedName name="CODIGO_DIVIPOLA" localSheetId="13">#REF!</definedName>
    <definedName name="CODIGO_DIVIPOLA" localSheetId="5">#REF!</definedName>
    <definedName name="CODIGO_DIVIPOLA">#REF!</definedName>
    <definedName name="DboREGISTRO_LEY_617" localSheetId="10">#REF!</definedName>
    <definedName name="DboREGISTRO_LEY_617" localSheetId="6">#REF!</definedName>
    <definedName name="DboREGISTRO_LEY_617" localSheetId="4">#REF!</definedName>
    <definedName name="DboREGISTRO_LEY_617" localSheetId="8">#REF!</definedName>
    <definedName name="DboREGISTRO_LEY_617" localSheetId="9">#REF!</definedName>
    <definedName name="DboREGISTRO_LEY_617" localSheetId="1">#REF!</definedName>
    <definedName name="DboREGISTRO_LEY_617" localSheetId="12">#REF!</definedName>
    <definedName name="DboREGISTRO_LEY_617" localSheetId="2">#REF!</definedName>
    <definedName name="DboREGISTRO_LEY_617" localSheetId="3">#REF!</definedName>
    <definedName name="DboREGISTRO_LEY_617" localSheetId="0">#REF!</definedName>
    <definedName name="DboREGISTRO_LEY_617" localSheetId="7">#REF!</definedName>
    <definedName name="DboREGISTRO_LEY_617" localSheetId="13">#REF!</definedName>
    <definedName name="DboREGISTRO_LEY_617" localSheetId="5">#REF!</definedName>
    <definedName name="DboREGISTRO_LEY_617">#REF!</definedName>
    <definedName name="ññ" localSheetId="10">#REF!</definedName>
    <definedName name="ññ" localSheetId="6">#REF!</definedName>
    <definedName name="ññ" localSheetId="4">#REF!</definedName>
    <definedName name="ññ" localSheetId="8">#REF!</definedName>
    <definedName name="ññ" localSheetId="9">#REF!</definedName>
    <definedName name="ññ" localSheetId="1">#REF!</definedName>
    <definedName name="ññ" localSheetId="12">#REF!</definedName>
    <definedName name="ññ" localSheetId="2">#REF!</definedName>
    <definedName name="ññ" localSheetId="3">#REF!</definedName>
    <definedName name="ññ" localSheetId="0">#REF!</definedName>
    <definedName name="ññ" localSheetId="7">#REF!</definedName>
    <definedName name="ññ" localSheetId="13">#REF!</definedName>
    <definedName name="ññ" localSheetId="5">#REF!</definedName>
    <definedName name="ññ">#REF!</definedName>
    <definedName name="_xlnm.Print_Titles" localSheetId="0">'SGTO PA PLANEACION'!$1:$7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14" i="18" l="1"/>
  <c r="BI20" i="18"/>
  <c r="BI23" i="18"/>
  <c r="BI29" i="18"/>
  <c r="BI37" i="18"/>
  <c r="BI47" i="18"/>
  <c r="BI56" i="18"/>
  <c r="BI61" i="18"/>
  <c r="BI65" i="18"/>
  <c r="BI74" i="18"/>
  <c r="BI76" i="18"/>
  <c r="BI79" i="18"/>
  <c r="BI80" i="18"/>
  <c r="BH11" i="18"/>
  <c r="BH14" i="18"/>
  <c r="BH17" i="18"/>
  <c r="BH20" i="18"/>
  <c r="BH23" i="18"/>
  <c r="BH29" i="18"/>
  <c r="W37" i="18"/>
  <c r="BH37" i="18"/>
  <c r="BH47" i="18"/>
  <c r="BH52" i="18"/>
  <c r="BH56" i="18"/>
  <c r="BH65" i="18"/>
  <c r="BH67" i="18"/>
  <c r="BH74" i="18"/>
  <c r="BH76" i="18"/>
  <c r="BH79" i="18"/>
  <c r="BH80" i="18"/>
  <c r="X80" i="18"/>
  <c r="W80" i="18"/>
  <c r="V52" i="18"/>
  <c r="V54" i="18"/>
  <c r="V55" i="18"/>
  <c r="V80" i="18"/>
  <c r="R11" i="18"/>
  <c r="R20" i="18"/>
  <c r="R23" i="18"/>
  <c r="R29" i="18"/>
  <c r="R42" i="18"/>
  <c r="R50" i="18"/>
  <c r="R52" i="18"/>
  <c r="R56" i="18"/>
  <c r="R61" i="18"/>
  <c r="R65" i="18"/>
  <c r="R67" i="18"/>
  <c r="R74" i="18"/>
  <c r="R79" i="18"/>
  <c r="R80" i="18"/>
  <c r="BJ79" i="18"/>
  <c r="Q79" i="18"/>
  <c r="Q76" i="18"/>
  <c r="BE74" i="18"/>
  <c r="Q74" i="18"/>
  <c r="BJ67" i="18"/>
  <c r="BE67" i="18"/>
  <c r="Q67" i="18"/>
  <c r="Q65" i="18"/>
  <c r="Q63" i="18"/>
  <c r="Q61" i="18"/>
  <c r="BJ56" i="18"/>
  <c r="Q56" i="18"/>
  <c r="Q55" i="18"/>
  <c r="Q54" i="18"/>
  <c r="BJ52" i="18"/>
  <c r="Q52" i="18"/>
  <c r="Q50" i="18"/>
  <c r="BJ47" i="18"/>
  <c r="Q42" i="18"/>
  <c r="Q38" i="18"/>
  <c r="BJ37" i="18"/>
  <c r="Q37" i="18"/>
  <c r="Q35" i="18"/>
  <c r="Q32" i="18"/>
  <c r="Q30" i="18"/>
  <c r="BJ29" i="18"/>
  <c r="Q29" i="18"/>
  <c r="BJ23" i="18"/>
  <c r="Q22" i="18"/>
  <c r="BJ20" i="18"/>
  <c r="Q20" i="18"/>
  <c r="BJ17" i="18"/>
  <c r="Q17" i="18"/>
  <c r="BJ14" i="18"/>
  <c r="Q14" i="18"/>
  <c r="BJ11" i="18"/>
  <c r="BE11" i="18"/>
  <c r="Q11" i="18"/>
  <c r="BI13" i="16"/>
  <c r="BI34" i="16"/>
  <c r="BI66" i="16"/>
  <c r="BI85" i="16"/>
  <c r="BI97" i="16"/>
  <c r="BI109" i="16"/>
  <c r="BI121" i="16"/>
  <c r="BI144" i="16"/>
  <c r="BI158" i="16"/>
  <c r="BI170" i="16"/>
  <c r="BI182" i="16"/>
  <c r="BI211" i="16"/>
  <c r="BI216" i="16"/>
  <c r="BI223" i="16"/>
  <c r="BI234" i="16"/>
  <c r="BI250" i="16"/>
  <c r="BI254" i="16"/>
  <c r="BI261" i="16"/>
  <c r="BI270" i="16"/>
  <c r="BI276" i="16"/>
  <c r="BI281" i="16"/>
  <c r="BH13" i="16"/>
  <c r="BH34" i="16"/>
  <c r="BH66" i="16"/>
  <c r="BH85" i="16"/>
  <c r="BH97" i="16"/>
  <c r="W115" i="16"/>
  <c r="BH109" i="16"/>
  <c r="BH121" i="16"/>
  <c r="BH144" i="16"/>
  <c r="BH158" i="16"/>
  <c r="BH170" i="16"/>
  <c r="BH182" i="16"/>
  <c r="BH211" i="16"/>
  <c r="BH216" i="16"/>
  <c r="BH223" i="16"/>
  <c r="BH234" i="16"/>
  <c r="BH250" i="16"/>
  <c r="BH254" i="16"/>
  <c r="BH261" i="16"/>
  <c r="BH270" i="16"/>
  <c r="BH276" i="16"/>
  <c r="BH281" i="16"/>
  <c r="BJ281" i="16"/>
  <c r="X281" i="16"/>
  <c r="W281" i="16"/>
  <c r="V102" i="16"/>
  <c r="V104" i="16"/>
  <c r="V106" i="16"/>
  <c r="V113" i="16"/>
  <c r="V116" i="16"/>
  <c r="V270" i="16"/>
  <c r="V272" i="16"/>
  <c r="V274" i="16"/>
  <c r="V281" i="16"/>
  <c r="R13" i="16"/>
  <c r="R34" i="16"/>
  <c r="R39" i="16"/>
  <c r="R66" i="16"/>
  <c r="R85" i="16"/>
  <c r="R97" i="16"/>
  <c r="R109" i="16"/>
  <c r="R121" i="16"/>
  <c r="R144" i="16"/>
  <c r="R150" i="16"/>
  <c r="R158" i="16"/>
  <c r="R170" i="16"/>
  <c r="R182" i="16"/>
  <c r="R211" i="16"/>
  <c r="R216" i="16"/>
  <c r="R223" i="16"/>
  <c r="R234" i="16"/>
  <c r="R243" i="16"/>
  <c r="R250" i="16"/>
  <c r="R254" i="16"/>
  <c r="R261" i="16"/>
  <c r="R270" i="16"/>
  <c r="R276" i="16"/>
  <c r="R281" i="16"/>
  <c r="BJ276" i="16"/>
  <c r="BF276" i="16"/>
  <c r="BD276" i="16"/>
  <c r="BB276" i="16"/>
  <c r="AZ276" i="16"/>
  <c r="AT276" i="16"/>
  <c r="AR276" i="16"/>
  <c r="AP276" i="16"/>
  <c r="AN276" i="16"/>
  <c r="AL276" i="16"/>
  <c r="AI261" i="16"/>
  <c r="AI270" i="16"/>
  <c r="AI276" i="16"/>
  <c r="AJ276" i="16"/>
  <c r="AH276" i="16"/>
  <c r="AF276" i="16"/>
  <c r="AD276" i="16"/>
  <c r="AB276" i="16"/>
  <c r="Q276" i="16"/>
  <c r="Y274" i="16"/>
  <c r="BJ270" i="16"/>
  <c r="BF270" i="16"/>
  <c r="BD270" i="16"/>
  <c r="BB270" i="16"/>
  <c r="AZ270" i="16"/>
  <c r="AT270" i="16"/>
  <c r="AR270" i="16"/>
  <c r="AP270" i="16"/>
  <c r="AN270" i="16"/>
  <c r="AK261" i="16"/>
  <c r="AK270" i="16"/>
  <c r="AL270" i="16"/>
  <c r="AJ270" i="16"/>
  <c r="AH270" i="16"/>
  <c r="AF270" i="16"/>
  <c r="AD270" i="16"/>
  <c r="AB270" i="16"/>
  <c r="Q270" i="16"/>
  <c r="Q268" i="16"/>
  <c r="BJ261" i="16"/>
  <c r="BF261" i="16"/>
  <c r="BD261" i="16"/>
  <c r="BB261" i="16"/>
  <c r="AZ261" i="16"/>
  <c r="AT261" i="16"/>
  <c r="AR261" i="16"/>
  <c r="AP261" i="16"/>
  <c r="AN261" i="16"/>
  <c r="AL261" i="16"/>
  <c r="AJ261" i="16"/>
  <c r="AH261" i="16"/>
  <c r="AF261" i="16"/>
  <c r="AD261" i="16"/>
  <c r="AB261" i="16"/>
  <c r="Q261" i="16"/>
  <c r="BJ254" i="16"/>
  <c r="BF254" i="16"/>
  <c r="BD254" i="16"/>
  <c r="BB254" i="16"/>
  <c r="AZ254" i="16"/>
  <c r="AT254" i="16"/>
  <c r="AR254" i="16"/>
  <c r="AP254" i="16"/>
  <c r="AN254" i="16"/>
  <c r="AL254" i="16"/>
  <c r="AJ254" i="16"/>
  <c r="AH254" i="16"/>
  <c r="AF254" i="16"/>
  <c r="AD254" i="16"/>
  <c r="AB254" i="16"/>
  <c r="Q254" i="16"/>
  <c r="BJ250" i="16"/>
  <c r="BF250" i="16"/>
  <c r="BD250" i="16"/>
  <c r="BB250" i="16"/>
  <c r="AZ250" i="16"/>
  <c r="AT250" i="16"/>
  <c r="AR250" i="16"/>
  <c r="AP250" i="16"/>
  <c r="AN250" i="16"/>
  <c r="AL250" i="16"/>
  <c r="AI223" i="16"/>
  <c r="AI234" i="16"/>
  <c r="AI243" i="16"/>
  <c r="AI250" i="16"/>
  <c r="AJ250" i="16"/>
  <c r="AH250" i="16"/>
  <c r="AF250" i="16"/>
  <c r="AD250" i="16"/>
  <c r="AB250" i="16"/>
  <c r="AK223" i="16"/>
  <c r="AK234" i="16"/>
  <c r="AK243" i="16"/>
  <c r="Q239" i="16"/>
  <c r="Q237" i="16"/>
  <c r="BJ234" i="16"/>
  <c r="Q234" i="16"/>
  <c r="Q227" i="16"/>
  <c r="BJ223" i="16"/>
  <c r="BF223" i="16"/>
  <c r="BD223" i="16"/>
  <c r="BB223" i="16"/>
  <c r="AZ223" i="16"/>
  <c r="AT223" i="16"/>
  <c r="AR223" i="16"/>
  <c r="AP223" i="16"/>
  <c r="AN223" i="16"/>
  <c r="AL223" i="16"/>
  <c r="AJ223" i="16"/>
  <c r="AH223" i="16"/>
  <c r="AF223" i="16"/>
  <c r="AD223" i="16"/>
  <c r="AB223" i="16"/>
  <c r="Q223" i="16"/>
  <c r="BJ216" i="16"/>
  <c r="AB216" i="16"/>
  <c r="BE216" i="16"/>
  <c r="BF216" i="16"/>
  <c r="BC216" i="16"/>
  <c r="BD216" i="16"/>
  <c r="BB216" i="16"/>
  <c r="AZ216" i="16"/>
  <c r="AX216" i="16"/>
  <c r="AV216" i="16"/>
  <c r="AT216" i="16"/>
  <c r="AR216" i="16"/>
  <c r="AP216" i="16"/>
  <c r="AN216" i="16"/>
  <c r="AL216" i="16"/>
  <c r="AJ216" i="16"/>
  <c r="AH216" i="16"/>
  <c r="AF216" i="16"/>
  <c r="AD216" i="16"/>
  <c r="BJ211" i="16"/>
  <c r="BE211" i="16"/>
  <c r="BC211" i="16"/>
  <c r="Q211" i="16"/>
  <c r="Q202" i="16"/>
  <c r="Q196" i="16"/>
  <c r="Q188" i="16"/>
  <c r="BJ182" i="16"/>
  <c r="AB182" i="16"/>
  <c r="BE182" i="16"/>
  <c r="BF182" i="16"/>
  <c r="BC182" i="16"/>
  <c r="BD182" i="16"/>
  <c r="BB182" i="16"/>
  <c r="AZ182" i="16"/>
  <c r="AX182" i="16"/>
  <c r="AV182" i="16"/>
  <c r="AT182" i="16"/>
  <c r="AR182" i="16"/>
  <c r="AP182" i="16"/>
  <c r="AN182" i="16"/>
  <c r="AL182" i="16"/>
  <c r="AJ182" i="16"/>
  <c r="AH182" i="16"/>
  <c r="AF182" i="16"/>
  <c r="AD182" i="16"/>
  <c r="Q182" i="16"/>
  <c r="Q174" i="16"/>
  <c r="Q173" i="16"/>
  <c r="BM170" i="16"/>
  <c r="BJ170" i="16"/>
  <c r="AB170" i="16"/>
  <c r="BE170" i="16"/>
  <c r="BF170" i="16"/>
  <c r="BC170" i="16"/>
  <c r="BD170" i="16"/>
  <c r="BB170" i="16"/>
  <c r="AZ170" i="16"/>
  <c r="AX170" i="16"/>
  <c r="AV170" i="16"/>
  <c r="AT170" i="16"/>
  <c r="AR170" i="16"/>
  <c r="AP170" i="16"/>
  <c r="AN170" i="16"/>
  <c r="AL170" i="16"/>
  <c r="AJ170" i="16"/>
  <c r="AH170" i="16"/>
  <c r="AF170" i="16"/>
  <c r="AD170" i="16"/>
  <c r="Q170" i="16"/>
  <c r="Q164" i="16"/>
  <c r="BJ158" i="16"/>
  <c r="Q158" i="16"/>
  <c r="Q153" i="16"/>
  <c r="Q150" i="16"/>
  <c r="Q147" i="16"/>
  <c r="Q146" i="16"/>
  <c r="Q145" i="16"/>
  <c r="BJ144" i="16"/>
  <c r="AB144" i="16"/>
  <c r="BE144" i="16"/>
  <c r="BF144" i="16"/>
  <c r="BC144" i="16"/>
  <c r="BD144" i="16"/>
  <c r="BB144" i="16"/>
  <c r="AZ144" i="16"/>
  <c r="AX144" i="16"/>
  <c r="AV144" i="16"/>
  <c r="AT144" i="16"/>
  <c r="AR144" i="16"/>
  <c r="AP144" i="16"/>
  <c r="AN144" i="16"/>
  <c r="AL144" i="16"/>
  <c r="AJ144" i="16"/>
  <c r="AH144" i="16"/>
  <c r="AF144" i="16"/>
  <c r="AD144" i="16"/>
  <c r="Q144" i="16"/>
  <c r="BJ121" i="16"/>
  <c r="AB121" i="16"/>
  <c r="BE121" i="16"/>
  <c r="BF121" i="16"/>
  <c r="BC121" i="16"/>
  <c r="BD121" i="16"/>
  <c r="BB121" i="16"/>
  <c r="AZ121" i="16"/>
  <c r="AX121" i="16"/>
  <c r="AV121" i="16"/>
  <c r="AT121" i="16"/>
  <c r="AR121" i="16"/>
  <c r="AP121" i="16"/>
  <c r="AN121" i="16"/>
  <c r="AL121" i="16"/>
  <c r="AJ121" i="16"/>
  <c r="AH121" i="16"/>
  <c r="AF121" i="16"/>
  <c r="AD121" i="16"/>
  <c r="Q117" i="16"/>
  <c r="BJ109" i="16"/>
  <c r="BF109" i="16"/>
  <c r="BD109" i="16"/>
  <c r="BB109" i="16"/>
  <c r="AZ109" i="16"/>
  <c r="AT109" i="16"/>
  <c r="AR109" i="16"/>
  <c r="AP109" i="16"/>
  <c r="AN109" i="16"/>
  <c r="AL109" i="16"/>
  <c r="AJ109" i="16"/>
  <c r="AH109" i="16"/>
  <c r="AF109" i="16"/>
  <c r="AD109" i="16"/>
  <c r="AB109" i="16"/>
  <c r="Q109" i="16"/>
  <c r="Q101" i="16"/>
  <c r="BJ97" i="16"/>
  <c r="BE97" i="16"/>
  <c r="BC97" i="16"/>
  <c r="Q97" i="16"/>
  <c r="Q93" i="16"/>
  <c r="Q89" i="16"/>
  <c r="BJ85" i="16"/>
  <c r="BE85" i="16"/>
  <c r="BF85" i="16"/>
  <c r="BC85" i="16"/>
  <c r="BD85" i="16"/>
  <c r="BB85" i="16"/>
  <c r="AZ85" i="16"/>
  <c r="AX85" i="16"/>
  <c r="AV85" i="16"/>
  <c r="AT85" i="16"/>
  <c r="AR85" i="16"/>
  <c r="AP85" i="16"/>
  <c r="AN85" i="16"/>
  <c r="AL85" i="16"/>
  <c r="AJ85" i="16"/>
  <c r="AH85" i="16"/>
  <c r="AF85" i="16"/>
  <c r="AD85" i="16"/>
  <c r="AB85" i="16"/>
  <c r="Q85" i="16"/>
  <c r="Q77" i="16"/>
  <c r="Q71" i="16"/>
  <c r="BJ66" i="16"/>
  <c r="BE66" i="16"/>
  <c r="BF66" i="16"/>
  <c r="BC66" i="16"/>
  <c r="BD66" i="16"/>
  <c r="BB66" i="16"/>
  <c r="AZ66" i="16"/>
  <c r="AX66" i="16"/>
  <c r="AV66" i="16"/>
  <c r="AT66" i="16"/>
  <c r="AR66" i="16"/>
  <c r="AP66" i="16"/>
  <c r="AN66" i="16"/>
  <c r="AL66" i="16"/>
  <c r="AJ66" i="16"/>
  <c r="AH66" i="16"/>
  <c r="AF66" i="16"/>
  <c r="AD66" i="16"/>
  <c r="AB66" i="16"/>
  <c r="Q66" i="16"/>
  <c r="Q60" i="16"/>
  <c r="Q48" i="16"/>
  <c r="Q43" i="16"/>
  <c r="BE39" i="16"/>
  <c r="BC39" i="16"/>
  <c r="Q39" i="16"/>
  <c r="Q35" i="16"/>
  <c r="BJ34" i="16"/>
  <c r="BF34" i="16"/>
  <c r="BD34" i="16"/>
  <c r="BB34" i="16"/>
  <c r="AZ34" i="16"/>
  <c r="AV34" i="16"/>
  <c r="AT34" i="16"/>
  <c r="AR34" i="16"/>
  <c r="AP34" i="16"/>
  <c r="AN34" i="16"/>
  <c r="AL34" i="16"/>
  <c r="AJ34" i="16"/>
  <c r="AH34" i="16"/>
  <c r="AF34" i="16"/>
  <c r="AD34" i="16"/>
  <c r="AB34" i="16"/>
  <c r="Q34" i="16"/>
  <c r="Q25" i="16"/>
  <c r="Q20" i="16"/>
  <c r="BJ13" i="16"/>
  <c r="Q13" i="16"/>
  <c r="Y43" i="15"/>
  <c r="X43" i="15"/>
  <c r="W43" i="15"/>
  <c r="BI41" i="15"/>
  <c r="BK41" i="15"/>
  <c r="BJ41" i="15"/>
  <c r="BG41" i="15"/>
  <c r="R41" i="15"/>
  <c r="S37" i="15"/>
  <c r="R38" i="15"/>
  <c r="BJ37" i="15"/>
  <c r="BI37" i="15"/>
  <c r="BK37" i="15"/>
  <c r="BG37" i="15"/>
  <c r="BF37" i="15"/>
  <c r="S31" i="15"/>
  <c r="S24" i="15"/>
  <c r="S21" i="15"/>
  <c r="S18" i="15"/>
  <c r="S13" i="15"/>
  <c r="S43" i="15"/>
  <c r="R34" i="15"/>
  <c r="BJ31" i="15"/>
  <c r="BI31" i="15"/>
  <c r="BF31" i="15"/>
  <c r="AG31" i="15"/>
  <c r="AE31" i="15"/>
  <c r="AC31" i="15"/>
  <c r="BG31" i="15"/>
  <c r="R33" i="15"/>
  <c r="R31" i="15"/>
  <c r="R27" i="15"/>
  <c r="R26" i="15"/>
  <c r="R25" i="15"/>
  <c r="BJ24" i="15"/>
  <c r="BI24" i="15"/>
  <c r="BK24" i="15"/>
  <c r="BG24" i="15"/>
  <c r="R28" i="15"/>
  <c r="R24" i="15"/>
  <c r="BJ21" i="15"/>
  <c r="BI21" i="15"/>
  <c r="BF21" i="15"/>
  <c r="R21" i="15"/>
  <c r="BI18" i="15"/>
  <c r="BK18" i="15"/>
  <c r="BJ18" i="15"/>
  <c r="R19" i="15"/>
  <c r="R18" i="15"/>
  <c r="R16" i="15"/>
  <c r="BJ13" i="15"/>
  <c r="BJ43" i="15"/>
  <c r="BI13" i="15"/>
  <c r="BK13" i="15"/>
  <c r="BF13" i="15"/>
  <c r="AK13" i="15"/>
  <c r="AI13" i="15"/>
  <c r="AE13" i="15"/>
  <c r="AC13" i="15"/>
  <c r="BG13" i="15"/>
  <c r="R13" i="15"/>
  <c r="BK21" i="15"/>
  <c r="R22" i="15"/>
  <c r="BK31" i="15"/>
  <c r="R35" i="15"/>
  <c r="R32" i="15"/>
  <c r="BI43" i="15"/>
  <c r="BI20" i="14"/>
  <c r="BH20" i="14"/>
  <c r="BJ20" i="14"/>
  <c r="X20" i="14"/>
  <c r="W20" i="14"/>
  <c r="V20" i="14"/>
  <c r="BJ17" i="14"/>
  <c r="BJ13" i="14"/>
  <c r="BH50" i="13"/>
  <c r="BG50" i="13"/>
  <c r="W50" i="13"/>
  <c r="V50" i="13"/>
  <c r="U50" i="13"/>
  <c r="BI48" i="13"/>
  <c r="Q48" i="13"/>
  <c r="P48" i="13"/>
  <c r="BI43" i="13"/>
  <c r="Q43" i="13"/>
  <c r="P43" i="13"/>
  <c r="BI41" i="13"/>
  <c r="Q41" i="13"/>
  <c r="P41" i="13"/>
  <c r="Q38" i="13"/>
  <c r="P38" i="13"/>
  <c r="Q34" i="13"/>
  <c r="P37" i="13"/>
  <c r="P36" i="13"/>
  <c r="P34" i="13"/>
  <c r="Q27" i="13"/>
  <c r="P31" i="13"/>
  <c r="P29" i="13"/>
  <c r="P27" i="13"/>
  <c r="Q22" i="13"/>
  <c r="P23" i="13"/>
  <c r="BI22" i="13"/>
  <c r="P22" i="13"/>
  <c r="Q20" i="13"/>
  <c r="P21" i="13"/>
  <c r="BI20" i="13"/>
  <c r="P20" i="13"/>
  <c r="BI18" i="13"/>
  <c r="Q18" i="13"/>
  <c r="P18" i="13"/>
  <c r="Q13" i="13"/>
  <c r="P16" i="13"/>
  <c r="P15" i="13"/>
  <c r="AN14" i="13"/>
  <c r="P13" i="13"/>
  <c r="P44" i="13"/>
  <c r="P49" i="13"/>
  <c r="BJ55" i="12"/>
  <c r="BI55" i="12"/>
  <c r="BH55" i="12"/>
  <c r="Y55" i="12"/>
  <c r="X55" i="12"/>
  <c r="W55" i="12"/>
  <c r="S55" i="12"/>
  <c r="R52" i="12"/>
  <c r="BF49" i="12"/>
  <c r="R49" i="12"/>
  <c r="BK42" i="12"/>
  <c r="R42" i="12"/>
  <c r="BG32" i="12"/>
  <c r="BF32" i="12"/>
  <c r="R32" i="12"/>
  <c r="BF28" i="12"/>
  <c r="R28" i="12"/>
  <c r="R23" i="12"/>
  <c r="R19" i="12"/>
  <c r="BK15" i="12"/>
  <c r="BG15" i="12"/>
  <c r="BF15" i="12"/>
  <c r="R15" i="12"/>
  <c r="BF12" i="12"/>
  <c r="R12" i="12"/>
  <c r="Y131" i="11"/>
  <c r="BJ126" i="11"/>
  <c r="BI126" i="11"/>
  <c r="BG126" i="11"/>
  <c r="BF126" i="11"/>
  <c r="S126" i="11"/>
  <c r="R126" i="11"/>
  <c r="BJ116" i="11"/>
  <c r="BI116" i="11"/>
  <c r="BG116" i="11"/>
  <c r="BF116" i="11"/>
  <c r="S116" i="11"/>
  <c r="R116" i="11"/>
  <c r="S94" i="11"/>
  <c r="R107" i="11"/>
  <c r="R102" i="11"/>
  <c r="BJ94" i="11"/>
  <c r="BI94" i="11"/>
  <c r="BG94" i="11"/>
  <c r="BF94" i="11"/>
  <c r="R109" i="11"/>
  <c r="W91" i="11"/>
  <c r="BJ90" i="11"/>
  <c r="BJ13" i="11"/>
  <c r="BJ28" i="11"/>
  <c r="BJ35" i="11"/>
  <c r="BJ59" i="11"/>
  <c r="BJ71" i="11"/>
  <c r="BJ131" i="11"/>
  <c r="BI90" i="11"/>
  <c r="BG90" i="11"/>
  <c r="BF90" i="11"/>
  <c r="W90" i="11"/>
  <c r="S90" i="11"/>
  <c r="R90" i="11"/>
  <c r="W88" i="11"/>
  <c r="W84" i="11"/>
  <c r="W83" i="11"/>
  <c r="W82" i="11"/>
  <c r="W81" i="11"/>
  <c r="W80" i="11"/>
  <c r="W78" i="11"/>
  <c r="X77" i="11"/>
  <c r="X72" i="11"/>
  <c r="BI71" i="11"/>
  <c r="W77" i="11"/>
  <c r="W76" i="11"/>
  <c r="W75" i="11"/>
  <c r="W74" i="11"/>
  <c r="W73" i="11"/>
  <c r="W72" i="11"/>
  <c r="BG71" i="11"/>
  <c r="BF71" i="11"/>
  <c r="W71" i="11"/>
  <c r="S71" i="11"/>
  <c r="W62" i="11"/>
  <c r="W61" i="11"/>
  <c r="W131" i="11"/>
  <c r="S59" i="11"/>
  <c r="BI59" i="11"/>
  <c r="BG59" i="11"/>
  <c r="BF59" i="11"/>
  <c r="X56" i="11"/>
  <c r="S35" i="11"/>
  <c r="R54" i="11"/>
  <c r="X51" i="11"/>
  <c r="X45" i="11"/>
  <c r="X42" i="11"/>
  <c r="X131" i="11"/>
  <c r="BI35" i="11"/>
  <c r="BG35" i="11"/>
  <c r="BF35" i="11"/>
  <c r="R44" i="11"/>
  <c r="R35" i="11"/>
  <c r="S28" i="11"/>
  <c r="R31" i="11"/>
  <c r="BI28" i="11"/>
  <c r="BG28" i="11"/>
  <c r="BF28" i="11"/>
  <c r="R28" i="11"/>
  <c r="BI13" i="11"/>
  <c r="BI131" i="11"/>
  <c r="BF13" i="11"/>
  <c r="S13" i="11"/>
  <c r="S131" i="11"/>
  <c r="R77" i="11"/>
  <c r="R72" i="11"/>
  <c r="R78" i="11"/>
  <c r="R71" i="11"/>
  <c r="R51" i="11"/>
  <c r="R94" i="11"/>
  <c r="R14" i="11"/>
  <c r="R46" i="11"/>
  <c r="R13" i="11"/>
  <c r="V36" i="9"/>
  <c r="U36" i="9"/>
  <c r="T36" i="9"/>
  <c r="BG34" i="9"/>
  <c r="BF34" i="9"/>
  <c r="BH34" i="9"/>
  <c r="P34" i="9"/>
  <c r="O35" i="9"/>
  <c r="O34" i="9"/>
  <c r="BG32" i="9"/>
  <c r="BF32" i="9"/>
  <c r="BH32" i="9"/>
  <c r="P32" i="9"/>
  <c r="O32" i="9"/>
  <c r="BG29" i="9"/>
  <c r="BF29" i="9"/>
  <c r="BH29" i="9"/>
  <c r="P29" i="9"/>
  <c r="O30" i="9"/>
  <c r="O29" i="9"/>
  <c r="BG24" i="9"/>
  <c r="BF24" i="9"/>
  <c r="BH24" i="9"/>
  <c r="P24" i="9"/>
  <c r="O24" i="9"/>
  <c r="BG19" i="9"/>
  <c r="BF19" i="9"/>
  <c r="BF36" i="9"/>
  <c r="P19" i="9"/>
  <c r="P36" i="9"/>
  <c r="O26" i="9"/>
  <c r="BG36" i="9"/>
  <c r="O27" i="9"/>
  <c r="BG98" i="8"/>
  <c r="X98" i="8"/>
  <c r="W98" i="8"/>
  <c r="R85" i="8"/>
  <c r="Q96" i="8"/>
  <c r="Q91" i="8"/>
  <c r="Q89" i="8"/>
  <c r="Q87" i="8"/>
  <c r="BI85" i="8"/>
  <c r="BH85" i="8"/>
  <c r="BJ85" i="8"/>
  <c r="BE85" i="8"/>
  <c r="Q95" i="8"/>
  <c r="Q85" i="8"/>
  <c r="V84" i="8"/>
  <c r="V76" i="8"/>
  <c r="V83" i="8"/>
  <c r="R67" i="8"/>
  <c r="Q67" i="8"/>
  <c r="BI67" i="8"/>
  <c r="BH67" i="8"/>
  <c r="BJ67" i="8"/>
  <c r="BE67" i="8"/>
  <c r="BE65" i="8"/>
  <c r="R65" i="8"/>
  <c r="Q65" i="8"/>
  <c r="BI59" i="8"/>
  <c r="BH59" i="8"/>
  <c r="BE59" i="8"/>
  <c r="R59" i="8"/>
  <c r="Q59" i="8"/>
  <c r="R53" i="8"/>
  <c r="Q55" i="8"/>
  <c r="BI53" i="8"/>
  <c r="BH53" i="8"/>
  <c r="BJ53" i="8"/>
  <c r="BE53" i="8"/>
  <c r="Q53" i="8"/>
  <c r="V51" i="8"/>
  <c r="V46" i="8"/>
  <c r="V98" i="8"/>
  <c r="BI39" i="8"/>
  <c r="BI98" i="8"/>
  <c r="BH25" i="8"/>
  <c r="BH39" i="8"/>
  <c r="BH98" i="8"/>
  <c r="BJ98" i="8"/>
  <c r="BE39" i="8"/>
  <c r="BE25" i="8"/>
  <c r="R25" i="8"/>
  <c r="Q25" i="8"/>
  <c r="BE18" i="8"/>
  <c r="R18" i="8"/>
  <c r="Q18" i="8"/>
  <c r="BE12" i="8"/>
  <c r="R12" i="8"/>
  <c r="Q12" i="8"/>
  <c r="R39" i="8"/>
  <c r="Q39" i="8"/>
  <c r="BJ39" i="8"/>
  <c r="Q93" i="8"/>
  <c r="R98" i="8"/>
  <c r="BI20" i="7"/>
  <c r="BH20" i="7"/>
  <c r="X20" i="7"/>
  <c r="W20" i="7"/>
  <c r="V20" i="7"/>
  <c r="R20" i="7"/>
  <c r="BJ19" i="7"/>
  <c r="Q19" i="7"/>
  <c r="Q16" i="7"/>
  <c r="Q14" i="7"/>
  <c r="BJ13" i="7"/>
  <c r="Q13" i="7"/>
  <c r="V130" i="6"/>
  <c r="U130" i="6"/>
  <c r="T130" i="6"/>
  <c r="BG120" i="6"/>
  <c r="BF120" i="6"/>
  <c r="BH120" i="6"/>
  <c r="BD120" i="6"/>
  <c r="BC120" i="6"/>
  <c r="P120" i="6"/>
  <c r="O128" i="6"/>
  <c r="BG112" i="6"/>
  <c r="BF112" i="6"/>
  <c r="BH112" i="6"/>
  <c r="BD112" i="6"/>
  <c r="BC112" i="6"/>
  <c r="P112" i="6"/>
  <c r="O112" i="6"/>
  <c r="BG106" i="6"/>
  <c r="BF106" i="6"/>
  <c r="BH106" i="6"/>
  <c r="BD106" i="6"/>
  <c r="BC106" i="6"/>
  <c r="P106" i="6"/>
  <c r="O106" i="6"/>
  <c r="BD102" i="6"/>
  <c r="BC102" i="6"/>
  <c r="P102" i="6"/>
  <c r="O102" i="6"/>
  <c r="BD99" i="6"/>
  <c r="BC99" i="6"/>
  <c r="P99" i="6"/>
  <c r="O99" i="6"/>
  <c r="BD96" i="6"/>
  <c r="BC96" i="6"/>
  <c r="P96" i="6"/>
  <c r="O96" i="6"/>
  <c r="BG93" i="6"/>
  <c r="BF93" i="6"/>
  <c r="BH93" i="6"/>
  <c r="BD93" i="6"/>
  <c r="BC93" i="6"/>
  <c r="P93" i="6"/>
  <c r="O93" i="6"/>
  <c r="BG76" i="6"/>
  <c r="BF76" i="6"/>
  <c r="P76" i="6"/>
  <c r="BG57" i="6"/>
  <c r="BF57" i="6"/>
  <c r="BH57" i="6"/>
  <c r="BD57" i="6"/>
  <c r="BC57" i="6"/>
  <c r="P57" i="6"/>
  <c r="O57" i="6"/>
  <c r="BG44" i="6"/>
  <c r="BF44" i="6"/>
  <c r="BH44" i="6"/>
  <c r="BD44" i="6"/>
  <c r="BC44" i="6"/>
  <c r="P44" i="6"/>
  <c r="O53" i="6"/>
  <c r="P31" i="6"/>
  <c r="O40" i="6"/>
  <c r="O37" i="6"/>
  <c r="BG31" i="6"/>
  <c r="BF31" i="6"/>
  <c r="BH31" i="6"/>
  <c r="BD31" i="6"/>
  <c r="BC31" i="6"/>
  <c r="O31" i="6"/>
  <c r="BG23" i="6"/>
  <c r="BF23" i="6"/>
  <c r="BH23" i="6"/>
  <c r="BD23" i="6"/>
  <c r="BC23" i="6"/>
  <c r="P23" i="6"/>
  <c r="O23" i="6"/>
  <c r="O17" i="6"/>
  <c r="BG13" i="6"/>
  <c r="BG130" i="6"/>
  <c r="BF13" i="6"/>
  <c r="BF130" i="6"/>
  <c r="BH130" i="6"/>
  <c r="BD13" i="6"/>
  <c r="BC13" i="6"/>
  <c r="O13" i="6"/>
  <c r="BH13" i="6"/>
  <c r="P130" i="6"/>
  <c r="O50" i="6"/>
  <c r="O127" i="6"/>
  <c r="O129" i="6"/>
  <c r="O44" i="6"/>
  <c r="O120" i="6"/>
  <c r="T24" i="5"/>
  <c r="V20" i="5"/>
  <c r="BG13" i="5"/>
  <c r="U20" i="5"/>
  <c r="BF13" i="5"/>
  <c r="BF24" i="5"/>
  <c r="P16" i="5"/>
  <c r="O20" i="5"/>
  <c r="O16" i="5"/>
  <c r="BC13" i="5"/>
  <c r="AJ13" i="5"/>
  <c r="AH13" i="5"/>
  <c r="AF13" i="5"/>
  <c r="Z13" i="5"/>
  <c r="AB13" i="5"/>
  <c r="AD13" i="5"/>
  <c r="BD13" i="5"/>
  <c r="P13" i="5"/>
  <c r="O13" i="5"/>
  <c r="X21" i="4"/>
  <c r="W21" i="4"/>
  <c r="V21" i="4"/>
  <c r="BI19" i="4"/>
  <c r="BH19" i="4"/>
  <c r="BJ19" i="4"/>
  <c r="BE19" i="4"/>
  <c r="BF19" i="4"/>
  <c r="BD19" i="4"/>
  <c r="BB19" i="4"/>
  <c r="AZ19" i="4"/>
  <c r="AR19" i="4"/>
  <c r="AP19" i="4"/>
  <c r="AN19" i="4"/>
  <c r="AL19" i="4"/>
  <c r="AJ19" i="4"/>
  <c r="AH19" i="4"/>
  <c r="AF19" i="4"/>
  <c r="AD19" i="4"/>
  <c r="AB19" i="4"/>
  <c r="BG24" i="5"/>
  <c r="BH13" i="5"/>
  <c r="U24" i="5"/>
  <c r="V24" i="5"/>
  <c r="O18" i="5"/>
  <c r="O22" i="5"/>
  <c r="BH75" i="3"/>
  <c r="BG75" i="3"/>
  <c r="BI75" i="3"/>
  <c r="W75" i="3"/>
  <c r="V75" i="3"/>
  <c r="Q49" i="3"/>
  <c r="P74" i="3"/>
  <c r="P60" i="3"/>
  <c r="BI49" i="3"/>
  <c r="BD49" i="3"/>
  <c r="P72" i="3"/>
  <c r="P49" i="3"/>
  <c r="U39" i="3"/>
  <c r="U35" i="3"/>
  <c r="U33" i="3"/>
  <c r="Q28" i="3"/>
  <c r="P28" i="3"/>
  <c r="U75" i="3"/>
  <c r="BI28" i="3"/>
  <c r="BD28" i="3"/>
  <c r="BD22" i="3"/>
  <c r="Q22" i="3"/>
  <c r="P22" i="3"/>
  <c r="BB20" i="3"/>
  <c r="Q20" i="3"/>
  <c r="P20" i="3"/>
  <c r="BD19" i="3"/>
  <c r="Q19" i="3"/>
  <c r="P19" i="3"/>
  <c r="BD17" i="3"/>
  <c r="Q17" i="3"/>
  <c r="P17" i="3"/>
  <c r="BD15" i="3"/>
  <c r="Q15" i="3"/>
  <c r="P15" i="3"/>
  <c r="BD13" i="3"/>
  <c r="Q13" i="3"/>
  <c r="P13" i="3"/>
  <c r="Q75" i="3"/>
  <c r="X26" i="1"/>
  <c r="W26" i="1"/>
  <c r="V26" i="1"/>
  <c r="R26" i="1"/>
  <c r="BI24" i="1"/>
  <c r="BH24" i="1"/>
  <c r="BJ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Luffi</author>
  </authors>
  <commentList>
    <comment ref="V24" authorId="0" shapeId="0" xr:uid="{00000000-0006-0000-0800-000001000000}">
      <text>
        <r>
          <rPr>
            <sz val="9"/>
            <color indexed="81"/>
            <rFont val="Tahoma"/>
            <family val="2"/>
          </rPr>
          <t xml:space="preserve">faltan los 50.000.000 del proyecto 84 hay que hacer ajuste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author>
  </authors>
  <commentList>
    <comment ref="BF21" authorId="0" shapeId="0" xr:uid="{00000000-0006-0000-0C00-000001000000}">
      <text>
        <r>
          <rPr>
            <b/>
            <sz val="9"/>
            <color indexed="81"/>
            <rFont val="Tahoma"/>
            <family val="2"/>
          </rPr>
          <t>Jenn:</t>
        </r>
        <r>
          <rPr>
            <sz val="9"/>
            <color indexed="81"/>
            <rFont val="Tahoma"/>
            <family val="2"/>
          </rPr>
          <t xml:space="preserve">
ajustar </t>
        </r>
      </text>
    </comment>
  </commentList>
</comments>
</file>

<file path=xl/sharedStrings.xml><?xml version="1.0" encoding="utf-8"?>
<sst xmlns="http://schemas.openxmlformats.org/spreadsheetml/2006/main" count="4582" uniqueCount="2124">
  <si>
    <t xml:space="preserve">CODIGO:  </t>
  </si>
  <si>
    <t>F-PLA-07</t>
  </si>
  <si>
    <t xml:space="preserve">VERSIÓN: </t>
  </si>
  <si>
    <t xml:space="preserve">FECHA: </t>
  </si>
  <si>
    <t>Nov. 22 de 2017</t>
  </si>
  <si>
    <t>PÁGINA:</t>
  </si>
  <si>
    <t>01 de 1</t>
  </si>
  <si>
    <t xml:space="preserve">PLAN DE DESARROLLO DEPARTAMENTAL </t>
  </si>
  <si>
    <t xml:space="preserve">PROYECTO </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</si>
  <si>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</si>
  <si>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</si>
  <si>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</si>
  <si>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</si>
  <si>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</si>
  <si>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</si>
  <si>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</si>
  <si>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</si>
  <si>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</si>
  <si>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</si>
  <si>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</si>
  <si>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</si>
  <si>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</si>
  <si>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</si>
  <si>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</si>
  <si>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</si>
  <si>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</si>
  <si>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</si>
  <si>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</si>
  <si>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</si>
  <si>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</si>
  <si>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</si>
  <si>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</si>
  <si>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</si>
  <si>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</si>
  <si>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</si>
  <si>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</si>
  <si>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</si>
  <si>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</si>
  <si>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</si>
  <si>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</si>
  <si>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</si>
  <si>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</si>
  <si>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</si>
  <si>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</si>
  <si>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</si>
  <si>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</si>
  <si>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</si>
  <si>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</si>
  <si>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</si>
  <si>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VALOR COMPROMISOS</t>
  </si>
  <si>
    <t>VALOR DE LAS OBLIGACIONES</t>
  </si>
  <si>
    <t>% DE EJECUCION</t>
  </si>
  <si>
    <t>FUENTE DE LOS RECURSOS</t>
  </si>
  <si>
    <t>SUPERVISOR RESPONSABLE</t>
  </si>
  <si>
    <t>P</t>
  </si>
  <si>
    <t>E</t>
  </si>
  <si>
    <t>PRESUPUESTADO</t>
  </si>
  <si>
    <t>E (COMPROMISOS)</t>
  </si>
  <si>
    <t>E (OBLIGACIONES)</t>
  </si>
  <si>
    <t>BUEN GOBIERNO</t>
  </si>
  <si>
    <t>GESTION TERRIORIAL</t>
  </si>
  <si>
    <t>MODERNIZACIÓN TECNOLOGICA Y ADMINISTRATIVA</t>
  </si>
  <si>
    <t>Virtualizar ocho (8) trámites de la administración departamental a través de Gobierno en Línea</t>
  </si>
  <si>
    <t>Número de trámites virtualizados</t>
  </si>
  <si>
    <t>0324 - 5 - 3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</si>
  <si>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</si>
  <si>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</si>
  <si>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</si>
  <si>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</si>
  <si>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</si>
  <si>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Recurso Ordinario</t>
  </si>
  <si>
    <t>JHON MARIO LIEVANO FERNANDEZ        
SECRETARIA TECNOLOGIAS DE LA INFORMACIÓN Y LAS COMUNICACIONES</t>
  </si>
  <si>
    <t>Fortalecer el programa de  infraestructura tecnológica de la  Administración Departamental (hadware, aplicativos, redes, y capacitación)</t>
  </si>
  <si>
    <t>Programa de infraestructura tecnologica de la administracion fortalecido</t>
  </si>
  <si>
    <t xml:space="preserve">0324 - 5 - 3 1 5 28 89 17 3 - 20  </t>
  </si>
  <si>
    <t>201663000-0003</t>
  </si>
  <si>
    <t>Actualización de la infraestructura tecnológica de la Gobernación del Quindío.</t>
  </si>
  <si>
    <t xml:space="preserve">Apoyar el programa de  infraestructura tecnológica de la  Administración Departamental (hadware, aplicativos, redes, y capacitación)
</t>
  </si>
  <si>
    <t>Adquisición de software</t>
  </si>
  <si>
    <t xml:space="preserve">Adquisición de equipos de computo </t>
  </si>
  <si>
    <t>Incrementar la  renovación de las herramientas tecnológicas a través de outsourcing para ampliar el numero de equipos de ultima tecnología logrando una mejor atención a los usuarios</t>
  </si>
  <si>
    <t>Soporte aplicativos</t>
  </si>
  <si>
    <t>Fortalecer el programa de sostenibilidad de las  Tecnologias de la Información de las Comunicaciones de la Gobernación del Quindio</t>
  </si>
  <si>
    <t>Programa de sostenibilidad de las TIC fortalecido</t>
  </si>
  <si>
    <t>0324 - 5 - 3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</si>
  <si>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</si>
  <si>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</si>
  <si>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</si>
  <si>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</si>
  <si>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</si>
  <si>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Recurso ordinario</t>
  </si>
  <si>
    <t xml:space="preserve">JHON MARIO LIEVANO FERNANDEZ        </t>
  </si>
  <si>
    <t>CARLOS FERNANDO    BENITEZ ZAPATA                                                    CARLOS ARTURO CAICEDO GALLEGO</t>
  </si>
  <si>
    <t>TOTALES</t>
  </si>
  <si>
    <t xml:space="preserve">JHON MARIO LIEVANO FERNANDEZ </t>
  </si>
  <si>
    <t>SECRETARIO DE DESPACHO</t>
  </si>
  <si>
    <t>O6</t>
  </si>
  <si>
    <t xml:space="preserve"> 1 de 1</t>
  </si>
  <si>
    <t xml:space="preserve">No </t>
  </si>
  <si>
    <t>COMPROMISOS</t>
  </si>
  <si>
    <t>OBLIGACIONES</t>
  </si>
  <si>
    <t>Palenqueras</t>
  </si>
  <si>
    <t>Quindío Transparente y Legal</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</si>
  <si>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</si>
  <si>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</si>
  <si>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</si>
  <si>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</si>
  <si>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</si>
  <si>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</si>
  <si>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2020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</si>
  <si>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2020 .   
</t>
  </si>
  <si>
    <t xml:space="preserve">a)  Capacitación y  análisis histórico  Indice de Transparencia Departamento del Quindio </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</si>
  <si>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2020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2020 .   
</t>
  </si>
  <si>
    <t>con respecto a las categorías que deben estar pubicadas dentro de la pagina web oficial de la entidad link de Transparencia:
1. Mecanismos del sujeto obligado
2. Información de Interes
3 Estructura Organica
4. Normatividad
5. Presupuesto y Contabilidad
6. Planeación
7. Control
8. Contratación
9. Trámites y servicios
10. Instrumentos de Gestión de la Información Pública.</t>
  </si>
  <si>
    <t xml:space="preserve">Asistencias tecnicas implementación Indice de Transparencia Sector Central y Descentralizado </t>
  </si>
  <si>
    <t xml:space="preserve">a)  Capacitación y  análisis histórico  Indice de Transparencia Municipios </t>
  </si>
  <si>
    <t xml:space="preserve">
1. Mecanismos del sujeto obligado
2. Información de Interes
3 Estructura Organica
4. Normatividad
5. Presupuesto y Contabilidad
6. Planeación
7. Control
8. Contratación
9. Trámites y servicios
10. Instrumentos de Gestión de la Información Pública.</t>
  </si>
  <si>
    <t xml:space="preserve">Asistencias tecnicas implementación Indice de Transparencia  Entes Descentralizados </t>
  </si>
  <si>
    <t xml:space="preserve">Realizar  doce (12) procesos de Rendición Publica de Cuentas Departamentales en entes territoriales municipales. </t>
  </si>
  <si>
    <t>Número de procesos de Rendición de Cuentas en los municipios realizadas</t>
  </si>
  <si>
    <t>0305 - 5 - 3 1 5 26 84 17 15 - 20</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</si>
  <si>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</si>
  <si>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</si>
  <si>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2020   y la preparación recolección y  consolidación del informe de la vigencia 2020, con el fin de divulgar a la comunidad de los resultados de la ejecutorias generando en la Administraciòn la cultura de la Rendiciòn Pùblica de Cuentas durante la vigencia 2020.
</t>
  </si>
  <si>
    <t xml:space="preserve">Realizar el video de las ejecutorias de la Administración Departamental vigencia 2020 por ejes estratégicos, buscando aumentar el promedio de la participación ciudadana en los procesos de elección popular en el Departamento del Quindío durante la vigencia 2020. 
</t>
  </si>
  <si>
    <t xml:space="preserve">1.1.  Elaboración informe de gestión </t>
  </si>
  <si>
    <t xml:space="preserve">1.2  Elaboración video </t>
  </si>
  <si>
    <t xml:space="preserve">Realizar un periodico informativo de las ejecutorias de la Administración Departamental vigencia 2020 por ejes estratégicos, buscando aumentar el promedio de la participación ciudadana en los procesos de elección popular en el Departamento del Quindío durante la vigencia 2020. 
</t>
  </si>
  <si>
    <t xml:space="preserve">2.1. Diseño y edición  medio informativo  Administración  Departamental </t>
  </si>
  <si>
    <t xml:space="preserve">  Realizar  eventos de Rendición Pública de Cuentas en los doce entes Territoriales del Departamento , de las ejecutorias de la Administración Departamental vigencia 2020 por ejes estratégicos, buscando aumentar el promedio de la participación ciudadana en los procesos de elección popular en el Departamento del Quindío durante la vigencia 2020. 
</t>
  </si>
  <si>
    <t xml:space="preserve">Sonido </t>
  </si>
  <si>
    <t xml:space="preserve">Refrigerios </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</si>
  <si>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</si>
  <si>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</si>
  <si>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</si>
  <si>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</si>
  <si>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</si>
  <si>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</si>
  <si>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</si>
  <si>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2020.   
</t>
  </si>
  <si>
    <t>Apoyar la participación de los integrantes del consejo territorial a congresos y eventos nacionales regionales y departamentales, en el Departamento del Quindio, durante la vigencia 2020</t>
  </si>
  <si>
    <t xml:space="preserve">1.1  Talleres Participativos Sectoriales 
1.2  Sesiones de Recolección de Información con la Sociedad Civil
1.3  Cartografía Social Departamental
1.4  Emisión de documentos de trabajo  
1.5  Empleo de medios de comunicación social: radio, prensa, televisivos.
1.6  Intercambios RAP Eje Cafetero    
</t>
  </si>
  <si>
    <t>2.1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</si>
  <si>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r>
      <t>2.2. XIV Encuentro CTP, traslados de ida y vuelta desde su lugar de origen Plaza de Bolívar del Municipio de Armenia hasta el Municipio de "</t>
    </r>
    <r>
      <rPr>
        <b/>
        <sz val="11"/>
        <color theme="1"/>
        <rFont val="Arial"/>
        <family val="2"/>
      </rPr>
      <t>Montenegro</t>
    </r>
    <r>
      <rPr>
        <sz val="11"/>
        <color theme="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</si>
  <si>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2.3. XXIV Congreso del Sistema Nacional de Planeación, traslado de ida y vuelta en transporte aéreo en las rutas nacionales: de Armenia hacia la ciudad "sede"; adicionales traslados internos, en los días que sean acordados por el contratante. Cinco (5) días, octubre o noviembre de 2020 - suministro de alimentación en la ciudad sede Desayuno, Almuerzo y Cena, sede del XXIV Congreso Nacional de Planeación, cinco (5) días, Octubre O Noviembre /2020 - servicio de alojamiento en la ciudad sede del XXIV Congreso Nal de Planeación, acomodación en habitaciones dobles, cinco (5) días, octubre y/o Noviembre /2020 para 19 personas.</t>
  </si>
  <si>
    <t>2.4. 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</si>
  <si>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2.5 Concuirrir conjuntamnete en las actividades de promocion,difusion, convocatorias y logistica para el XXIV Congreso del Sistema Nacional de Planeación 2020 a celebrarse en la ciudad de Armenia.</t>
  </si>
  <si>
    <t>2.1 Adquisiciòn de Equipo de computo e inmuebles</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</si>
  <si>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2020.  
</t>
  </si>
  <si>
    <t xml:space="preserve">3.1 Comunicaciones externas de interes público, a traves de medios radiales, prensa y televisivos. </t>
  </si>
  <si>
    <t>3.2 Actualizaciòn y cargas permanente a la pagina Web y redes del Consejo Territorial</t>
  </si>
  <si>
    <t>3.3. Suministro de material litografico, papeleria, impresos y publicaciones, entre otros.</t>
  </si>
  <si>
    <t xml:space="preserve">Aumentar los  espacios para capacitación orientados en planificación del territorio Quindiano a través de diplomado o Escuela de liderazgo en ordenamiento territorial en el Departamento del Quindio, durante la vigencia 2020. 
</t>
  </si>
  <si>
    <t>4.1. Realización Capacitaciones/Talleres/Seminarios/ Ciclo de Conferencias sobre Desarrollo Territorial,etc</t>
  </si>
  <si>
    <t>4.2. Diseñar y elaborar el contenido academico y programatico del Centro de Pensamiento/Escuela de Liderazgo</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</si>
  <si>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</si>
  <si>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</si>
  <si>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</si>
  <si>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</si>
  <si>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 xml:space="preserve">0305 - 5 - 3 1 5 28 87 17 2 - 20
</t>
  </si>
  <si>
    <t>201900363-0002</t>
  </si>
  <si>
    <t>Formulación  e implementación del  Plan de Desarrollo Departamental 2020-2023</t>
  </si>
  <si>
    <t>Aumentar los indices eficacia y eficiencia  de la inversión social en el Departamento del Quindio, a través de la formulación del Plan de Desarrollo 2020- 2023 (Componentes: Estrategico-financcero- seguimiento y evaluación) con  procesos de participación y sensibilización conducentes a  lograr el empoderamiento  de los entes territoriales municipales,  sociedad  civil y organizada en la ejecución del Plan, durante el periodo administrativo</t>
  </si>
  <si>
    <t xml:space="preserve">Formular  e implementar  el Plan de Desarrollo Departamental  2020-2023 a través  de la  estructuración del componete estratégico, financiero, de seguimiento y evaluación,  con el fin de lograr la consrucción de  un instrumento de planificación  acorde al programa de gobierno  y las necesidades de la comunidad,  durante la vigencia 2020 
</t>
  </si>
  <si>
    <t>1.1 Captura de Información situación actual de la entidad territorial y su entorno - Identificación y analisis de indicadores :económicos, sociales, financieros e institucionales</t>
  </si>
  <si>
    <t>1.2 Realización mesas participativas construcción componente diagnóstico PDD (Identificacación de problemas, causas y consecuencias)</t>
  </si>
  <si>
    <t xml:space="preserve">1.3 Estructuración componente Diagnóstico por sectores </t>
  </si>
  <si>
    <t>2.1 Construcción participativa visión PDD</t>
  </si>
  <si>
    <t xml:space="preserve">2.2 Mesas participativas formulación Plan de Desarrollo </t>
  </si>
  <si>
    <t>2.3 Estructuración componente estratégico Plan de Desarrollo</t>
  </si>
  <si>
    <t>2.4 Estructuración componente financiero Plan de Desarrollo (Marco Fiscal a mediano plazo, Plan Financiero y matriz Plurianual)</t>
  </si>
  <si>
    <t>2.5 Socialización propuesta en los diferentes sectores e instancias de participación  ciudadana y ajuste anteproecto Plan de Desarrollo de conformidad con las recomendaciones</t>
  </si>
  <si>
    <t xml:space="preserve">2.6 Asistencia técnica entes territoriales Municipales </t>
  </si>
  <si>
    <t>3.1 Formulación componente de seguimiento y evaluación del Plan de Desarrollo Departamental</t>
  </si>
  <si>
    <t xml:space="preserve">Realizar la socialización del Plan de Desarrollo del Departamento del Quindio  2020- 2023, a través de  estrategias de divulgación ( Talleres de capacitación y  cartilla informativa), con el fin de lograr  el empoderamiento y  el control ciudadano en  el proceso de ejecución del  Plan  
</t>
  </si>
  <si>
    <t>4.1 Socialización Plan de Desarrollo del Quindio entes territoriales, institucionalidad, academia y demás instancias.</t>
  </si>
  <si>
    <t>4.2 Edición Plan de Desarrollo</t>
  </si>
  <si>
    <t>4.3 Refrigerios Mesas</t>
  </si>
  <si>
    <t>4.4 Fotocopias</t>
  </si>
  <si>
    <t>Diseñar e implementar el Plan de Ordenamiento del Departamento del Quindio.</t>
  </si>
  <si>
    <t>Plan diseñado e implementado</t>
  </si>
  <si>
    <t xml:space="preserve">0305 - 5 - 3 1 5 28 87 17 9 - 20
</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</si>
  <si>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</si>
  <si>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</si>
  <si>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</si>
  <si>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</si>
  <si>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Implementación y Seguimiento a las directrices del POD</t>
  </si>
  <si>
    <t xml:space="preserve">20
</t>
  </si>
  <si>
    <t>socializacion de las directrices de ordenamiento territorial POD en los Municipios del Departamento</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</si>
  <si>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</si>
  <si>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</si>
  <si>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</si>
  <si>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INSTITUCIONAL licenciamiento software.</t>
  </si>
  <si>
    <t>Mantenimiento y Actualizacion permanente de las bases de Datos del SIG</t>
  </si>
  <si>
    <t>socializacion y asistencia técnica del SIG intitucional.</t>
  </si>
  <si>
    <t xml:space="preserve">Fortalecimiento de los procesos de ordenamiento territorial y  acompañamiento técnico en la implementacion de la cartografia estrategica para la formulación del OT de los municipios </t>
  </si>
  <si>
    <t>Reorientar el observatorio económico actual, a un enfoque de Desarrollo humano incluyente con variables sociales, económicas y de seguridad humana</t>
  </si>
  <si>
    <t>Observatorio economico reorientado</t>
  </si>
  <si>
    <t xml:space="preserve">0305 - 5 - 3 1 5 28 87 17 10 - 20
</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</si>
  <si>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</si>
  <si>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</si>
  <si>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</si>
  <si>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2020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</si>
  <si>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2020.</t>
  </si>
  <si>
    <t>2.1 Análisis de la información recolectada para la actualización y generación de los  boletines trimestrales (4), el informe anual del departamento (1) y los demás análisis requeridos correspondientes a la vigencia 2020 (1 Informe de Empleo)</t>
  </si>
  <si>
    <t>2.2 Fortalecer el seguimiento a los problemas identificados en el departamento con relación a los ODS para la última vigencia de análisis.</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</si>
  <si>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2020</t>
  </si>
  <si>
    <t>3.1.1. Apoyo en la implementación del sistema de consulta del Observatorio de Desarrollo Humano y fortalecimiento de su funcionamiento a partir de la compra de equipos informáticos, periféricos y licencias.</t>
  </si>
  <si>
    <t xml:space="preserve">3.1.2. Apoyo en la recolección y procesamiento de bases y datos estadísticos para la estructuración del sistema de información </t>
  </si>
  <si>
    <t>4.1.1. Apoyo en la asistencia y revisión de las Fichas Básicas Municipales</t>
  </si>
  <si>
    <t>Diseñar e implementar el tablero de control  para el seguimiento y evaluación del Plan de Desarrollo  y   políticas públicas  Departamentales</t>
  </si>
  <si>
    <t>Tablero de control diseñado e implementado</t>
  </si>
  <si>
    <t xml:space="preserve">0305 - 5 - 3 1 5 28 87 17 11 - 20
</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</si>
  <si>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</si>
  <si>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</si>
  <si>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</si>
  <si>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2020-2023,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</si>
  <si>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Quindio, a través del Tablero de control</t>
  </si>
  <si>
    <t>1.2. Elaboración ruta de seguimiento del plan de acción, a través de la plataforma WEB, flujos de información y conexiones, definiendo los avances de las metas físicas y financieras para la validación de la información</t>
  </si>
  <si>
    <t xml:space="preserve">Diseñar e implementar la  Fábrica de Proyectos de Inversión en el Departamento del Quindío </t>
  </si>
  <si>
    <t>Fábrica de Proyectos de Inversión diseñada e implementada</t>
  </si>
  <si>
    <t xml:space="preserve">0305 - 5 - 3 1 5 28 87 17 12 - 20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</si>
  <si>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</si>
  <si>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</si>
  <si>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</si>
  <si>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</si>
  <si>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Capacitación estructuración y formulación de proyectos del Sistema General de Regalias  SGR (Marco Lógico; Metodología General Ajustada  y  requisitos generales para la viabilización  de proyectos)</t>
  </si>
  <si>
    <t>Asistencia Técnica  en estructuración, formulación y revisión de proyectos, Metodología General Ajustada MGA,   seguimiento a  trámites de  aprobación  proyectos  de Inversión SGR  y  mesas técnicas (Secretarias Sectoriales,   Instancias de carácter municipal, departamental, regional  y/o nacional), rendición de cuentas Sistema General de Regalias SGR, reuniones OCAD  Regional y Departamental.</t>
  </si>
  <si>
    <t>Asistencia Técnica  formulación Metodología General Ajustada MGA, gestión de insumos para el cumplimiento de requisitos mínimos,  revisión  de proyectos.</t>
  </si>
  <si>
    <t>Apoyo en la formulacion y estructuracion de programas y proyectos de cooperacion internacional, en las metodologias requeridas.</t>
  </si>
  <si>
    <t>Apoyar las acciones para la identificacion de la oferta de proyectos de cooperacion internacional</t>
  </si>
  <si>
    <t>Desarrollo de estrategias de promocion de los planes, programas y proyectos del departamento del Quindio</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</si>
  <si>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</si>
  <si>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</si>
  <si>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</si>
  <si>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</si>
  <si>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2.6.  Apoyo técnico  y acompañamiento a las unidades ejecutoras para el Seguimiento a los Proyectos de Inversión del Banco de Proyectos nivel departamental en el  SISTEMA DE SEGUIMIENTO A PROYECTOS DE INVERSIÓN -SPI-, teniendo en cuenta la Ejecución fisica, el seguimiento a actividades, el  Seguimiento de gestión y los anexos.</t>
  </si>
  <si>
    <t>Brindar apoyo técnico integral o interdisciplinario a las Secretarias de la Gobernación del Quindío y a los entes territoriales en la identificación y formulación  de Proyectos en el marco de la Metodología General Ajustada, Marco Lógico y otras</t>
  </si>
  <si>
    <t>2.1. Asistencia Técnica en la formulación y estructuración de  proyectos de carácter estrategico (del orden departamental, Regional, Nacional e Internacional), en  las Metodologías requeridas, apoyando la realizacion de mesas de trabajo con las unidades ejecutoras y entidades actoras, para la construccion de los documentos y anexos requeridos en los proyectos, la verifcacion de requisitos en los proyectos,  el diligenciamiento de la información en las plataformas requeridas y la socializacion de los proyectos formulados .</t>
  </si>
  <si>
    <t xml:space="preserve"> 2.2 Asistencia Técnica a las unidades ejecutoras en la formulación y estructuración de proyectos de acuerdo al Plan de Desarrollo 2020-2023, apoyando las mesas de trabajo, los procesos de revisión y verificación del cumplimiento de requisitos generales.</t>
  </si>
  <si>
    <t>2.3. Apoyo técnico para la incorporación y diligenciamiento de la información de los proyectos de inversión, de acuerdo al Plan de Desarrollo 2020-2023, a través de las plataformas de  la Metodología General Ajustada —MGA WEB, SUIFP-TERRITORIO, de acuerdo a la normatividad vigente y  las directrices establecidas por el Departamento Nacional de Planeación –DNP-, realizando talleres con las unidades ejecutoras.</t>
  </si>
  <si>
    <t xml:space="preserve">2.4.  Apoyo y acompañamiento técnico para la realización de modificaciones y/o  ajustes a los proyectos de Inversión vigencia 2020, de acuerdo a los formatos y directrices del Manual Operativo del Banco de Programas y Proyectos del Departamento y su actualización en las plataformas de  la Metodología General Ajustada —MGA WEB, SUIFP-TERRITORIO.  </t>
  </si>
  <si>
    <t xml:space="preserve">2.5. Apoyo a los procesos de revision, verificación de cumplimiento de requisitos generales y acompañamiento a los proyectos presentados  por formuladores ciudadanos u oficiales,  presentando los respectivos informes y actualización de la caracterización de  los proyectos e iniciativas  estratégicas  del departamento y sus municipios, susceptibles de ser financiados con recursos del orden departamental, regional, nacional e internacional. </t>
  </si>
  <si>
    <t>2.7.  Seguimiento, identificaciòn y sistematizaciòn de las iniciativas y proyectos susceptibles a ser financiados con recursos de cooperaciòn internacional, gestionados por los entes territoriales municipales ante las agencias de cooperaciòn y embajadas extranjeras en el pais.</t>
  </si>
  <si>
    <t>2.8 Capacitación y asistencia tecnica a las unidades ejecutoras de la administración departamental, en forulación, estructuración metodologica,teoria de proyectos, gestión presupuestal de la inversión publica, armonizacion de proyectos y herramientas informaticas que soporten el ciclo de la inversión: MGA, SUIFP Y SPI, de acuerdo al plan de desarrollo 2020-2023</t>
  </si>
  <si>
    <t>2.9 Apoyo y asistencia tecnica en la formulación y estructuración de los proyectos de la secretaria de planeación departamental, de acuerdo al plan de desarrollo 2020-2023, apoyando la revisión y verificación del cumplimiento de requisitos generales y la actualización en la plataformas de la metodologia general ajustada -MGA WEB, SUIFP-TERRITORIO,SPI</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</si>
  <si>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</si>
  <si>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</si>
  <si>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0305 - 5 - 3 1 5 28 87 17 14 - 20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</si>
  <si>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</si>
  <si>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</si>
  <si>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2020 . 
</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</si>
  <si>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</si>
  <si>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</si>
  <si>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</si>
  <si>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</si>
  <si>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</si>
  <si>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</si>
  <si>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</si>
  <si>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</si>
  <si>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 Asistencia técnica, seguimiento y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</si>
  <si>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</si>
  <si>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</si>
  <si>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</si>
  <si>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</si>
  <si>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 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</si>
  <si>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</si>
  <si>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</si>
  <si>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JOSE IGNACIO ROJAS SEPULVEDA</t>
  </si>
  <si>
    <t xml:space="preserve">SECRETARIO DE PLANEACION DEPARTAMENTAL </t>
  </si>
  <si>
    <t>POBLACIÓN</t>
  </si>
  <si>
    <t xml:space="preserve">META DE PRODUCTO </t>
  </si>
  <si>
    <t>Edad Económicamente Activa (20-59 años)</t>
  </si>
  <si>
    <t>No. DE CONTRATOS</t>
  </si>
  <si>
    <t>DESARROLLO SOSTENIBLE</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</si>
  <si>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</si>
  <si>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</si>
  <si>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</si>
  <si>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</si>
  <si>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</si>
  <si>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</si>
  <si>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</si>
  <si>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</si>
  <si>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</si>
  <si>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</si>
  <si>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</si>
  <si>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</si>
  <si>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 xml:space="preserve">
SECRETARIO DE AGUAS E INFRAESTRUCTURA</t>
  </si>
  <si>
    <t>0308 - 5 - 3 1 1 1 2 3 22 - 27</t>
  </si>
  <si>
    <t>Formular proyectos para ejecutar diferentes proyectos con el fin de brindar un buen servicio de Agua potable y Saneamiento basico.</t>
  </si>
  <si>
    <t>SGP Agua Potable y Saneamineto Básico</t>
  </si>
  <si>
    <t>0308 - 5 - 3 1 1 1 2 3 23 - 27</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</si>
  <si>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</si>
  <si>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</si>
  <si>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</si>
  <si>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</si>
  <si>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 xml:space="preserve">Construcción y/o mantenimiento y/o optimizacion de obras de  Agua Potable y/o Saneamiento Básico en el Departamento del Quindío.
</t>
  </si>
  <si>
    <t>Formular,priorizar, viabilizar y ejecutar proyectos de infraestructura de Agua Potable y Saneamiento Basico</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</si>
  <si>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</si>
  <si>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</si>
  <si>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</si>
  <si>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</si>
  <si>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</si>
  <si>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</si>
  <si>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</si>
  <si>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</si>
  <si>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</si>
  <si>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</si>
  <si>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</si>
  <si>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</si>
  <si>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</si>
  <si>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</si>
  <si>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</si>
  <si>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</si>
  <si>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</si>
  <si>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</si>
  <si>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</si>
  <si>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</si>
  <si>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</si>
  <si>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</si>
  <si>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</si>
  <si>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</si>
  <si>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</si>
  <si>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</si>
  <si>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</si>
  <si>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Formular e implementar dos (2) proyectos para la gestión del riesgo del sector de agua potable y saneamiento básico. </t>
  </si>
  <si>
    <t xml:space="preserve">No de proyectos ejecutados para  para la gestión del riesgo del sector de agua potable y saneamiento básico.  </t>
  </si>
  <si>
    <t>0308 - 5 - 3 1 1 1 2 3 27 - 27</t>
  </si>
  <si>
    <t>201663000-0027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</si>
  <si>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</si>
  <si>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2020</t>
  </si>
  <si>
    <t>Destinar recursos de inversion en planes mantenimiento con su correspondiente priorizacion a través de la estructuración priorizada de
inversión por fases para la gestión del riesgo en el sector de agua potable y saneamiento básico en el Dpto.</t>
  </si>
  <si>
    <t xml:space="preserve">Estructuración priorizada de inversión para la Gestión del Riesgo en el Sector de Agua Potable y Saneamiento Básico.
</t>
  </si>
  <si>
    <t xml:space="preserve">Atención de emergencias que afecten la prestación de servicios de Agua Potable y Saneamiento Básico.
</t>
  </si>
  <si>
    <t>Planificar  adecuadamente los procesos para la mitigación de riesgos en la prestación del servicio de  ,APSB a través de estudios de la gestión del riesgo que aporten en el conocimiento de los mismos.</t>
  </si>
  <si>
    <t xml:space="preserve">Formulación de un (1) Estudio de Gestión del Riesgo en el Sector de Agua Potable y Saneamiento Básico.
</t>
  </si>
  <si>
    <t xml:space="preserve">2. </t>
  </si>
  <si>
    <t xml:space="preserve">PROSPERIDAD CON EQUIDAD </t>
  </si>
  <si>
    <t xml:space="preserve">4. </t>
  </si>
  <si>
    <t>14.</t>
  </si>
  <si>
    <t>MEJORA DE LA INFRAESTRUCTURA VIAL DEL DEPARTAMENTO DEL QUINDIO</t>
  </si>
  <si>
    <t xml:space="preserve">                                                                                 </t>
  </si>
  <si>
    <t>Km de vías del departamento mantenidas, mejoradas y/o rehabilitadas</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</si>
  <si>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</si>
  <si>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</si>
  <si>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</si>
  <si>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</si>
  <si>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 xml:space="preserve">Suministro de combustible </t>
  </si>
  <si>
    <t xml:space="preserve">SOBRETASA AL ACPM </t>
  </si>
  <si>
    <t>ORDINARIO Y ACPM</t>
  </si>
  <si>
    <t>ALFONSO VELEZ</t>
  </si>
  <si>
    <t>Servicio de Vigilancia en puntos aleatorios</t>
  </si>
  <si>
    <t>Servicio de reparacion  y Suministro de Repuestos  grasas, lubricantes, baterias y llantas</t>
  </si>
  <si>
    <t>Servicio de transporte a todo costo para el desplazamiento  a las obras físicas y actividades inherentes al proyecto</t>
  </si>
  <si>
    <t xml:space="preserve">SOBRETASA AL ACPM (23)
</t>
  </si>
  <si>
    <t>Suministro y/o compraventa de materiales, elementos y  equipos necesarios para la atencion vial del Departamento</t>
  </si>
  <si>
    <t>Prestacion de Servicios de Asistencia Profesional y/o asistencia tecnica a la supervision en la vigilancia, seguimiento y control juridico de los contratos suscritos en cumplimiento del proyecto.</t>
  </si>
  <si>
    <t>Asistencia Profesional a la supervision en la vigilancia y seguimiento y control  Financiero y Administrativo de los contratos suscritos en cumplimiento del proyecto.</t>
  </si>
  <si>
    <t>0308 - 5 - 3 1 2 4 14 9 19 - 23</t>
  </si>
  <si>
    <t>Prestacion de Servicios de Asistencia Profesional  a la Supervision de obras fisicas y procesos que se adelanten en cumplimiento del proyecto.</t>
  </si>
  <si>
    <t>0308 - 5 - 3 1 2 4 14 9 19 - 20</t>
  </si>
  <si>
    <t>Prestacion de Servicios de Asistencia Tecnica a la supervision  de obras fisicas y procesos que se adelanten en cumplimiento del proyecto.</t>
  </si>
  <si>
    <t xml:space="preserve">Prestacion de Servicios de mano de obra no calificada </t>
  </si>
  <si>
    <t>Interventoría integral para las obras físicas que  se adelanten en cumplimiento del proyecto MANTENER MEJORAR REHABILITAR Y/O ATENDER EMERGENCIAS EN CUMPLIMIENTO DEL PLAN VIAL DEL DEPARTAMENTO</t>
  </si>
  <si>
    <t xml:space="preserve">Prestacion de Servicios Profesionales para la Direccion y la Coordinacion de la maquinaria </t>
  </si>
  <si>
    <t xml:space="preserve">SOBRETASA AL ACPM (23)-
</t>
  </si>
  <si>
    <t xml:space="preserve">Prestacion de Servicios para la operación de maquinaria pesada, vehiculos y equipos </t>
  </si>
  <si>
    <t>Mantener, mejorar y/o rehabilitar las vias del Departamento del Quindio.</t>
  </si>
  <si>
    <t>Mantener, mejorar y/o rehabilitar las vias del Departamento del Quindio en atencion de las emergencias viales del Departamento del Quindio.</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</si>
  <si>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</si>
  <si>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</si>
  <si>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</si>
  <si>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</si>
  <si>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15 21 - 04</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</si>
  <si>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</si>
  <si>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</si>
  <si>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</si>
  <si>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</si>
  <si>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 xml:space="preserve">Servicio de transporte a todo costo para el desplazamiento de personal a las obras físicas y actividades </t>
  </si>
  <si>
    <t>ESTAMPILLA PRO - DESARROLLO (04)</t>
  </si>
  <si>
    <t>ORDINARIO Y ESTEMPILLA PRODESARROLLO</t>
  </si>
  <si>
    <t>MILTON CESAR TORRES HERNANDEZ</t>
  </si>
  <si>
    <t>Suministro y/o compraventa de materiales, elementos y  equipos necesarios para la ejecucion de proyectos en infraestructura educativa.</t>
  </si>
  <si>
    <t>Prestacion de Servicios de Asistencia Profesional a la supervision en la vigilancia, seguimiento y control juridico de los contratos suscritos en cumplimiento del proyecto.</t>
  </si>
  <si>
    <t>Prestacion de Servicios de Apoyo Tecnico a la supervision en la vigilancia, seguimiento y contral juridico de los contratos suscritos por el Departamento.</t>
  </si>
  <si>
    <t>Prestacion de Servicios de Apoyo Tecnico a la supervision  de obras fisicas y procesos que se adelanten en cumplimiento del proyecto.</t>
  </si>
  <si>
    <t xml:space="preserve">Prestacion de servicios de mano de obra calificada necesaria para el cumplimiento del Proyecto  </t>
  </si>
  <si>
    <t xml:space="preserve">Prestacion de servicios de mano de obra no calificada necesaria para el cumplimiento del Proyecto  </t>
  </si>
  <si>
    <t>Mantener, mejorar y/o rehabilitar las Instituciones Educativas del Departamento del Quindio.</t>
  </si>
  <si>
    <t>Interventoría integral para los contratos que se adelanten en Infraestructura Educativa.</t>
  </si>
  <si>
    <t>Apoyar la construcción, mejoramiento y/o  rehabilitación de la infraestructura de doce (12) escenarios deportivos y/o recreativos en el departamento del Quindío</t>
  </si>
  <si>
    <t>Número de escenarios deportivo o recreativo  apoyado</t>
  </si>
  <si>
    <t xml:space="preserve"> 0308 - 5 - 3 1 2 4 15 15 21 - 04</t>
  </si>
  <si>
    <t xml:space="preserve">Servicio de transporte a todo costo para el desplazamiento de los funcionarios y contratistas a las obras físicas y actividades </t>
  </si>
  <si>
    <t xml:space="preserve">ESTAMPILLA PRO - DESARROLLO (04)
</t>
  </si>
  <si>
    <t>Suministro y/o compraventa de materiales, elementos y  equipos necesarios para la realizacion de proyectos en infraestructura deportiva.</t>
  </si>
  <si>
    <t>Construccion, mejoramiento y/o rehabilitacion de Infraestructura Deportiva del Departamento del Quindio</t>
  </si>
  <si>
    <t>Construccion e Instalacion de Gimnasios Biosaludables en el Departamento del Quindio.</t>
  </si>
  <si>
    <t>Interventoría integral para los contratos que se adelanten en Infraestructura Deportiva.</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</si>
  <si>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</si>
  <si>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</si>
  <si>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0308 - 5 - 3 1 2 4 15 15 21 - 20</t>
  </si>
  <si>
    <t>Mejoramiento, mantenimiento, rehabilitacion y/o habilitacion de Edificios Publicos del Quindio</t>
  </si>
  <si>
    <t>Apoyar la construcción y  el mejoramiento de mil (1000) viviendas urbana y rural priorizada en el departamento del Quindío.</t>
  </si>
  <si>
    <t>Número de viviendas apoyadas</t>
  </si>
  <si>
    <t>Mejoramiento de vivienda urbana y/o rural priorizada en el Departamento del Quindio.</t>
  </si>
  <si>
    <t>Gilberto Gutierrez Caro</t>
  </si>
  <si>
    <t xml:space="preserve">Secretario de Aguas e Infraestructura </t>
  </si>
  <si>
    <t>Departamento del Quindio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</si>
  <si>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</si>
  <si>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</si>
  <si>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</si>
  <si>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</si>
  <si>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</si>
  <si>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</si>
  <si>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institucional de disminución de la accidentalidad en las vias</t>
  </si>
  <si>
    <t>Recursos propios</t>
  </si>
  <si>
    <t>-</t>
  </si>
  <si>
    <t>Propios</t>
  </si>
  <si>
    <t>Raul Augusto Perez Ospina</t>
  </si>
  <si>
    <t>n/a</t>
  </si>
  <si>
    <t>Edna Patricia Torres Ortiz</t>
  </si>
  <si>
    <t xml:space="preserve">Formular e implementar el Plan de Seguridad Vial del Departamento </t>
  </si>
  <si>
    <t>Plan departamental de seguridad vial elaborado e implementado</t>
  </si>
  <si>
    <t xml:space="preserve">implementar el Plan Departamental de Seguridad Vial </t>
  </si>
  <si>
    <t xml:space="preserve">F-PLA-07   </t>
  </si>
  <si>
    <t>POBLACION</t>
  </si>
  <si>
    <t>ESTRATEGIA</t>
  </si>
  <si>
    <t>PROGRAMA</t>
  </si>
  <si>
    <t>SUBPROGRAMA</t>
  </si>
  <si>
    <t>META PRODUCTO PLAN DE DESARROLLO</t>
  </si>
  <si>
    <t>NO</t>
  </si>
  <si>
    <t>VALOR EN PESOS</t>
  </si>
  <si>
    <t>p</t>
  </si>
  <si>
    <t>PROSPERIDAD CON EQUIDAD</t>
  </si>
  <si>
    <t>Infraestructura Sostenible para la Paz</t>
  </si>
  <si>
    <t>Mejora de la Infraestructura Vial del Departamento del Quindío</t>
  </si>
  <si>
    <t>Mantener, mejorar y/o rehabilitar ciento treinta (130) km de vías del Departamento para la implementación del Plan Vial Departamental.</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</si>
  <si>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</si>
  <si>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</si>
  <si>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</si>
  <si>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</si>
  <si>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</si>
  <si>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</si>
  <si>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</si>
  <si>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Pablo Cesar Herrera 
Gerente
Claudia Andrea Londono 
Jefe Area Tecnica y Administrativa</t>
  </si>
  <si>
    <t xml:space="preserve">
Gerente General</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</si>
  <si>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</si>
  <si>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</si>
  <si>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</si>
  <si>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</si>
  <si>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Gerente General</t>
  </si>
  <si>
    <t>Mantener, mejorar y/o rehabilitar la Infraestructura instituciones educativas en el departamento del Quindío.</t>
  </si>
  <si>
    <t>53</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</si>
  <si>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</si>
  <si>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</si>
  <si>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</si>
  <si>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Mejoramiento y/o construcción de vivienda urbana y rural.</t>
  </si>
  <si>
    <t xml:space="preserve">PABLO CESAR HERRERA CORREA </t>
  </si>
  <si>
    <t>Gerente General - ProviQuindío.</t>
  </si>
  <si>
    <t>Proyectó: Diego Fernando Ramirez Restrepo</t>
  </si>
  <si>
    <t xml:space="preserve">Revisó: Claudia Andrea Londoño Celis </t>
  </si>
  <si>
    <t>Profesional Universitario - Contratista.</t>
  </si>
  <si>
    <t>Jefe Area Técnica Administrativa</t>
  </si>
  <si>
    <t>SEGUIMIENTO PLAN DE ACCIÓN 
SECRETARIA DE FAMILIA
I TRIMESTRE  2020</t>
  </si>
  <si>
    <t>Edad Económicamente Activa 
(20-59 años)</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</si>
  <si>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</si>
  <si>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</si>
  <si>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</si>
  <si>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</si>
  <si>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</si>
  <si>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</si>
  <si>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</si>
  <si>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</si>
  <si>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</si>
  <si>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</si>
  <si>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Implementar un programa de atencion integral a menores de 5 años y madres gestantes en entornos familiares</t>
  </si>
  <si>
    <t>MARIA ISABEL ARANGO</t>
  </si>
  <si>
    <t xml:space="preserve">
 SECRETARIA DE FAMILIA</t>
  </si>
  <si>
    <t>Realizar talleres de sensibilización en entorno Institucional a la primera infancia</t>
  </si>
  <si>
    <t>Apoyo en la realizacion de actividades y seguimiento del modelo intersectorial de atencion integral a los municipios del departamento</t>
  </si>
  <si>
    <t>Realizar seguimiento a las acciones que garanticen la atencion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</si>
  <si>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</si>
  <si>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</si>
  <si>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</si>
  <si>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</si>
  <si>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</si>
  <si>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</si>
  <si>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</si>
  <si>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</si>
  <si>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</si>
  <si>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</si>
  <si>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</si>
  <si>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</si>
  <si>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</si>
  <si>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</si>
  <si>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</si>
  <si>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</si>
  <si>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</si>
  <si>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</si>
  <si>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</si>
  <si>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</si>
  <si>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político publica de familia</t>
  </si>
  <si>
    <t xml:space="preserve">Alto grado de tolerancia ante la diversidad de pensamientos y comportamientos al interior de las familias </t>
  </si>
  <si>
    <t xml:space="preserve">Campañas,  publicidad y promoción </t>
  </si>
  <si>
    <t>Refrigerios, logística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</si>
  <si>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</si>
  <si>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</si>
  <si>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</si>
  <si>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</si>
  <si>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0316 - 5 - 3 1 3 17 59 14 109 - 20</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</si>
  <si>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</si>
  <si>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</si>
  <si>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</si>
  <si>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</si>
  <si>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Apoyar con el seguimiento al Plan de Acción de la Politica Publica  de primera infancia, infancia y adolescencia del departamento</t>
  </si>
  <si>
    <t>Apoyo al Comite de  Primera Infancia, Infancia y Adolescencia y al Consejo de Politica Social</t>
  </si>
  <si>
    <t>Apoyo a programas que conlleven a la  implementación de la Politica publica de primera infancia, infancia y adolescencia en el Departamento del Quindio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</si>
  <si>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</si>
  <si>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</si>
  <si>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Logistica operativa, sonido, refrigerios.</t>
  </si>
  <si>
    <t>Implementar  una estrategia de prevención y atención de embarazos y segundos embarazos a temprana edad.</t>
  </si>
  <si>
    <t>Estrategia de prevención  y atención de embarazos a temprana edad implementada</t>
  </si>
  <si>
    <t>Apoyar la Implementación de una estrategia de prevencion de embarazos y segundos embarazos a temprana edad</t>
  </si>
  <si>
    <t>Realizar jornadas pedagogicas de prevencion en las Instituciones educativas del depto</t>
  </si>
  <si>
    <t>Apoyar la articulación intersectorial, a través de mesas de trabajo en pro de la prevencion de los embarazos en adolescentes y segundos embarazos a temprana edad.</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</si>
  <si>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</si>
  <si>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</si>
  <si>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Apoyar la implementación de una  estrategia  de prevención y atención de la erradicación del abuso, explotación sexual comercial, trabajo infantil y peores formas de trabajo, y actividades delictivas</t>
  </si>
  <si>
    <t>Apoyar la implementación del Plan integral de prevención y erradicación del trabajo infantil "PIPETI", las peores formas de trabajo y apoyar al CIETI</t>
  </si>
  <si>
    <t>Brindar asistencia tecnica y Apoyo a las la difernetes iniciativas  en los doce municipios orientados a la prevención de la vulneracion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</si>
  <si>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</si>
  <si>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</si>
  <si>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</si>
  <si>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</si>
  <si>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</si>
  <si>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</si>
  <si>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</si>
  <si>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Alta articulación entre los entes gubernamentales y privados para realizar el seguimiento de la matriz de planificación de la política publica de juventud del depto
</t>
  </si>
  <si>
    <t xml:space="preserve">Apoyo y seguimiento a los indicadores de cumplimiento del plan de accion de la politica publica de juventud </t>
  </si>
  <si>
    <t>200</t>
  </si>
  <si>
    <t>6</t>
  </si>
  <si>
    <t>MANUEL ALEJANDRO PATIÑO</t>
  </si>
  <si>
    <t>fortalecer los proyectos productivos de organizaciones juveniles legalmente constituidas</t>
  </si>
  <si>
    <t xml:space="preserve">Capacitaciones, socialización y conformación de espacios de participación juvenil </t>
  </si>
  <si>
    <t>Desarrollo de acciones dispuestas a la implementacion de la politica de juventud, en los componentes de responsabilidad de la oficina de juventud</t>
  </si>
  <si>
    <t>ADQUISICION DE BIENES Y SERVICIOS: Logistica operativa,  refrigerios, sonido, ferreteria,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</si>
  <si>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</si>
  <si>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</si>
  <si>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</si>
  <si>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</si>
  <si>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</si>
  <si>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</si>
  <si>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</si>
  <si>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</si>
  <si>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</si>
  <si>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</si>
  <si>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</si>
  <si>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</si>
  <si>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</si>
  <si>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</si>
  <si>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</si>
  <si>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</si>
  <si>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</si>
  <si>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</si>
  <si>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</si>
  <si>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</si>
  <si>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 xml:space="preserve">KARLA DANIELA QUINTERO </t>
  </si>
  <si>
    <t xml:space="preserve">Apoyar la Implementación de programas para la creación de empresas </t>
  </si>
  <si>
    <t xml:space="preserve">Promover  y  fortalecer la creación de organizaciones que trabajan con y para las personas con discapacidad y sus familias 
</t>
  </si>
  <si>
    <t xml:space="preserve">Apoyar la Formación a líderes y al Comité Departamental de Discapacidad en gestión y formulación de proyectos
</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</si>
  <si>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</si>
  <si>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</si>
  <si>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</si>
  <si>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</si>
  <si>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</si>
  <si>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Procesos de  fortalecimiento en la cultura organizacional  del sector público y privado</t>
  </si>
  <si>
    <t>Apoyar la elaboración ,seguimiento y evaluacion de los planes de accion de los municipios y depto de la Politica Publica de discapacidad.</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</si>
  <si>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</si>
  <si>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</si>
  <si>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</si>
  <si>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</si>
  <si>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</si>
  <si>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</si>
  <si>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 xml:space="preserve">LOGISTICA OPERATIVA: Rrefrigerios, sonido, logistica en genreal, elementos y/o materia prima </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</si>
  <si>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</si>
  <si>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</si>
  <si>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</si>
  <si>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</si>
  <si>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</si>
  <si>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</si>
  <si>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</si>
  <si>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</si>
  <si>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</si>
  <si>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</si>
  <si>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t>
  </si>
  <si>
    <t>DANIELA ALVIZ</t>
  </si>
  <si>
    <t>SECRETARIA DE FAMILIA
 SECRETARIA DE FAMILIA</t>
  </si>
  <si>
    <t xml:space="preserve">Apoyar el seguimiento a los programas, proyectos y/o actividades que beneficien la población Habitantes en Calle y  personas en alta  vulnerabilidad y alto riesgo social
</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</si>
  <si>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</si>
  <si>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</si>
  <si>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</si>
  <si>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</si>
  <si>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Implementacion de la estrategia de atención de la poblacion en situacion de vulnerabilidad del departamento</t>
  </si>
  <si>
    <t xml:space="preserve">Brindar apoyo a la Secretaría de Familia en las diferentes jornadas, actividades o acciones  realizadas  con  población vulnerable del departameno el Quindío.
</t>
  </si>
  <si>
    <t xml:space="preserve">Apoyar a la Secretaría de Familia en la realización de convocatorias, acompañamiento logístico y asistencia operativa tendientes a la atención de la población vulnerable del departamento.
</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</si>
  <si>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</si>
  <si>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</si>
  <si>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</si>
  <si>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Realizar  estrategias orientadas a  población en estado de vulnerabilidad que permitan garantizar espacios de bienestar, cohesión social; que dignifiquen sus condiciones de vida.</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</si>
  <si>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</si>
  <si>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implementacion de estretegias, programas o proyectos que conlleven al bienestar de las familias, los niños y niñas, jóvenes y mujeres del departamento del Quindio en situacion de vulnerabilidad </t>
  </si>
  <si>
    <t xml:space="preserve">Implementar con la comunidad  de los sectores de mayor vulnerabilidad programas, proyectos y / o estrategias de prevencion al consumo de drogas </t>
  </si>
  <si>
    <t>Logistica operativa, refrigerios, sonido, ferretería</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</si>
  <si>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</si>
  <si>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</si>
  <si>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</si>
  <si>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</si>
  <si>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</si>
  <si>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</si>
  <si>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</si>
  <si>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</si>
  <si>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1.1.1. Procesos  de capacitación, asistencia técnica, seguimiento y evaluación en cuanto a la garantia de derechos de la población migrante del Departamento</t>
  </si>
  <si>
    <t>JHON DEIVY SANCHEZ</t>
  </si>
  <si>
    <t>1.2.1  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</si>
  <si>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</si>
  <si>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</si>
  <si>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</si>
  <si>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</si>
  <si>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</si>
  <si>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</si>
  <si>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</si>
  <si>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 xml:space="preserve">Altos indices de seguridad alimentaria,
emprendimiento, cultura, educación, género, familia, identidad, gobernabilidad, salud y justicia propia 
</t>
  </si>
  <si>
    <t>1.1Asistencia Social: Procesos de apoyo, gestión, asesoria y acompañamiento al Resguardo Dachi Agore Drua del Departamento para garantizar los derechos fundamentales y Especiales.</t>
  </si>
  <si>
    <t xml:space="preserve">1.1.1  Apoyo, acompañamiento y fortalecimiento en cuanto procesos de seguridad alimentaria, saneamiento basico, educación, salud, justicia, gobernabilidad y territorio </t>
  </si>
  <si>
    <t>Apoyar con unidades productivas al plan de vida del Resguardo Indigena</t>
  </si>
  <si>
    <t>1.2.1  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</si>
  <si>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</si>
  <si>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</si>
  <si>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</si>
  <si>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</si>
  <si>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</si>
  <si>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</si>
  <si>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</si>
  <si>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</si>
  <si>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</si>
  <si>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</si>
  <si>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</si>
  <si>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</si>
  <si>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</si>
  <si>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</si>
  <si>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</si>
  <si>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</si>
  <si>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</si>
  <si>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</si>
  <si>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 xml:space="preserve">Capacitaciones dirigidas a comunidades Afros del Departamento </t>
  </si>
  <si>
    <t>Asistencia social</t>
  </si>
  <si>
    <t xml:space="preserve">Alto interes en apoyar y fortalecer la formulación de planes de etnodesarrollo en los municipios con presencia de comunidades afrodescendientes 
</t>
  </si>
  <si>
    <t>Adquisición de bienes y servicios</t>
  </si>
  <si>
    <t>Sí a la diversidad sexual e identidad de género y su familia.</t>
  </si>
  <si>
    <t>Formular  la política pública departamental de diversidad sexual e identidad de género</t>
  </si>
  <si>
    <t>Política pública formulada e implementada</t>
  </si>
  <si>
    <t xml:space="preserve">0316 - 5 - 3 1 3 18 65 14 125 - 20
</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</si>
  <si>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</si>
  <si>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</si>
  <si>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</si>
  <si>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</si>
  <si>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Implementacion del plan de accion  de la politica publica de diversidad sexual e identidad de genero</t>
  </si>
  <si>
    <t>LEIDY JOHANA CANCIMANCE</t>
  </si>
  <si>
    <t>Desarrollar estrategias, programas y/o proyectos que promuevan la garantía de derechos a la poblacion sexualmente diversa</t>
  </si>
  <si>
    <t>Desarrollo programas, campañas, talleres relacionados con la promoción de derechos de población LGTBI</t>
  </si>
  <si>
    <t>Pendón,plegables. Folletos, manillas, etc</t>
  </si>
  <si>
    <t>Logistica operativa, refrigerios, sonido para celebracion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</si>
  <si>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</si>
  <si>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</si>
  <si>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</si>
  <si>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</si>
  <si>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</si>
  <si>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Implementacion de programas y proyectos institucionalespara el acceso a las oportunidades Economicas sociales y culturales de mujeres en el departamento del Quindio 
</t>
  </si>
  <si>
    <t>Apropiación jurídica  por parte de la población e institucionalidad sobre las rutas de atención existentes</t>
  </si>
  <si>
    <t xml:space="preserve">Seguimiento al cumplimiento de los planes de acción de la Politica Publica de  Equidad de Género para la mujer
</t>
  </si>
  <si>
    <t xml:space="preserve">Apoyo en la consolidacion de espacios de participacion a traves de la socializacion de la normatividad existente
</t>
  </si>
  <si>
    <t>0316 - 5 - 3 1 3 19 67 14 128 - 20</t>
  </si>
  <si>
    <t>Mejorar la articulación frente a la implementación de las políticas públicas de equidad y género</t>
  </si>
  <si>
    <t>Fortalecimiento y/o apoyo a unidades productivas y/o proyectos de emprendemiento de mujeres</t>
  </si>
  <si>
    <t xml:space="preserve">Desarrollo de actividades de impacto para la promocion de derechos y movilizacion social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</si>
  <si>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</si>
  <si>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</si>
  <si>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</si>
  <si>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</si>
  <si>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</si>
  <si>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</si>
  <si>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Quindio </t>
  </si>
  <si>
    <t>Altos índices de atención a los adultos mayores en el departamento del Quindío.</t>
  </si>
  <si>
    <t xml:space="preserve">                                                                                    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</si>
  <si>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</si>
  <si>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KARLA DANIELA QUINETO</t>
  </si>
  <si>
    <t xml:space="preserve">Apoyar elseguimiento y evaluacion de los planes de accion de los municipios y depto de la Politica Publica de envejecimiento y vejez
</t>
  </si>
  <si>
    <t>Desarrollar estrategias de vigilancia y control que permitan garantizar el cumplimiento y reconocimiento de los derechos de las personas mayores.</t>
  </si>
  <si>
    <t xml:space="preserve">Apoyar asistencias técnicas grupales a los grupos de adultos mayores del depto, en deporte, cultura, recreación y motivación </t>
  </si>
  <si>
    <t>Realizar motivación e infundir  sentido de pertenencia y compromiso de parte del Consejo Departamental del  adulto mayor</t>
  </si>
  <si>
    <t>Logística Operativa: Sonido, logistica, refrigerios</t>
  </si>
  <si>
    <t>Apoyo a  eventos programados por la Secretaría dia de la celebracion de las eprsonas de la tercera edad y el pensionado</t>
  </si>
  <si>
    <t>Crear el cabildo de adulto mayor del Departamento y apoyar la creación en once municipios del Quindío</t>
  </si>
  <si>
    <t>Número de Cabildos de Adulto Mayor creados.</t>
  </si>
  <si>
    <t>0316 - 5 - 3 1 3 19 67 14 129 - 20</t>
  </si>
  <si>
    <t xml:space="preserve">
Apoyar con actividades para la  creacion del cabildo de adulto mayoren en 6 municipios del Quindio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</si>
  <si>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</si>
  <si>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</si>
  <si>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</si>
  <si>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</si>
  <si>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Binestar del Adulto Mayor (CBA)</t>
  </si>
  <si>
    <t>Estampilla adulto mayor</t>
  </si>
  <si>
    <t xml:space="preserve">Apoyar 14 Centros Vida del Departamento </t>
  </si>
  <si>
    <t>Centros vida apoyados</t>
  </si>
  <si>
    <t>CENTROS VIDA (DV)</t>
  </si>
  <si>
    <t>TOTAL:</t>
  </si>
  <si>
    <t>ALBA JOHANA QUEJADA TORRES</t>
  </si>
  <si>
    <t>SECRETARIA DE FAMILIA</t>
  </si>
  <si>
    <t>PROYECTO Y ELABORO: Leidy Yohanna Jaramillo Santofimio Directora Desarrollo Humano y Familia</t>
  </si>
  <si>
    <t>SEGUIMIENTO PLAN DE ACCIÓN
SECRETARIA DE HACIENDA Y FINANZAS PUBLICAS
I TRIMESTRE 2020</t>
  </si>
  <si>
    <t>GESTIÓN TERRIITORIAL</t>
  </si>
  <si>
    <t>Implementar 4 procesos de fiscalización de las Rentas Departamentales</t>
  </si>
  <si>
    <t>Procesos de fiscalización implementados</t>
  </si>
  <si>
    <t xml:space="preserve">0307 - 5 - 3 1 5 28 88 17 16 - 20 
0307 - 5 - 3 1 5 28 88 17 16 - 56
</t>
  </si>
  <si>
    <t>201663000-0016</t>
  </si>
  <si>
    <t xml:space="preserve"> Mejoramiento de la sostenibilidad de los procesos de fiscalización liquidación control y cobranza de los tributos en el Departamento del Quindío</t>
  </si>
  <si>
    <t xml:space="preserve">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</si>
  <si>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</si>
  <si>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</si>
  <si>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</si>
  <si>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ORDINARIOS</t>
  </si>
  <si>
    <t>Mónica Andrea Salgado Castro
Directora Tributaria
Secretaría de Hacienda</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</si>
  <si>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</si>
  <si>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</si>
  <si>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</si>
  <si>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</si>
  <si>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2.1. Procedimiento Administrativo de Cobro Coactivo frente a la cartera de las diferentes Rentas del Departamento del Quindio</t>
  </si>
  <si>
    <t xml:space="preserve">Ejecutar el programa anti contrabando suscrito con la Federación Nacional de Departamentos.                               </t>
  </si>
  <si>
    <t>Programa anticontrabando ejecutado</t>
  </si>
  <si>
    <t xml:space="preserve">Ejecutar el Programa Anticontrabando en el Departamento del Quindìo con ocasion de la suscripcion del Convenio entre el Departamento del Quindìo y la Federaciòn Nacional de Departamentos
</t>
  </si>
  <si>
    <t xml:space="preserve">3.1   Programa Anticontrabando de Licores, Cervezas y Cigarrillos </t>
  </si>
  <si>
    <t>Convenio Anticontrabando</t>
  </si>
  <si>
    <t xml:space="preserve">Implementar un programa para el cumplimiento de las políticas y prácticas contables para la administración departamental         </t>
  </si>
  <si>
    <t>Programa para el cumplimiento de políticas contables implementado</t>
  </si>
  <si>
    <t xml:space="preserve">0307 - 5 - 3 1 5 28 88 17 17 - 20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</si>
  <si>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</si>
  <si>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</si>
  <si>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</si>
  <si>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 xml:space="preserve">Adoptar el nuevo modelo de informaciòn Financiera determinado por las Normas Internacionales de Contabilidad de información financiera NIIF, a fin de garantizar la confiabilidad de la información financiera.
</t>
  </si>
  <si>
    <t>1.1  Implementaciòn de Normas Internacionales de Informaciòn Financiera (NIIF) y fortalecimiento institucional para el cumplimiento de las politicas y practicas contables en el área de tesorería, Presupuesto y Contabilidad</t>
  </si>
  <si>
    <t xml:space="preserve">Recurso Ordinario
</t>
  </si>
  <si>
    <t>Orfa María Ruiz Agudelo
Directora Financiera
Secretaría de Hacienda</t>
  </si>
  <si>
    <t xml:space="preserve">  Secretaría de Hacienda</t>
  </si>
  <si>
    <t>SEGUIMIENTO PLAN DE ACCIÓN
SECRETARIA DE PLANEACION
I TRIMESTRE 2020</t>
  </si>
  <si>
    <t>O7</t>
  </si>
  <si>
    <t>Recurso Ordinario 
20</t>
  </si>
  <si>
    <t>José Ignacio Rojas Sepúlveda
Secretario Departamental de Planeación</t>
  </si>
  <si>
    <t>Juan Manuel Lozano Castro
Jefe Oficina Desarrollo Territorial</t>
  </si>
  <si>
    <t>Martha Elena Giraldo Ramirez
Directora Técnica</t>
  </si>
  <si>
    <t>Sandra Patricia Díaz Ordoñez
Jefe de Proyectos y Cooperación</t>
  </si>
  <si>
    <t>Norma Consuelo Mantilla Q.  
Profesional Universitario</t>
  </si>
  <si>
    <t>Luis Alberto Rincon 
Asesor Despacho</t>
  </si>
  <si>
    <t xml:space="preserve">José Ignacio Rojas Sepúlveda
Secretario Departamental de Planeación
</t>
  </si>
  <si>
    <t>Prosperidad con equidad</t>
  </si>
  <si>
    <t>Quindío rural, inteligente, competitivo y empresarial</t>
  </si>
  <si>
    <t>Quindío Prospero y productivo</t>
  </si>
  <si>
    <t xml:space="preserve">Crear (1) y fortalecer (3) rutas competitivas </t>
  </si>
  <si>
    <t>Ruta competitiva creada y rutas fortalecidas</t>
  </si>
  <si>
    <t>0311 - 5 - 3 1 2 2 8 13 51 - 20</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</si>
  <si>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</si>
  <si>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</si>
  <si>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</si>
  <si>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</si>
  <si>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Implementación de la ruta competitiva de la industria del mueble.</t>
  </si>
  <si>
    <t>RECURSO ORDINARIO</t>
  </si>
  <si>
    <t xml:space="preserve">Maria Teresa Ramìrez Leòn
Secretaria de Turismo,Industria Y comercio </t>
  </si>
  <si>
    <t>Fortalecimiento de las rutas Kaldia, Tumbaga y Artemis.</t>
  </si>
  <si>
    <t>Conformar e implementar (3) tres clúster priorizados en el Plan de Competitividad</t>
  </si>
  <si>
    <t>Clúster conformados e implementados</t>
  </si>
  <si>
    <t>Implementación y seguimiento del Plan de Acción del Cluster de SANUQ Tics, Quindío Destino Vital, Quindío Construye Verde.</t>
  </si>
  <si>
    <t>Conformación e implementación del ecosistema clúster del Quindío en el marco de la Comisión Regional de Competitividad.</t>
  </si>
  <si>
    <t>Hacia el Emprendimiento, Empresarismo, asociatividad y generación de empleo en el Departamento del Quindío</t>
  </si>
  <si>
    <t>Apoyar a doce (12) unidades de emprendimiento para jóvenes emprendedores.</t>
  </si>
  <si>
    <t>Unidades de emprendimiento apoyadas</t>
  </si>
  <si>
    <t xml:space="preserve">0311 - 5 - 3 1 2 2 9 13 53 - 20
</t>
  </si>
  <si>
    <t>201663000-0053</t>
  </si>
  <si>
    <t>Apoyo al emprendimiento, empresarismo, asociatividad y generación de empleo en el departamento del Quindio</t>
  </si>
  <si>
    <t>Mejoramiento de los niveles de emprendimiento, empresarismo y asociatividad en el departamento del quindio</t>
  </si>
  <si>
    <t>Eficiente estimulo con recursos financieros para el emprendimiento, empresarismo y asociatividad en el departamento del quindío</t>
  </si>
  <si>
    <t>Apoyar  tres unidades de emprendimiento de jovenes emprendedores.</t>
  </si>
  <si>
    <t>Hernando Alonso Arias Garcia
Jefe de Promoción de Empleo, Competitividad e Innovación</t>
  </si>
  <si>
    <t>Ejecutar estrategias de intermediación laboral para población jovén y emprendedora.</t>
  </si>
  <si>
    <t>Apoyar   doce (12) Unidades de emprendimiento de grupos poblacionales con enfoque diferencial.</t>
  </si>
  <si>
    <t>Apoyar tres unidades de emprendimiento de población con enfoque diferencial.</t>
  </si>
  <si>
    <t>Implementar un programa de gesiton financiera para el desarrollo de emprendimiento, empresarismo y asociatividad</t>
  </si>
  <si>
    <t>Programa de gestión finaciera implementado</t>
  </si>
  <si>
    <t>Puesta en marcha y seguimiento a la operatividad del Programa de Gesiton Financiera para el Desarrollo de Emprendimiento, Empresarismo y Asociatividad.</t>
  </si>
  <si>
    <t>Quindìo sin fronteras</t>
  </si>
  <si>
    <t>Fortalecer  doce (12) empresas en procesos internos y externos para la apertura a mercados regionales, nacionales e internacionales</t>
  </si>
  <si>
    <t>Empresas fortalecidas</t>
  </si>
  <si>
    <t>0311 - 5 - 3 1 2 2 10 13 56 - 20</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</si>
  <si>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</si>
  <si>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</si>
  <si>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</si>
  <si>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</si>
  <si>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a doce empresas en actividades de apertura de mercados internos y/o externos</t>
  </si>
  <si>
    <t>31/12/202</t>
  </si>
  <si>
    <t>Constituir e implementar una agencia de inversión empresarial</t>
  </si>
  <si>
    <t>Agencia de inversión constituida e implementada</t>
  </si>
  <si>
    <t>Fortalecimiento de mecanismos de inversión y de herramientas tecnológicas de servicios logisticos en el sector empresarial para su
conexión a mercados global</t>
  </si>
  <si>
    <t>Fortalecimiento de la Agencia de Inversión Empresarial y seguimiento  a su Plan de Acción</t>
  </si>
  <si>
    <t xml:space="preserve">Fortalecimiento de la oferta de productos y atractivos turísticos </t>
  </si>
  <si>
    <t xml:space="preserve">Elaborar e implementar  un Plan de Calidad Turística del Destino </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</si>
  <si>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</si>
  <si>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</si>
  <si>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</si>
  <si>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</si>
  <si>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</si>
  <si>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</si>
  <si>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Ejecución del Plan de Calidad Turistica</t>
  </si>
  <si>
    <t>IIMPUESTO AL REGISTRO</t>
  </si>
  <si>
    <t>Monica Andrea Rodriguez Gonzalez
Jefe de Promoción y Calidad Turística</t>
  </si>
  <si>
    <t>Promoción nacional e internacional del departamento como destino turístico</t>
  </si>
  <si>
    <t>Construcción del Plan de Mercadeo Turístico</t>
  </si>
  <si>
    <t>Plan de Mercadeo construido</t>
  </si>
  <si>
    <t>0311 - 5 - 3 1 2 3 13 13 62 - 52</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</si>
  <si>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</si>
  <si>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</si>
  <si>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</si>
  <si>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</si>
  <si>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Ejecucion del Plan de Mercadeo para la  Promoción del departamento como destino turística nivel nacional.</t>
  </si>
  <si>
    <t>Maria Claudia Echeverry Bermudez
Directora de Turismo Clúster y Asociaciatividad</t>
  </si>
  <si>
    <t>Ejecucion del Plan de Mercadeo para la  Promoción del departamento como destino turística nivel internacional.</t>
  </si>
  <si>
    <t>SEGUIMIENTO PLAN DE ACCIÓN
SECRETARIA DEL INTERIOR
I  TRIMESTRE 2020</t>
  </si>
  <si>
    <t>PLAN DE DESARROLLO DEPARTAMENTAL</t>
  </si>
  <si>
    <t xml:space="preserve">META FISICA </t>
  </si>
  <si>
    <t>CÓDIGO</t>
  </si>
  <si>
    <t>FUENTE DE RECURSO</t>
  </si>
  <si>
    <t>Edad Económicamente
Activa (20-59 años)</t>
  </si>
  <si>
    <t>FECHA DE TERMINACIÓN</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</si>
  <si>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</si>
  <si>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</si>
  <si>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</si>
  <si>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</si>
  <si>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</si>
  <si>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0309 - 5 - 3 1 4 23 75 18 28 - 20 
0309 - 5 - 3 1 4 23 75 18 28 - 42</t>
  </si>
  <si>
    <t>201663000-0028</t>
  </si>
  <si>
    <t xml:space="preserve">Construcción integral de la seguridad humana en el Departamento del Quindío   </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</si>
  <si>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</si>
  <si>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</si>
  <si>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</si>
  <si>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 xml:space="preserve">Recurso Ordinario
</t>
  </si>
  <si>
    <t>FABER RIVEROS NICHOLLS
DIRECTOR DESARROLLO COMUNITARIO, SEGURIDAD, CONVIVENCIA Y PC</t>
  </si>
  <si>
    <t>EDUARDO OROZCO JARAMILLO
SECRETARIO DEL INTERIOR</t>
  </si>
  <si>
    <t>Fortalecer 10 programas de prevención y superación del Sistema de responsabilidad penal para adolescentes</t>
  </si>
  <si>
    <t>Número de programas de prevención y superación fortalecidos</t>
  </si>
  <si>
    <t>Apoyo para iniciativas,actividades y/o proyectos productivos dirigidos a población de infancia y adolescencia</t>
  </si>
  <si>
    <t>Dotar cinco (5) organismos de seguridad de del departamento con elementos tecnológicos y logísticos que faciliten su operatividad y capacidad de respuesta</t>
  </si>
  <si>
    <t>Número de organismos de seguridad y/o de régimen carcelario dotados</t>
  </si>
  <si>
    <t xml:space="preserve">Intervención en obras menores </t>
  </si>
  <si>
    <t>Fondos de seguridad 5%</t>
  </si>
  <si>
    <t>Financiación del proyecto de tecnología en seguridad</t>
  </si>
  <si>
    <t xml:space="preserve">Financiación y/o coofinaciación de proyectos de móvilidad </t>
  </si>
  <si>
    <t>Suministro de combustible</t>
  </si>
  <si>
    <t>Suministro de alimentación</t>
  </si>
  <si>
    <t>Pago a fuentes humanas</t>
  </si>
  <si>
    <t>Adquisición de bienes muebles necesarios para el funcionamiento de la diferentes iniciativas o programas de los oraganismos de seguridad del departamento</t>
  </si>
  <si>
    <t>Adquisición de bienes y suministro, para material de intendencia y logística</t>
  </si>
  <si>
    <t>Servicios de apoyo en procesos tecnológicos de seguridad en el departamento</t>
  </si>
  <si>
    <t>Servicios de apoyo en estudios financieros y ecónomicos de los diferentes procesos para los organismos de seguridad</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</si>
  <si>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</si>
  <si>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</si>
  <si>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CONVIVENCIA, JUSTICIA Y CULTURA DE PAZ</t>
  </si>
  <si>
    <t>Atencion integral de Barrios con situacion critica de convivencia en los 12 Municipios  del Departamento</t>
  </si>
  <si>
    <t>Municipios con atencion integral</t>
  </si>
  <si>
    <t>0309 - 5 - 3 1 4 23 76 18 29 - 20</t>
  </si>
  <si>
    <t>201663000-0029</t>
  </si>
  <si>
    <t xml:space="preserve">Apoyo a la convivencia, justicia y cultura de paz en el Departamento del Quindío </t>
  </si>
  <si>
    <t>Reducir la tasa de homicidios en el Quindío.</t>
  </si>
  <si>
    <t>1. Articulación en los diferentes programas de las entidades estatales en materia de convivencia. 
2.. Identificación de las necesidades reales en las comunidades focalizadas   
3.Reglamentación actualizada en materia de seguridad y orden público</t>
  </si>
  <si>
    <t xml:space="preserve">Intervenciones Psicosociales y/o de formación productiva integrales en los cinco municipios focalizados </t>
  </si>
  <si>
    <t xml:space="preserve">Recurso 
ordinario
</t>
  </si>
  <si>
    <t>Implementación de programas ludicos,culturales y/o deportivos  para población vulnerable en areas focalizadas</t>
  </si>
  <si>
    <t>Recurso 
ordinario</t>
  </si>
  <si>
    <t xml:space="preserve">Generación y/o apoyo a programas de intervención social y/o de seguridad </t>
  </si>
  <si>
    <t>Actualizar e implementar el Plan Integral de Seguridad y Convivencia Ciudadana (PISCC)</t>
  </si>
  <si>
    <t>Plan integral de seguridad y convivencia ciudadana actualizado e implementado</t>
  </si>
  <si>
    <t>0.5</t>
  </si>
  <si>
    <t>Seguimiento a la  ejecución de los objetivos del PISCC</t>
  </si>
  <si>
    <t>Formulacion de PISCC para la vigencia 2020-2023</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</si>
  <si>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</si>
  <si>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</si>
  <si>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</si>
  <si>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</si>
  <si>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0309 - 5 - 3 1 4 24 78 14 30 - 20</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</si>
  <si>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</si>
  <si>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</si>
  <si>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</si>
  <si>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</si>
  <si>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Socialización de rutas de protección a las victimas de los 12 municipios del Departamento.</t>
  </si>
  <si>
    <t>JUANA CAMILA GOMEZ ZAMORANO
DIRECTORA DE DH</t>
  </si>
  <si>
    <t>Apoyo a municipios priorizados para reparacion colectiva.</t>
  </si>
  <si>
    <t>Apoyo a la educacion  de las victimas del conflicto</t>
  </si>
  <si>
    <t>Brindar informacion y orientación a las victimas del conflicto de los 12 municipios del departamento.</t>
  </si>
  <si>
    <t>Brindar asistencia y capacitacion a las victimas de  los 12 municipios del Departamento en la ley de victimas y restitución de tierras y sus enfoques reglamentarios</t>
  </si>
  <si>
    <t xml:space="preserve">Apoyo a iniciativas que aportan a la Memoria Historica en el Departamento 
</t>
  </si>
  <si>
    <t>Realizar jornadas de prevencion a vulneraciones de DDHH y DIH a victimas en los 12 municipios del Departamento</t>
  </si>
  <si>
    <t>Apoyo a productividad de la población víctima</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</si>
  <si>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</si>
  <si>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</si>
  <si>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</si>
  <si>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</si>
  <si>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</si>
  <si>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</si>
  <si>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</si>
  <si>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 xml:space="preserve">Garantias para Sesiones comité ejecutivo y ética mesa de victimas </t>
  </si>
  <si>
    <t>Garantias para Sesiones plenario mesa departamental de  victimas</t>
  </si>
  <si>
    <t xml:space="preserve">Apoyo al Plan de Trabajo de la mesa Departamental de Victimas </t>
  </si>
  <si>
    <t>Garantias para representates de la mesa departamental de victimas para asistir a las Sesiones del  Comité Departamental de Justicia Transicional y sus respectivos subcomites</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</si>
  <si>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</si>
  <si>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</si>
  <si>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</si>
  <si>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Diligenciamiento de  RUSICST y Tablero PAT Departamental</t>
  </si>
  <si>
    <t xml:space="preserve">Brindar asistencia a los 12 municipios del Departamento para las aprobaciones y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</si>
  <si>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</si>
  <si>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</si>
  <si>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</si>
  <si>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Implementación del Plan Operativo de Sistemas de Información POSI</t>
  </si>
  <si>
    <t>Apoyo a procesos de caracterización de los municipios, cuando sea requerido por èstos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</si>
  <si>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</si>
  <si>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</si>
  <si>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</si>
  <si>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 0309 - 5 - 3 1 4 24 79 14 32 - 20</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</si>
  <si>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</si>
  <si>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</si>
  <si>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</si>
  <si>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</si>
  <si>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</si>
  <si>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 xml:space="preserve">20
</t>
  </si>
  <si>
    <t>Realizar jornadas de socialización en rutas de protección en los 12 municipios del Departamento</t>
  </si>
  <si>
    <t>V Foro de Derechos Humanos</t>
  </si>
  <si>
    <t>foros, actos culturales, actos simbolicos y espacios que promuevan la paz</t>
  </si>
  <si>
    <t>Realizar jornadas de  la  prevencion y sensibilizacion de los Derechos Humanos en los 12 municipios del Departamento</t>
  </si>
  <si>
    <t xml:space="preserve">Papeleria </t>
  </si>
  <si>
    <t xml:space="preserve">Actualizar e Implementar el plan lucha contra la trata de personas
</t>
  </si>
  <si>
    <t>Programa de atención integral a victimas de trata de personas actualizado e  implementado</t>
  </si>
  <si>
    <t xml:space="preserve">Jornadas de prevención del delito de trata de personas  en los 12 municipios del Departamento </t>
  </si>
  <si>
    <t>Ayuda Humanitaria para victimas de trata de personas</t>
  </si>
  <si>
    <t>PREPARADOS PARA LA PAZ</t>
  </si>
  <si>
    <t>EL QUINDIO DEPARTAMENTO RESILIENTE</t>
  </si>
  <si>
    <t>QUINDIO PROTEGIENDO EL FUTURO</t>
  </si>
  <si>
    <t xml:space="preserve">Realizar catorce (14) estudios de riesgo y análisis de vulnerabilidad en  los municipios del departamento </t>
  </si>
  <si>
    <t>Número de estudios de riesgo analizados</t>
  </si>
  <si>
    <t>0309 - 5 - 3 1 4 25 81 12 36 - 20</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</si>
  <si>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</si>
  <si>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</si>
  <si>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</si>
  <si>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</si>
  <si>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</si>
  <si>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MARIA CAMILA DIEZ MARTINEZ
DIRECTORA UDEGERD</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</si>
  <si>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</si>
  <si>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</si>
  <si>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 de desastres</t>
  </si>
  <si>
    <t>Fortalecimiento instituciones de socorro</t>
  </si>
  <si>
    <t xml:space="preserve">Adquisición tecnología (cámara térmica, Dron)
</t>
  </si>
  <si>
    <t>Material didáctico</t>
  </si>
  <si>
    <t>Organización de foros, talleres, eventos, y/o actividades</t>
  </si>
  <si>
    <t xml:space="preserve">Realizar 10 intervenciones en  áreas vulnerables del departamento </t>
  </si>
  <si>
    <t>Número de intervenciones en áreas vulnerables realizadas</t>
  </si>
  <si>
    <t>1.98</t>
  </si>
  <si>
    <t>Intervenciones, obras de ingeniería y/o análisis vulnerabilidad</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</si>
  <si>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</si>
  <si>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</si>
  <si>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</si>
  <si>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</si>
  <si>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Actualización y desarrollo de  tecnologías en gestión del riesgo de desastres</t>
  </si>
  <si>
    <t>Formacion y capacitacion en Gestión del Riesgo de Desastres</t>
  </si>
  <si>
    <t>Apoyo a los Consejos Municipales de Gestión del Riesgo</t>
  </si>
  <si>
    <t xml:space="preserve">Fortalecimiento  a las instituciones del Consejo Departamental de Gestión del Riesgo de Desastres
</t>
  </si>
  <si>
    <t>FORTALECIMIENTO INSTITUCIONAL PARA LA GESTIÓN DEL RIESGO DE DESASTRES COMO UNA ESTRATEGIA DE DESARROLLO</t>
  </si>
  <si>
    <t>Fortalecer  la dotación de la bodega estratégica de la Unidad Departamental de la Gestión del Riesgo de Desastres UDEGER</t>
  </si>
  <si>
    <t>Unidad Departamental de la Gestión del Riesgo de Desastre UDEGER dotada</t>
  </si>
  <si>
    <t>0309 - 5 - 3 1 4 25 82 12 38 - 20</t>
  </si>
  <si>
    <t>201663000-0038</t>
  </si>
  <si>
    <t>Apoyo institucional en la gestión del riesgo  en el Departamento del Quindio</t>
  </si>
  <si>
    <t>Lograr que las ciudadaes y los asentamientos humanos sean inclusivos, resilientes y sostenibles (ODS-objetivo 11</t>
  </si>
  <si>
    <t xml:space="preserve">. Cumplimiento de los protocolos para la preparación y manejo de la emergencia.
2. Destinación de recursos en el ambito local para la atención de las emergencias.
</t>
  </si>
  <si>
    <t xml:space="preserve">Apoyo para la entrega de ayuda humanitaria </t>
  </si>
  <si>
    <t>Suministro de Ayuda  Humanitaria</t>
  </si>
  <si>
    <t>PODER CIUDADANO</t>
  </si>
  <si>
    <t>QUINDIO SI A LA PARTICIPACIÓN</t>
  </si>
  <si>
    <t>Desarrollar estrategias tendientes a promover la participación ciudadana en el departamento</t>
  </si>
  <si>
    <t>Estrategias de participación desarrolladas</t>
  </si>
  <si>
    <t>0309 - 5 - 3 1 5 27 85 16 39 - 20</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</si>
  <si>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</si>
  <si>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</si>
  <si>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</si>
  <si>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</si>
  <si>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</si>
  <si>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</si>
  <si>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</si>
  <si>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</si>
  <si>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</si>
  <si>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</si>
  <si>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</si>
  <si>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</si>
  <si>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</si>
  <si>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</si>
  <si>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</si>
  <si>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</si>
  <si>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 xml:space="preserve">Servicios de Apoyo para eventos de formación, capacitación, formulación y/o implementación de políticas publicas 
</t>
  </si>
  <si>
    <t>Prestación de servicio de transporte</t>
  </si>
  <si>
    <t xml:space="preserve">Logística y/o refrigerios </t>
  </si>
  <si>
    <t>Diseñar e implementar la Escuela de Liderazgo democrático</t>
  </si>
  <si>
    <t>Escuela de liderazgo diseñada e implementada</t>
  </si>
  <si>
    <t xml:space="preserve">Fase II escuela de liderazgo </t>
  </si>
  <si>
    <t>Logistica, transporte, regrigerios e impresos</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</si>
  <si>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</si>
  <si>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</si>
  <si>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</si>
  <si>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Desarrollar las actividades propias  de la implementación de la Política Pública de Libertad Religiosa, cultos y conciencia.</t>
  </si>
  <si>
    <t>Materíal pedagógico y/o promocional relacionado</t>
  </si>
  <si>
    <t xml:space="preserve">Logística, transporte y/o alimentación </t>
  </si>
  <si>
    <t>Adquisición de Equipos tecnológicos</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</si>
  <si>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</si>
  <si>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</si>
  <si>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</si>
  <si>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</si>
  <si>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</si>
  <si>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</si>
  <si>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</si>
  <si>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</si>
  <si>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</si>
  <si>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</si>
  <si>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Apoyo a eventos de carácter municipal, departamental   nacional</t>
  </si>
  <si>
    <t xml:space="preserve">Logística y/o Alimentación </t>
  </si>
  <si>
    <t xml:space="preserve">Material pedagogíco y/o .promocional </t>
  </si>
  <si>
    <t>Recurso Ordianrio</t>
  </si>
  <si>
    <t>Herramientas tecnológicas para el manejo de información de la organización comunal.</t>
  </si>
  <si>
    <t>Apoyo para la promoción,  fortalecimiento y desarrollo de proyectos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</si>
  <si>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</si>
  <si>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</si>
  <si>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</si>
  <si>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</si>
  <si>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</si>
  <si>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</si>
  <si>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</si>
  <si>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</si>
  <si>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</si>
  <si>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</si>
  <si>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</si>
  <si>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</si>
  <si>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</si>
  <si>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EDUARDO OROZCO JARAMILLO</t>
  </si>
  <si>
    <t>SECRETARIO DEL INTERIOR</t>
  </si>
  <si>
    <t>Proyectó y elaboró: Doris Castaño Agudelo, Contrista</t>
  </si>
  <si>
    <t>SEGUIMIENTO PLAN DE ACCIÓN
SECRETARIA DE CULTURA
I TRIMESTRE 2020</t>
  </si>
  <si>
    <t xml:space="preserve">HOMBRE </t>
  </si>
  <si>
    <t>Edad Económicamente Activa
(20-59 años)</t>
  </si>
  <si>
    <t>Mestiza</t>
  </si>
  <si>
    <t>Victimas</t>
  </si>
  <si>
    <t>E(COMPROMISOS)</t>
  </si>
  <si>
    <t>E(OBLIGACIONES)</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</si>
  <si>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</si>
  <si>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</si>
  <si>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</si>
  <si>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</si>
  <si>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
0310 - 5 - 3 1 3 9 29 5 45 - 33    </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</si>
  <si>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</si>
  <si>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</si>
  <si>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</si>
  <si>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</si>
  <si>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t>
  </si>
  <si>
    <t xml:space="preserve">
</t>
  </si>
  <si>
    <t xml:space="preserve">Secretaria de Cultura, Jorge Ivan Espinosa Hidalgo </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</si>
  <si>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</si>
  <si>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</si>
  <si>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</si>
  <si>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 xml:space="preserve">0310 - 5 - 3 1 3 9 29 5 46 - 20
</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</si>
  <si>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</si>
  <si>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</si>
  <si>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ciudadania al arte y la cultura </t>
  </si>
  <si>
    <t>Escuelas de formación</t>
  </si>
  <si>
    <t>20, 39,  41</t>
  </si>
  <si>
    <t xml:space="preserve">Secretario de Cultura
Directora de Cultura Arte y Patrimonio
</t>
  </si>
  <si>
    <t xml:space="preserve"> Difusión y Circulación Artística</t>
  </si>
  <si>
    <t>Apoyo técnico y logístico</t>
  </si>
  <si>
    <t>Apoyar  ciento veinte (120) proyectos del programa de concertación cultural del departamento</t>
  </si>
  <si>
    <t>Nro de proyectos o actividades programadas  /  Proyectos o actividades ejecutados</t>
  </si>
  <si>
    <t xml:space="preserve">0310 - 5 - 3 1 3 9 29 5 46 - 39
</t>
  </si>
  <si>
    <t>Alta concertación de proyectos con la institucionalidad cultural</t>
  </si>
  <si>
    <t>Convocatoria y apoyo logístico</t>
  </si>
  <si>
    <t>Estampilla Procultura 50% Concertación</t>
  </si>
  <si>
    <t xml:space="preserve">Evaluación y Seguimiento </t>
  </si>
  <si>
    <t>Cofinanciación de proyectos</t>
  </si>
  <si>
    <t>Apoyar treinta y seis (36) proyectos mediante estímulos artísticos y culturales</t>
  </si>
  <si>
    <t>0310 - 5 - 3 1 3 9 29 5 46 - 41</t>
  </si>
  <si>
    <t>Mayor apoyo a la creación investigación y producción artistica</t>
  </si>
  <si>
    <t xml:space="preserve">Estampilla Procultura 10% EStímulos
</t>
  </si>
  <si>
    <t xml:space="preserve"> Evaluación y Seguimiento </t>
  </si>
  <si>
    <t xml:space="preserve">Emprendimiento Cultural </t>
  </si>
  <si>
    <t>Fortalecer cinco (5) procesos de emprendimiento cultural y de desarrollo de industrias creativas</t>
  </si>
  <si>
    <t>0310 - 5 - 3 1 3 9 30 5 47 - 20</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</si>
  <si>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</si>
  <si>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</si>
  <si>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</si>
  <si>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</si>
  <si>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</si>
  <si>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</si>
  <si>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</si>
  <si>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 xml:space="preserve">0310 - 5 - 3 1 3 9 31 5 48 - 34 
                                 </t>
  </si>
  <si>
    <t xml:space="preserve"> 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</si>
  <si>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</si>
  <si>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</si>
  <si>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 xml:space="preserve"> Realización de procesos formativos para promotores de lectura y escritura</t>
  </si>
  <si>
    <t>Estampilla Procultura</t>
  </si>
  <si>
    <t>Encuentros para el intercambio, formación y retroalimentación de la Red de Bibliotecas</t>
  </si>
  <si>
    <t>Dotación y adecuación bibliotecaria</t>
  </si>
  <si>
    <t xml:space="preserve">Coordinación de actividades para el fortalecimiento de la Red </t>
  </si>
  <si>
    <t xml:space="preserve">Ampliación de espacios y acciones para la difusión de la lectura y escritura </t>
  </si>
  <si>
    <t>Apoyo al proyecto editorial Biblioteca de Autores Quindianos</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</si>
  <si>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</si>
  <si>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</si>
  <si>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</si>
  <si>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</si>
  <si>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49 - 47</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</si>
  <si>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</si>
  <si>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</si>
  <si>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</si>
  <si>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</si>
  <si>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</si>
  <si>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 xml:space="preserve">47                                             20                                              </t>
  </si>
  <si>
    <t xml:space="preserve">
Jefe de Patrimonio y Artes</t>
  </si>
  <si>
    <t>Recurso Ordinaro</t>
  </si>
  <si>
    <t>Investigaciones</t>
  </si>
  <si>
    <t>Apoyo a procesos, evaluación y seguimiento</t>
  </si>
  <si>
    <t>Mayor reconocimiento y valoración de la diversidad poblacional presente en el Quindío</t>
  </si>
  <si>
    <t>Apoyo a  proyectos y/o actividades de poblaciones especiales</t>
  </si>
  <si>
    <t xml:space="preserve">Apoyar diez (10) proyectos y/o actividades orientados a fortalecer la articulación comunicación y cultura </t>
  </si>
  <si>
    <t xml:space="preserve">0310 - 5 - 3 1 3 10 33 5 50 - 20
</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</si>
  <si>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</si>
  <si>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</si>
  <si>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</si>
  <si>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</si>
  <si>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Implementación de una emisora de interés público del departamento del Quindío</t>
  </si>
  <si>
    <t xml:space="preserve">Recurso Ordinario </t>
  </si>
  <si>
    <t>Apoyar  dieciséis (16) actividades y/o proyectos  para el afianzamiento del Sistema Departamental de Cultura</t>
  </si>
  <si>
    <t>Participación y  apoyo por parte de la Gobernación del Quindío a medios ciudadanos, comunitarios y de interés público</t>
  </si>
  <si>
    <t xml:space="preserve"> Formación para la gestión cultural</t>
  </si>
  <si>
    <t>Fortalecimiento del Sistema de Información Cultural</t>
  </si>
  <si>
    <t>Apoyo a Consejos de las artes y la cultura</t>
  </si>
  <si>
    <t xml:space="preserve">JORGE IVAN ESPINOZA HIDALGO </t>
  </si>
  <si>
    <t>Secretario de Cultura</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</si>
  <si>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</si>
  <si>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</si>
  <si>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</si>
  <si>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</si>
  <si>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</si>
  <si>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</si>
  <si>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</si>
  <si>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</si>
  <si>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</si>
  <si>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</si>
  <si>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N/A</t>
  </si>
  <si>
    <t>JULIO CESAR CORTES PULIDO Secretario de Agricultura, Desarrollo Rural y Medio Ambiente</t>
  </si>
  <si>
    <t>Diseñay ejecutar una poiica Departamental de uso racional de resiudos solidos y uso eficiente de energia</t>
  </si>
  <si>
    <t>Política departamental diseñada y ejecutada</t>
  </si>
  <si>
    <t xml:space="preserve">Realizar inversiones en eficiencia energetica y y energías renovables como estrategia de educación e implementación de las politicas de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</si>
  <si>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</si>
  <si>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</si>
  <si>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</si>
  <si>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</si>
  <si>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</si>
  <si>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</si>
  <si>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</si>
  <si>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</si>
  <si>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</si>
  <si>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</si>
  <si>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</si>
  <si>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Consolidar el Fondo del Agua del departamento del Quindío  </t>
  </si>
  <si>
    <t>MIGUEL ANGEL                MEJIA DIAZ                       Director Desrrollo Rural Sostenible</t>
  </si>
  <si>
    <t>Bienes y servicios ambientales para las nuevas generaciones</t>
  </si>
  <si>
    <t>Conservar Y Restaurar Seis (6) Áreas De Importancia Estratégica Para El Recurso Hídrico Del Departamento</t>
  </si>
  <si>
    <t>Áreas conservadas y restauradas</t>
  </si>
  <si>
    <t>0312 - 5 - 3 1 1 1 3 10 68 - 20</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</si>
  <si>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</si>
  <si>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</si>
  <si>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</si>
  <si>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</si>
  <si>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MIGUEL ANGEL                MEJIA DIAZ                      Director Desarrollo Rural Sostenible</t>
  </si>
  <si>
    <t>Adquirir Doscientos Setenta (270) Ha Para Áreas De Conservación En Predios De Importancia Estratégica Para El Recurso Hídrico Del Departamento Del Quindío</t>
  </si>
  <si>
    <t>Áreas De Conservación En Predios De Importancia Estratégica Adquiridas</t>
  </si>
  <si>
    <t>Adquirir doscientos setenta (270) ha para áreas de conservación en predios de importancia estratégica para el recurso hídrico del departamento del Quindío</t>
  </si>
  <si>
    <t>Restaurar Con Obras De Bioingeniería Veinte (20) Ha En Áreas O Zonas Críticas De Riesgo.</t>
  </si>
  <si>
    <t xml:space="preserve">Número de hectáreas restauradas </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</si>
  <si>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</si>
  <si>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</si>
  <si>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</si>
  <si>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</si>
  <si>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</si>
  <si>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 xml:space="preserve">Poner en marcha obras de bioingenieria </t>
  </si>
  <si>
    <t>MIGUEL ANGEL               MEJIA DIAZ                       Director Desarrollo Rural Sostenible</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</si>
  <si>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</si>
  <si>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</si>
  <si>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</si>
  <si>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</si>
  <si>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</si>
  <si>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</si>
  <si>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</si>
  <si>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</si>
  <si>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</si>
  <si>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</si>
  <si>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</si>
  <si>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 xml:space="preserve">Capacitar a caficultores  en buenas prácticas agrícolas sostenible y aseguramiento de la calidad de café </t>
  </si>
  <si>
    <t xml:space="preserve">Capacitar a caficultores en catación, tostión y barismo </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</si>
  <si>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</si>
  <si>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</si>
  <si>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</si>
  <si>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</si>
  <si>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</si>
  <si>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</si>
  <si>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</si>
  <si>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</si>
  <si>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</si>
  <si>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</si>
  <si>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</si>
  <si>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</si>
  <si>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</si>
  <si>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</si>
  <si>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</si>
  <si>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</si>
  <si>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</si>
  <si>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</si>
  <si>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JULIO CESAR CORTES PULIDO  Secretario de Agricultura, Desarrollo Rural y Medio Ambiente</t>
  </si>
  <si>
    <t>Crear Un Núcleo De Asistencia Pecuaria</t>
  </si>
  <si>
    <t>Crear  seis (6) centros logísticos  para la transformación agroindustrial - CARPAZ</t>
  </si>
  <si>
    <t>Centros logísticos creados</t>
  </si>
  <si>
    <t>Articular la demanda existente y la oferta efectiva</t>
  </si>
  <si>
    <t>Crear Centros Logísticos Agroindustriales</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</si>
  <si>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</si>
  <si>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</si>
  <si>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</si>
  <si>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</si>
  <si>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</si>
  <si>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</si>
  <si>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</si>
  <si>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</si>
  <si>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</si>
  <si>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</si>
  <si>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</si>
  <si>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</si>
  <si>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JULIO CESAR CORTES PULIDO   Secretario de Agricultura, Desarrollo Rural y Medio Ambiente</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</si>
  <si>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</si>
  <si>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</si>
  <si>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</si>
  <si>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</si>
  <si>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</si>
  <si>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</si>
  <si>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</si>
  <si>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</si>
  <si>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</si>
  <si>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</si>
  <si>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JUAN CAMILO         TABARES ALZATE            Director            Emprendimiento Rural</t>
  </si>
  <si>
    <t>Impulso a la competitividad productiva y empresarial del sector Rural</t>
  </si>
  <si>
    <t>Apoyar a 5 Sectores Productivos Del Departamento En Ruedas De Negocio</t>
  </si>
  <si>
    <t>Sectores productivos apoyados</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</si>
  <si>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</si>
  <si>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</si>
  <si>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</si>
  <si>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</si>
  <si>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</si>
  <si>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</si>
  <si>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JUAN CAMILO                 TABARES ALZATE          Director Emprendimiento Rural</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</si>
  <si>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</si>
  <si>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</si>
  <si>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</si>
  <si>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</si>
  <si>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Soberanía, seguridad alimentaria y nutricional</t>
  </si>
  <si>
    <t>Fomento a la Agricultura Familiar Campesina, agricultura urbana y mercados campesinos para la soberanía y  Seguridad alimentaria</t>
  </si>
  <si>
    <t>Apoyar La Conformación De Cuatro Alianzas Para Contratos De Compra Anticipada De Productos De La Agricultura Familiar En El Departamento Del Quindío</t>
  </si>
  <si>
    <t>Numero de alianzas para contratos de compra anticipada apoyados</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</si>
  <si>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</si>
  <si>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</si>
  <si>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</si>
  <si>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</si>
  <si>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</si>
  <si>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</si>
  <si>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LUIS ALBERTO GOMEZ ROJAS                                Director Desarrollo Agropecuario</t>
  </si>
  <si>
    <t>Sembrar Quinientas (500) Ha De Productos De La Canasta Básica Familiar Para Aumentar La Disponibilidad De Alimentos</t>
  </si>
  <si>
    <t>Número de hectáreas sembradas</t>
  </si>
  <si>
    <t>Sembrar 150 Ha De Productos De La Canasta Básica Familiar</t>
  </si>
  <si>
    <t>QUINDIO EJEMPLAR Y LEGAL</t>
  </si>
  <si>
    <t xml:space="preserve">Realizar 40 eventos  de sensibilización en transparencia , participación, buen gobierno y valores éticos y morales  </t>
  </si>
  <si>
    <t>No de Eventos  de sensibilización   realizados</t>
  </si>
  <si>
    <t>0313 - 5 - 3 1 5 26 83 17 82 - 20</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</si>
  <si>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</si>
  <si>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</si>
  <si>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</si>
  <si>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Ciudadanos altamente  informados   en temas relacionados con ética, transparencia y buen gobierno</t>
  </si>
  <si>
    <t xml:space="preserve">Desarrollo de la estrategia de transparencia </t>
  </si>
  <si>
    <t>Juan Miguel Galvis Bedoya - Director Oficina Privada y Diana Marcela Martínez Correa - Directora de Protocolo</t>
  </si>
  <si>
    <t>Director Oficina Privada</t>
  </si>
  <si>
    <t>Mejorar la cultura del civismo y participación de los ciudadanos  en los  procesos institucionales del gobierno.</t>
  </si>
  <si>
    <t>Desarrollo de actividades de buen gobierno y participación ciudadana.</t>
  </si>
  <si>
    <t>GESTION TERRITORIAL</t>
  </si>
  <si>
    <t xml:space="preserve">MODERNIZACIÓN TECNOLOGICA Y ADMINISTRATIVA </t>
  </si>
  <si>
    <t xml:space="preserve">Desarrollar e implementar una (1) estrategía de comunicaciones  </t>
  </si>
  <si>
    <t>Estrategía de comunicaciones desarrollada e implementada</t>
  </si>
  <si>
    <t>0313 - 5 - 3 1 5 28 89 17 81 - 20</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</si>
  <si>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</si>
  <si>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</si>
  <si>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</si>
  <si>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</si>
  <si>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(radio, prensa, revistas, televisión, portales web, redes sociales, OOH)</t>
  </si>
  <si>
    <t xml:space="preserve">Brian Arango Trujillo - Director de Comunicaciones </t>
  </si>
  <si>
    <t>Revisión y Desarrollo de la estrategia de comunicaciones</t>
  </si>
  <si>
    <t>Planificación institucional en la divulgación de los programas y proyectos</t>
  </si>
  <si>
    <t xml:space="preserve">Operatividad de la estrategica de comunicaciones </t>
  </si>
  <si>
    <t>Apoyo al deporte asociado</t>
  </si>
  <si>
    <t xml:space="preserve"> Ligas deportivas del departamento del Quindío</t>
  </si>
  <si>
    <t xml:space="preserve">Apoyar  y fortalecer veintitrés (23) ligas deportivas.   </t>
  </si>
  <si>
    <t>Ligas deportivas apoyadas y fortalecidas.</t>
  </si>
  <si>
    <t>2234468202-3</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</si>
  <si>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</si>
  <si>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</si>
  <si>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</si>
  <si>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</si>
  <si>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 xml:space="preserve">Apoyo a las ligas en los eventos deportivos de carácter federal </t>
  </si>
  <si>
    <t>IPOCONSUMO</t>
  </si>
  <si>
    <t>RUBENDARIO BELTRAN</t>
  </si>
  <si>
    <t>GERENTE GENERAL INDEPORTES</t>
  </si>
  <si>
    <t>2234468202-12</t>
  </si>
  <si>
    <t>MONOPOLIO</t>
  </si>
  <si>
    <t>2234468202_4</t>
  </si>
  <si>
    <t xml:space="preserve">Realizar acompañamiento y asesorìa a las ligas y clubes del departamento </t>
  </si>
  <si>
    <t>ICLD</t>
  </si>
  <si>
    <t>Apoyar  a veinte  (20) deportistas en nivel de talento, de proyección y de altos logros con el programa de incentivos económicos a deportistas.</t>
  </si>
  <si>
    <t>Número de deportistas incentivados.</t>
  </si>
  <si>
    <t>2234468203_4</t>
  </si>
  <si>
    <t xml:space="preserve">Apoyo a deportistas de alto logros y reserva deportiva </t>
  </si>
  <si>
    <t xml:space="preserve"> Apoyo a eventos deportivos</t>
  </si>
  <si>
    <t>Apoyar 13 ligas de los eventos deportivos de carácter federado nacional y departamental</t>
  </si>
  <si>
    <t>Ligas apoyadas en eventos departamental y nacionales.</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</si>
  <si>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</si>
  <si>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</si>
  <si>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</si>
  <si>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</si>
  <si>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</si>
  <si>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</si>
  <si>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</si>
  <si>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</si>
  <si>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</si>
  <si>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</si>
  <si>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</si>
  <si>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t>
  </si>
  <si>
    <t>GLORIA INES HERRERA FRANCO</t>
  </si>
  <si>
    <t>2234470205-4</t>
  </si>
  <si>
    <t>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</si>
  <si>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</si>
  <si>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</si>
  <si>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</si>
  <si>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</si>
  <si>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</si>
  <si>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</si>
  <si>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</si>
  <si>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</si>
  <si>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Brindad asesoria a los doce municipios del departamente</t>
  </si>
  <si>
    <t>Desarrollar  1 eventos de deporte social y comunitario.</t>
  </si>
  <si>
    <t>Eventos deportivos social y comunitarios desarrollar.</t>
  </si>
  <si>
    <t>2234471207_3</t>
  </si>
  <si>
    <t>Realizacion de eventos deportivos en el departamento</t>
  </si>
  <si>
    <t>2234471207_12</t>
  </si>
  <si>
    <t>Apoyar  técnicamente un 1  evento de  Juegos Comunales en la fase Departamental</t>
  </si>
  <si>
    <t>Juegos comunales apoyados.</t>
  </si>
  <si>
    <t>2234471208_4</t>
  </si>
  <si>
    <t>Realizacion de los juegos comunales en el departamento</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</si>
  <si>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</si>
  <si>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</si>
  <si>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</si>
  <si>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</si>
  <si>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</si>
  <si>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</si>
  <si>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</si>
  <si>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</si>
  <si>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</si>
  <si>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</si>
  <si>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t>
  </si>
  <si>
    <t>MANUEL ANTONIO RODRIGUEZ QUINTERO</t>
  </si>
  <si>
    <t>Apoyar de forma articulada el programa nuevo comienzo "Otro Motivo para Vivir" (1).</t>
  </si>
  <si>
    <t>Programa nuevo comienzo "Otro Motivo para Vivir" articulado y desarrollado.</t>
  </si>
  <si>
    <t>2234572210_4</t>
  </si>
  <si>
    <t xml:space="preserve">Apoyo logistico y tecnico al adulto mayor </t>
  </si>
  <si>
    <t>2234572210_3</t>
  </si>
  <si>
    <t>Crear y desarrollar una estrategia para articular la actividad recreativa social comunitaria desde la primera infancia hasta las personas mayores.</t>
  </si>
  <si>
    <t>Estrategia creada y desarrollada.</t>
  </si>
  <si>
    <t>2234572211_3</t>
  </si>
  <si>
    <t xml:space="preserve">Apoyo logistico tecnico </t>
  </si>
  <si>
    <t>2234572211_12</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</si>
  <si>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</si>
  <si>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</si>
  <si>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</si>
  <si>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201663000-0165</t>
  </si>
  <si>
    <t>Apoyo a la actividad fisica, salud y productiva en el Departamento del Quindio.</t>
  </si>
  <si>
    <t>}</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</si>
  <si>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</si>
  <si>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</si>
  <si>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</si>
  <si>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2234573212_3</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</si>
  <si>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</si>
  <si>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</si>
  <si>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</si>
  <si>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</si>
  <si>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</si>
  <si>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</si>
  <si>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</si>
  <si>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</si>
  <si>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 xml:space="preserve">GERENTE GENERAL INDEPORTES
</t>
  </si>
  <si>
    <t xml:space="preserve">FERNANDO AUGUSTO PANESO ZULUAGA
GERENTE GENERAL INDEPORTES
</t>
  </si>
  <si>
    <t xml:space="preserve">Reviso: Mauricio Rayo Ocampo
</t>
  </si>
  <si>
    <t xml:space="preserve">Proyecto: Carlos E. Tufino </t>
  </si>
  <si>
    <t xml:space="preserve"> INCLUSION SOCIAL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</si>
  <si>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</si>
  <si>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</si>
  <si>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Estrategia implementada</t>
  </si>
  <si>
    <t>1803 - 5 - 3 1 3 11 35 2 132 - 61</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</si>
  <si>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</si>
  <si>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</si>
  <si>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</si>
  <si>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</si>
  <si>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 Salud Pública-</t>
  </si>
  <si>
    <t>Bernardo Alberto Gomez Correa</t>
  </si>
  <si>
    <t xml:space="preserve">Yenny Alexandra Trujillo Alzate </t>
  </si>
  <si>
    <t>Divulgación de las políticas, normas y procedimientos, brindando la asesoría pertinente para promover el cumplimiento de la reglamentación con miras a la protección de la salud, en  programas institucionales.</t>
  </si>
  <si>
    <t>Actualizar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</si>
  <si>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</si>
  <si>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</si>
  <si>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</si>
  <si>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</si>
  <si>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</si>
  <si>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Plan decenal ejecutado</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</si>
  <si>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</si>
  <si>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</si>
  <si>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</si>
  <si>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</si>
  <si>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</si>
  <si>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</si>
  <si>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</si>
  <si>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Número de poblaciones vulnerables atendidas (etnias)</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</si>
  <si>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</si>
  <si>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</si>
  <si>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</si>
  <si>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</si>
  <si>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</si>
  <si>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</si>
  <si>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</si>
  <si>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</si>
  <si>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</si>
  <si>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</si>
  <si>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</si>
  <si>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Política integral de salud ambiental formulada, aprobada y divulgada.</t>
  </si>
  <si>
    <t>1803 - 5 - 3 1 3 12 36 2 133 - 61</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</si>
  <si>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</si>
  <si>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</si>
  <si>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</si>
  <si>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entornos de viviendas, educativos y comunitarios con el abordaje integral de las políticas, normas y procedimientos relacionados con la prevencion vigilancia y control de factores de riesgo de la salud</t>
  </si>
  <si>
    <t>ernardo Alberto Gomez Correa</t>
  </si>
  <si>
    <t xml:space="preserve">Generar los mapas de riesgo y vigilancia de la calidad de agua para consumo humano en  los doce (12) municipios del departamento </t>
  </si>
  <si>
    <t>Número de municipios con mapas de riesgo generados</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</si>
  <si>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</si>
  <si>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</si>
  <si>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</si>
  <si>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</si>
  <si>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</si>
  <si>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</si>
  <si>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 xml:space="preserve">Número de municipios con el sistema de vigilancia en salud pública de la violencia intrafamiliar operando </t>
  </si>
  <si>
    <t>1803 - 5 - 3 1 3 12 37 2 134 - 61</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</si>
  <si>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</si>
  <si>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</si>
  <si>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</si>
  <si>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</si>
  <si>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</si>
  <si>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</si>
  <si>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</si>
  <si>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articuladas intersectorialmente en los doce (12) municipios del departamento, con enfoque de derechos en colectivos LGTBI, jóvenes, mujeres gestantes adolescentes.</t>
  </si>
  <si>
    <t>Número de municipios con acciones desarrolladas</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</si>
  <si>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</si>
  <si>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</si>
  <si>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</si>
  <si>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</si>
  <si>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</si>
  <si>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</si>
  <si>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Número de mujeres gestantes vinculadas</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</si>
  <si>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</si>
  <si>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</si>
  <si>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</si>
  <si>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</si>
  <si>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</si>
  <si>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</si>
  <si>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</si>
  <si>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</si>
  <si>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</si>
  <si>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</si>
  <si>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</si>
  <si>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</si>
  <si>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</si>
  <si>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</si>
  <si>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</si>
  <si>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</si>
  <si>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</si>
  <si>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</si>
  <si>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</si>
  <si>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</si>
  <si>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</si>
  <si>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1803 - 5 - 3 1 3 12 38 2 135 - 61</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</si>
  <si>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</si>
  <si>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</si>
  <si>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</si>
  <si>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Realizar ajuste y adaptaciòn de la Politica de Salud Mental, adoptada a travès de la resoluciòn 1598 del 27 de diciembre del 2018, para el Departamento del Quindìo</t>
  </si>
  <si>
    <t>acompañar las asesorias y asistencias tecnicas a los Planes locales de salud para la adopciòn e implementaciòn de la Politica de Salud Mental</t>
  </si>
  <si>
    <t>Elaboraciòn del Plan de acciòn de la Politica de Salud Mental</t>
  </si>
  <si>
    <t>Operativizar el Consejo Territorial de Salud Mental, definir plan de acciòn y seguimiento</t>
  </si>
  <si>
    <t>Acompañamiento en la implementaciòn de las Rutas de atenciòn integral de competencia de la dimensiòn de salud mental y convivencia social con las instituciones del SGSSS</t>
  </si>
  <si>
    <t>Adoptar e implementar el modelo de Atención primaria en Salud Mental (APS) en todos los municipios Quindiano</t>
  </si>
  <si>
    <t>Número de municipios con el Modelo de APS en salud mental adoptado e implementado</t>
  </si>
  <si>
    <t>Establecer lineamientos de planificación en la Atención primaria en Salud Mental (APS) en todos los municipios Quindiano</t>
  </si>
  <si>
    <t>Formación y capacitación al personal de las IPS, EPS, Planes locales de Salud y entidades que desarrollan acciones encaminadas a la atención primaria en salud mental con énfasis en MH - GAP.</t>
  </si>
  <si>
    <t>Realizar monitoreo y seguimiento a los casos notificados en el SIVIGILA en los eventos de interés  en salud pública y de competencia directa de la Dimensión de convivencia social y salud mental.</t>
  </si>
  <si>
    <t>Seguimiento a la gestiòn del riesgo en los casos notificados por el SIVIGILA a las entidades con competencia en la dimensiòn de convivencia social y salud mental (EAPBS - Planes Locales Salud - Comisarias de Familia - ICBF)</t>
  </si>
  <si>
    <t>Brindar asesoría, asistencia técnica y realizar acciones de vigilancia y monitoreo  a los entes municipales en la línea  de convivencia social y salud mental (violencia, conducta suicida, entre otros)</t>
  </si>
  <si>
    <t>Realizaciòn del III Seminario Departamental de Investigaciòn, Prevenciòn y Atenciòn de la Conducta Suicida y  IV Seminario Regional de Salud Mental</t>
  </si>
  <si>
    <t>Apoyar el desarrollo de formaciones o capacitaciones a las instituciones que asi lo requieran de competencia directa de la dimensiòn de Convivencia Social y Salud Mental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</si>
  <si>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</si>
  <si>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</si>
  <si>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Articular las políticas públicas de reducción de la oferta y reducción de la demanda de sustancias psicoactivas licitas e ilícitas.</t>
  </si>
  <si>
    <t>Realizar mesas para la operativización y seguimiento del Plan de Accion del Comité Departamental de Drogas con enfasis en Reducción del Consumo de Sustancias Psicoactivas - ordenanza 051 del 2010 y Plan Integral de Drogas 2016-2019</t>
  </si>
  <si>
    <t>Asesoria y asistencia Tecnica para la adopcion  e implementacion en los doce (12) municipios del Plan Integral de Drogas. (Plan Departamental de la Reducción del Consumo de Sustancias Psicoactivas SPA)</t>
  </si>
  <si>
    <t>Brindar asesoría, asistencia técnica y realizar acciones de vigilancia, seguimiento y monitoreo al Sistema de información, el “Protocolo Modelo de atención para Programas de Mantenimiento con Metadona”; donde se incluye Manual de Convivencia, Contrato Terapéutico y Consentimiento informado a las instituciones que cuentan con Programas Ambulatorios de Mantenimiento con Metadona (PMM) de baja y mediana complejidad, en el departamento del Quindío.</t>
  </si>
  <si>
    <t>Mesas de trabajo con los usuarios de los tres Programas Ambulatorios de Mantenimiento con Metadona (PMM) de baja y mediana complejidad, del departamento del Quindío.</t>
  </si>
  <si>
    <t>Asesoría, Asistencia Técnica y seguimiento a la notificación en el Sistema Único de Indicadores de Centros de Atención a la Drogadicción (SUICAD) a las instituciones que cuentan con el SUICAD</t>
  </si>
  <si>
    <t xml:space="preserve">Realizar seguimiento a las Entidades Administradoras de Planes de Beneficios-Prestadores de Servicios de Salud Publicas Privados y Mixtos y Entidades Territoriales frente a la Circular Externa No. 000002 DE 2018 de la Superintendencia de Salud.
</t>
  </si>
  <si>
    <t>Realizar acciones de vigilancia  a las EAPB e IPS frente a los servicios de atencion para usuarios consumidores de Sustancias Psicoactivas</t>
  </si>
  <si>
    <t>Estilos de vida saludable y condiciones no-transmisibles</t>
  </si>
  <si>
    <t>Implementar la estrategia  denominada "Cuatro por cuatro" para la promoción de la alimentación saludable</t>
  </si>
  <si>
    <t>Estrategia "Cuatro por cuatro"  implementada</t>
  </si>
  <si>
    <t>1803 - 5 - 3 1 3 12 39 2 138 - 61</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</si>
  <si>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</si>
  <si>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</si>
  <si>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</si>
  <si>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</si>
  <si>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Fondo Local de Salud - SGP</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</si>
  <si>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</si>
  <si>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</si>
  <si>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</si>
  <si>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</si>
  <si>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</si>
  <si>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</si>
  <si>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</si>
  <si>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</si>
  <si>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</si>
  <si>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</si>
  <si>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</si>
  <si>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</si>
  <si>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</si>
  <si>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</si>
  <si>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</si>
  <si>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</si>
  <si>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Planes y/o programas diseñados y desarrollados</t>
  </si>
  <si>
    <t>1803 - 5 - 3 1 3 12 40 2 139 - 61
0318 - 5 - 3 1 3 12 40 2 139 - 20</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</si>
  <si>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</si>
  <si>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</si>
  <si>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</si>
  <si>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</si>
  <si>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</si>
  <si>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</si>
  <si>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</si>
  <si>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</si>
  <si>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Estrategia implementada.</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</si>
  <si>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</si>
  <si>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</si>
  <si>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</si>
  <si>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</si>
  <si>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</si>
  <si>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</si>
  <si>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Número de municipios con estrategias implementadas.</t>
  </si>
  <si>
    <t>1803 - 5 - 3 1 3 12 40 2 141 - 111
1803 - 5 - 3 1 3 12 40 2 141 - 61
0318 - 5 - 3 1 3 12 40 2 141 - 20</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</si>
  <si>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</si>
  <si>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</si>
  <si>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</si>
  <si>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</si>
  <si>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t>
  </si>
  <si>
    <t>61 - 20 -111</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</si>
  <si>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</si>
  <si>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</si>
  <si>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</si>
  <si>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</si>
  <si>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</si>
  <si>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</si>
  <si>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</si>
  <si>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</si>
  <si>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</si>
  <si>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</si>
  <si>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</si>
  <si>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</si>
  <si>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Plan estratégico implementado</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</si>
  <si>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</si>
  <si>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</si>
  <si>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</si>
  <si>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</si>
  <si>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SGP SALUD SALUD PUBLICA C.S.F</t>
  </si>
  <si>
    <t>61 - 113 - 114</t>
  </si>
  <si>
    <t>RES. 1029/16 CAMP Y CONTROL ANTI TUBERCULOSIS QDIO</t>
  </si>
  <si>
    <t>RES.1030/2016 CAMPAÑA CONTROL LEPRA QUINDIO</t>
  </si>
  <si>
    <t>Realizar capacitaciones al personal asistencial de las IPS en el programa de tuberculosis y lepra en el departamento.</t>
  </si>
  <si>
    <t>1803 - 5 - 3 1 3 12 40 2 142 - 114</t>
  </si>
  <si>
    <t>1803 - 5 - 3 1 3 12 40 2 142 - 61</t>
  </si>
  <si>
    <t>Coordinar acciones para la gestión intersectorial</t>
  </si>
  <si>
    <t>Realizar el análisis e intervención a los casos especiales de farmacorresistencia del programa de tuberculosis. " CERCET" Comite Evaluador  Regional de Casos Especiales de Tuberculosis.</t>
  </si>
  <si>
    <t>Acompañar la vigilancia de cumplimiento a guías, lineamientos y protocolos  en tuberculosis y lepra</t>
  </si>
  <si>
    <t>1803 - 5 - 3 1 3 12 40 2 142 - 113</t>
  </si>
  <si>
    <t>Res.1030/2016 Campaña control lepra QuindÍo</t>
  </si>
  <si>
    <t>Realizar campañas de prevención y atención integral en afectados por tuberculosis</t>
  </si>
  <si>
    <t>Realizar mesas técnicas para la gestión del compromiso político, en la protección social y sistemas de apoyo de pacientes con tuberculosis y lepra.</t>
  </si>
  <si>
    <t>hacer seguimiento a la implementacion y ejecucion de  los nuevos planes estratégicos de tuberculosis y lepra en los 12 municipios.</t>
  </si>
  <si>
    <t>realizar capacitaciónes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</si>
  <si>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</si>
  <si>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 rondas medicas, busqueda de sintomaticos respiratorios y de piel, movilizaciones, talleres, sensibilizaciones , etc)</t>
  </si>
  <si>
    <t>Implementar una estrategia de atención a sujetos de atención objetos de inspección vigilancia y control</t>
  </si>
  <si>
    <t>0318 - 5 - 3 1 3 12 40 2 177 - 20</t>
  </si>
  <si>
    <t>202000363-0001</t>
  </si>
  <si>
    <t>TU Y YO CONTRA COVID</t>
  </si>
  <si>
    <t>Suministro de papeleria, material de difusion,  equipos de oficina y elementos  afines para la atencion de la emergencia   COVID 19</t>
  </si>
  <si>
    <t>Adquisicion de elementos, insumos, reactivos y equipos requeridos de  bioseguridad para  prevenir, preparar medios de transporte viral, identificar en forma temprana, diagnosticar, tratar atender y rehabilitar a los posibles infectados del COVID-19 en el departamento del Quindio</t>
  </si>
  <si>
    <t>Suministro de alimentacion, viveres  para la poblacion vulnerable, y personal de la administracion central que se encuentre atendiendo  la emergencia de salud publica generada por el COVID 19</t>
  </si>
  <si>
    <t>Servicios de personal requerido y  generales necesarios durante la Emergencia  generada por el COVID-19</t>
  </si>
  <si>
    <t>Salud publica en emergencias y desastres</t>
  </si>
  <si>
    <t>Realizar catorce (14) simulacros de atención a emergencias en la Red Pública Hospitalaria</t>
  </si>
  <si>
    <t>Números de simulacros realizados.</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</si>
  <si>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</si>
  <si>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</si>
  <si>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</si>
  <si>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</si>
  <si>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</si>
  <si>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</si>
  <si>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</si>
  <si>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</si>
  <si>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Número de ESEs con índices de seguridad hospitalaria mejorados.</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</si>
  <si>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</si>
  <si>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</si>
  <si>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</si>
  <si>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</si>
  <si>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</si>
  <si>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</si>
  <si>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</si>
  <si>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Número de municipios con programas de cultura preventiva  fomentados.</t>
  </si>
  <si>
    <t>1803 - 5 - 3 1 3 12 42 2 145 - 61</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</si>
  <si>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</si>
  <si>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</si>
  <si>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</si>
  <si>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</si>
  <si>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</si>
  <si>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</si>
  <si>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</si>
  <si>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</si>
  <si>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</si>
  <si>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</si>
  <si>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</si>
  <si>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</si>
  <si>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</si>
  <si>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</si>
  <si>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</si>
  <si>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</si>
  <si>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</si>
  <si>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</si>
  <si>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</si>
  <si>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</si>
  <si>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</si>
  <si>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</si>
  <si>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</si>
  <si>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</si>
  <si>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 xml:space="preserve">61
</t>
  </si>
  <si>
    <t>61 - 63</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</si>
  <si>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</si>
  <si>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</si>
  <si>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</si>
  <si>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</si>
  <si>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</si>
  <si>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</si>
  <si>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</si>
  <si>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Número de establecimientos farmacéuticos con SIVC consolidados y desarrollados..</t>
  </si>
  <si>
    <t>0318 - 5 - 3 1 3 12 43 2 146 - 63</t>
  </si>
  <si>
    <t>Realizar inspección  vigilancia y control para verificar las condiciones técnicas, higiénico sanitarias locativas y de calidad a los establecimientos farmacéuticos en los 12 municipios del departamento del Quindío.</t>
  </si>
  <si>
    <t>SGP Salud Pública</t>
  </si>
  <si>
    <t xml:space="preserve">Suministrar medicamentos de programas de control especial - monopolio del estado a los establecimientos farmacéuticos autorizados ó IPS´s que lo requieran. </t>
  </si>
  <si>
    <t>Adquisición de mobilirario, equipos tecnológicos, de telecomunicación y computo del Fondo Rotatorio de Estupefacionetes.</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</si>
  <si>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</si>
  <si>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</si>
  <si>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</si>
  <si>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</si>
  <si>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</si>
  <si>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</si>
  <si>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Número de programas implementados</t>
  </si>
  <si>
    <t xml:space="preserve">1803 - 5 - 3 1 3 12 44 2 148 - 61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</si>
  <si>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</si>
  <si>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</si>
  <si>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</si>
  <si>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</si>
  <si>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</si>
  <si>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</si>
  <si>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</si>
  <si>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</si>
  <si>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</si>
  <si>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Implementar el  Programa de atención psicosocial y salud integral a víctimas del conflicto armado.</t>
  </si>
  <si>
    <t>Programa implementado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</si>
  <si>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</si>
  <si>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</si>
  <si>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</si>
  <si>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</si>
  <si>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</si>
  <si>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</si>
  <si>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</si>
  <si>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</si>
  <si>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</si>
  <si>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</si>
  <si>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Número de municipios con la estrategia AIEPI fortalecida.</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</si>
  <si>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</si>
  <si>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</si>
  <si>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</si>
  <si>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</si>
  <si>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</si>
  <si>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</si>
  <si>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</si>
  <si>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</si>
  <si>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Número de municipios con comités de discapacidad fortalecidos</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</si>
  <si>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</si>
  <si>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</si>
  <si>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</si>
  <si>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</si>
  <si>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</si>
  <si>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</si>
  <si>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</si>
  <si>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</si>
  <si>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</si>
  <si>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</si>
  <si>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</si>
  <si>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Número de empresas que implementan el Plan de Intervenciones Colectivas evaluadas</t>
  </si>
  <si>
    <t>1803 - 5 - 3 1 3 12 45 2 150 - 61</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</si>
  <si>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</si>
  <si>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</si>
  <si>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</si>
  <si>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</si>
  <si>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</si>
  <si>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</si>
  <si>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</si>
  <si>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Vigilancia en salud publica y del laboratorio departamental.</t>
  </si>
  <si>
    <t xml:space="preserve">Realizar  la vigilancia sanitaria a 300 establecimientos de consumo (Aguas, Alimentos y Bebidas Alcohólicas) </t>
  </si>
  <si>
    <t>Número de establecimientos vigilados</t>
  </si>
  <si>
    <t xml:space="preserve">1803 - 5 - 3 1 3 12 46 2 151 - 61
</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</si>
  <si>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</si>
  <si>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</si>
  <si>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</si>
  <si>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</si>
  <si>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 xml:space="preserve">Fondo Local de Salud - SGP
</t>
  </si>
  <si>
    <t>Compra de equipos de laboratorio</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</si>
  <si>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</si>
  <si>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</si>
  <si>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</si>
  <si>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</si>
  <si>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</si>
  <si>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</si>
  <si>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</si>
  <si>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</si>
  <si>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Número de COVECOM municipales operando</t>
  </si>
  <si>
    <t>1803 - 5 - 3 1 3 12 46 2 152 - 61</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</si>
  <si>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</si>
  <si>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</si>
  <si>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</si>
  <si>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</si>
  <si>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</si>
  <si>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</si>
  <si>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</si>
  <si>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</si>
  <si>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Número de unidades primarias generadoras de datos (UPGD) sostenidas.</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</si>
  <si>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</si>
  <si>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</si>
  <si>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</si>
  <si>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</si>
  <si>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</si>
  <si>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</si>
  <si>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</si>
  <si>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</si>
  <si>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</si>
  <si>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Número de municipios con procesos de identificación fortalecidos.</t>
  </si>
  <si>
    <t xml:space="preserve">0318 - 5 - 3 1 3 13 47 2 153 - 20
</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</si>
  <si>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</si>
  <si>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</si>
  <si>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</si>
  <si>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</si>
  <si>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</si>
  <si>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154 - 20</t>
  </si>
  <si>
    <t>Liz Belcka Catro Jaramillo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</si>
  <si>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</si>
  <si>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</si>
  <si>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</si>
  <si>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</si>
  <si>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1801 - 5 - 3 1 3 13 48 2 153 - 154</t>
  </si>
  <si>
    <t xml:space="preserve"> Gestionar  recursos para cofinanciación de la afialicon  mpo y lugares de afiliación
</t>
  </si>
  <si>
    <t xml:space="preserve">Gestión de recursos para cofinanciación de la afiliación a los municipios y lugares de afiliación. </t>
  </si>
  <si>
    <t>Fdo Local Salud - Monmopolio- Rentas Cedidas</t>
  </si>
  <si>
    <t>Asistencia técnica  a los actores del sistema en el proceso de aseguramiento de la población</t>
  </si>
  <si>
    <t>Brindar asistencia técnica a 12 Municipios del departamento,  en los procesos del régimen subsidiado</t>
  </si>
  <si>
    <t>Número de municipios asistidos técnicamente.</t>
  </si>
  <si>
    <t>0318 - 5 - 3 1 3 13 49 2 153 - 20</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</si>
  <si>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</si>
  <si>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</si>
  <si>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</si>
  <si>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</si>
  <si>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</si>
  <si>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Mantener la contratación con la red pública y privada (15)  para la atención de la población no afiliada.</t>
  </si>
  <si>
    <t>Cantidad de contratación realizada.</t>
  </si>
  <si>
    <t>1802 - 5 - 3 1 3 14 50 2 154 - 60
1802 - 5 - 3 1 3 14 50 2 154 - 65
1802 - 5 - 3 1 3 14 50 2 154 - 35</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</si>
  <si>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</si>
  <si>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</si>
  <si>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 xml:space="preserve">Fortalecer la contratación para la atención de la población no afiliada </t>
  </si>
  <si>
    <t>Fortalecer la contratacion para la atencion de la poblacion pobre no asegurada y los servicios no incluidos en el Plan de beneficios de la poblacion afiliada a la regimen subsidiado.</t>
  </si>
  <si>
    <t>Resolución  971/2016 PROGRAMA INIMPUTABLES</t>
  </si>
  <si>
    <t>110 - 58 - 59 - 60</t>
  </si>
  <si>
    <t>RENTAS CEDIDAS - SALUD</t>
  </si>
  <si>
    <t>INTERESES RENTAS CEDIDAS- SALUD</t>
  </si>
  <si>
    <t>SGP SALUD PRESTACIÓN SERVICIOS C S F</t>
  </si>
  <si>
    <t>INTERESES PRESTACION DE SERVICIOS SGP</t>
  </si>
  <si>
    <t>SGP SALUD APORTES PATRONALES SS  F</t>
  </si>
  <si>
    <t>Fortalecimiento de la  gestión de la entidad territorial municipal</t>
  </si>
  <si>
    <t>Realizar asistencia Técnica  en los 12 municipios, en la capacidad de gestión en salud</t>
  </si>
  <si>
    <t>Número de municipios con asistencia técnica realizada</t>
  </si>
  <si>
    <t>0318 - 5 - 3 1 3 14 51 2 155 - 20</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</si>
  <si>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</si>
  <si>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</si>
  <si>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</si>
  <si>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</si>
  <si>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</si>
  <si>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</si>
  <si>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asistencia técnica en la construcción y ejecución del plan bienal de inversiones, a catorce (14) Empresas sociales del estado (ESE) del departamento.</t>
  </si>
  <si>
    <t>Realizar apoyo y seguimiento en la gestion financiera a los fondos locales de salud y al procesos de aportes patronales de las ESE del departamento.</t>
  </si>
  <si>
    <t>Garantizar red de servicios en eventos de emergencias</t>
  </si>
  <si>
    <t>Atender en los 12 municipios  del departamento, los eventos de emergencia y urgencias, y el sistema de referencia y contra referencia  de la población  no afiliada.</t>
  </si>
  <si>
    <t>Número de municipios  atendidos.</t>
  </si>
  <si>
    <t>1802 - 5 - 3 1 3 14 52 2 157 - 20
0318 - 5 - 3 1 3 14 52 2 157 - 20</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</si>
  <si>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</si>
  <si>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</si>
  <si>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</si>
  <si>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</si>
  <si>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Realizar asistencia técnica a los prestadores de servicios de salud.</t>
  </si>
  <si>
    <t>Mantenimiento de quipos de tecnología y telecomunicaciones para el funcionamiento del CRUE.</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</si>
  <si>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</si>
  <si>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</si>
  <si>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</si>
  <si>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</si>
  <si>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</si>
  <si>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</si>
  <si>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</si>
  <si>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0318 - 5 - 3 1 3 14 53 2 158 - 20</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</si>
  <si>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</si>
  <si>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</si>
  <si>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</si>
  <si>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</si>
  <si>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</si>
  <si>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</si>
  <si>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</si>
  <si>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</si>
  <si>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</si>
  <si>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</si>
  <si>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</si>
  <si>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</si>
  <si>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Número de prestadores de salud con visitas de verificación realizadas.</t>
  </si>
  <si>
    <t xml:space="preserve">Garantizar eficiencia en el establecimiento de los indicadores de seguimiento a riesgo 
</t>
  </si>
  <si>
    <t>Verificación de los requisitos de habilitación</t>
  </si>
  <si>
    <t>Fortalecimiento financiero de la red de servicios publica</t>
  </si>
  <si>
    <t>Evaluar semestralmente los indicadores de monitoreo del sistema de catorce (14) ESE´s del nivel I, II y III</t>
  </si>
  <si>
    <t>Número de ESES evaluadas.</t>
  </si>
  <si>
    <t>0318 - 5 - 3 1 3 14 54 2 159 - 20</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</si>
  <si>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</si>
  <si>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</si>
  <si>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</si>
  <si>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</si>
  <si>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</si>
  <si>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</si>
  <si>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</si>
  <si>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Número de programas de saneamiento fiscal y financiero apoyados</t>
  </si>
  <si>
    <t xml:space="preserve">Realizar los  procesos adecuados para la auditoria en el flujo de recursos de las IPS 
</t>
  </si>
  <si>
    <t>Seguimiento a los programas de saneamiento fiscal y financiero.</t>
  </si>
  <si>
    <t>Gestión Posible</t>
  </si>
  <si>
    <t>Apoyo y Fortalecimiento Institucional</t>
  </si>
  <si>
    <t>apoyar y gestionar  3 procesos administrativos y misionales por parte de la Dirección estratégica.</t>
  </si>
  <si>
    <t>procesos apoyados  y gestionados</t>
  </si>
  <si>
    <t xml:space="preserve">1804 - 5 - 3 1 3 15 55 2 160 - 72
</t>
  </si>
  <si>
    <t>Apoyo Operativo a la inversión social en salud en el Departamento del Quindio</t>
  </si>
  <si>
    <t xml:space="preserve">Incrementar el porcentaje de apoyo de la dirección estratégica en los procesos administrativos y misionales de la secretaria de salud
</t>
  </si>
  <si>
    <t>Fortaleza en la planificacion, seguimiento y evaluacion de objetivos de S.D.S</t>
  </si>
  <si>
    <t>Realizar actividades de planeacion para la S.D.S aplicando los lineamientos normativos vigentes</t>
  </si>
  <si>
    <t>Rentas cedidas subcuenta otros gastos en salud</t>
  </si>
  <si>
    <t>Isabel Solarte</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</si>
  <si>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</si>
  <si>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</si>
  <si>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</si>
  <si>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</si>
  <si>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</si>
  <si>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Cobertura Educativa</t>
  </si>
  <si>
    <t>Acceso y Pemanencia</t>
  </si>
  <si>
    <t>Implementar un (1) plan, programa y/o proyecto para el acceso de niños, niñas y jóvenes en las instituciones educativas</t>
  </si>
  <si>
    <t>Número de planes, programas y/o proyectos implementados</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</si>
  <si>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</si>
  <si>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</si>
  <si>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</si>
  <si>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</si>
  <si>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</si>
  <si>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</si>
  <si>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</si>
  <si>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</si>
  <si>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</si>
  <si>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</si>
  <si>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Transferencia de la Nación PAE </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</si>
  <si>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</si>
  <si>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</si>
  <si>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</si>
  <si>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</si>
  <si>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</si>
  <si>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</si>
  <si>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</si>
  <si>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</si>
  <si>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</si>
  <si>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</si>
  <si>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</si>
  <si>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Implementar un programa para brindarles una mejor atencion educativa a los menores y/o adultos con situaciones penales, iletrados, menores trabajadores.</t>
  </si>
  <si>
    <t>SGP Educacion</t>
  </si>
  <si>
    <t>Diseñar e implementar un plan para la caracterización y atención de la población en condiciones especiales y excepcionales del departa</t>
  </si>
  <si>
    <t>Atencion de la poblacion con NNE y talentos Excepcionales.</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</si>
  <si>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</si>
  <si>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</si>
  <si>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</si>
  <si>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</si>
  <si>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</si>
  <si>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</si>
  <si>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</si>
  <si>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SGP Educacion (Aportes patronales)</t>
  </si>
  <si>
    <t>Calidad Educativa</t>
  </si>
  <si>
    <t>Calidad Educativa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</si>
  <si>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</si>
  <si>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</si>
  <si>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</si>
  <si>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</si>
  <si>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</si>
  <si>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</si>
  <si>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</si>
  <si>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</si>
  <si>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</si>
  <si>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</si>
  <si>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</si>
  <si>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</si>
  <si>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</si>
  <si>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</si>
  <si>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</si>
  <si>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Dotación de implementos de mitigación, prevencion y atención del riesgo para el fortalecimiento del Plan Escolar de Gestión del Riesgo (PEGER)</t>
  </si>
  <si>
    <t>Realizar ocho (8) eventos académicos, investigativos y culturales</t>
  </si>
  <si>
    <t>Número de eventos realizados</t>
  </si>
  <si>
    <t xml:space="preserve">Festival de Literatura y Escritura
</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</si>
  <si>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</si>
  <si>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</si>
  <si>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</si>
  <si>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</si>
  <si>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</si>
  <si>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</si>
  <si>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</si>
  <si>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</si>
  <si>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</si>
  <si>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</si>
  <si>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</si>
  <si>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</si>
  <si>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</si>
  <si>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</si>
  <si>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</si>
  <si>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</si>
  <si>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0314 - 5 - 3 1 3 6 22 1 93 - 20</t>
  </si>
  <si>
    <t>Pertinencia e Innovación</t>
  </si>
  <si>
    <t>Quindío Bilingüe</t>
  </si>
  <si>
    <t>Realizar siete (7)  concursos  para evaluar las competencias comunicativas en ingles de los estudiantes</t>
  </si>
  <si>
    <t>Número de concursos en inglés realizados</t>
  </si>
  <si>
    <t>0314 - 5 - 3 1 3 7 23 1 94 - 20</t>
  </si>
  <si>
    <t>201663000-0094</t>
  </si>
  <si>
    <t>Implementación de estrategias para el mejoramiento de las competencias en lengua extranjera en estudiantes y docentes de las instituciones educativas del Departamento del Quindío</t>
  </si>
  <si>
    <t>Realizar actividades de evaluación de competencias comunicativas en inglés a estudiantes</t>
  </si>
  <si>
    <t>Realizar actividades de evaluación de competencias comunicativas en inglés a estudiantes.</t>
  </si>
  <si>
    <t>Fortalecimiento de la Media Técnica</t>
  </si>
  <si>
    <t>Número de instituciones educativas fortalecidas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</si>
  <si>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</si>
  <si>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</si>
  <si>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</si>
  <si>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</si>
  <si>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Capacitación y Logistica, Talleres de Referentes, Planeación Curricular, Evaluación de los Aprendizajes</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</si>
  <si>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</si>
  <si>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</si>
  <si>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</si>
  <si>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</si>
  <si>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</si>
  <si>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</si>
  <si>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</si>
  <si>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</si>
  <si>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</si>
  <si>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</si>
  <si>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Pago cuota compraventa bien inmueble Institucion Educativa San Jose de Circasia ordenanzas 035 de 2010,047 de 2010 y 020 de 2011</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</si>
  <si>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</si>
  <si>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</si>
  <si>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</si>
  <si>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</si>
  <si>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</si>
  <si>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</si>
  <si>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</si>
  <si>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</si>
  <si>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</si>
  <si>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</si>
  <si>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 xml:space="preserve">Recurso Ordinario
</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</si>
  <si>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</si>
  <si>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</si>
  <si>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</si>
  <si>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Otros proyectos de conectividad</t>
  </si>
  <si>
    <t>Implementar y/o mejorar el sistema de conectividad en 200 sedes educativas oficiales en el departamento.</t>
  </si>
  <si>
    <t>Número de sedes educativas implementadas y/o mejoradas</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</si>
  <si>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</si>
  <si>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</si>
  <si>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</si>
  <si>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</si>
  <si>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</si>
  <si>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</si>
  <si>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</si>
  <si>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</si>
  <si>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</si>
  <si>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</si>
  <si>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</si>
  <si>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</si>
  <si>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</si>
  <si>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</si>
  <si>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</si>
  <si>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</si>
  <si>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</si>
  <si>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</si>
  <si>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</si>
  <si>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</si>
  <si>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</si>
  <si>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</si>
  <si>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</si>
  <si>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</si>
  <si>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</si>
  <si>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</si>
  <si>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</si>
  <si>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 xml:space="preserve">Educación Inicial Integral </t>
  </si>
  <si>
    <t>Implementar  un (1)  programa de educación integral  a la primera infancia</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</si>
  <si>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</si>
  <si>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</si>
  <si>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</si>
  <si>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</si>
  <si>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Apoyo para el programa de educación inicial en las instiuciones educativas oficiales del Departamento</t>
  </si>
  <si>
    <t>LILIANA MARIA SANCHEZ VILLADA</t>
  </si>
  <si>
    <t>SECRETARIA DE EDUCACION DEPARTAMENTAL</t>
  </si>
  <si>
    <t>SEGUIMIENTO PLAN DE ACCIÓN
SECRETARIA DE EDUCACION
I TRIMESTRE 2020</t>
  </si>
  <si>
    <t>VALOR OBLIGACIONES</t>
  </si>
  <si>
    <t xml:space="preserve">0314 - 5 - 3 1 3 5 16 1 84 - 20
0314 - 5 - 3 1 3 5 16 1 84 - 35
1404 - 5 - 3 1 3 5 16 1 84 - 81
</t>
  </si>
  <si>
    <t>ORDINARIO
MONOPOLIO
SGP PAE</t>
  </si>
  <si>
    <t>Liliana  Giraldo Molina</t>
  </si>
  <si>
    <t>Secretaria de Educación Departamental</t>
  </si>
  <si>
    <t>WHILDER</t>
  </si>
  <si>
    <t>Rendimientos Financieros PAE</t>
  </si>
  <si>
    <t>Personal de apoyo , para el acompañamiento, seguimiento y verificación y supervision de la ejecucion del PAE</t>
  </si>
  <si>
    <t>JAIME DE LA PAVA</t>
  </si>
  <si>
    <t>1404 - 5 - 3 1 3 5 17 1 86 - 25</t>
  </si>
  <si>
    <t>SGP</t>
  </si>
  <si>
    <t>SGP-EDUCACION</t>
  </si>
  <si>
    <t>Gladiz giraldo Profesional Universitario</t>
  </si>
  <si>
    <t>31712/2020</t>
  </si>
  <si>
    <t>Secretaria Educacion Departamental</t>
  </si>
  <si>
    <t xml:space="preserve">1401 - 5 -  1402 - 5 -  1403 - 5 -
1402 - 5 - 3 1 3 5 18 1 1 1 1 6 - 26
1402 - 5 - 3 1 3 5 18 1 2 4 1 1 - 26
1402 - 5 - 3 1 3 5 18 1 2 4 1 2 - 146
1403 - 5 - 3 1 3 5 18 1 1 1 1 6 - 26
1403 - 5 - 3 1 3 5 18 1 2 4 1 1 - 26
1402 - 5 - 3 1 3 5 18 1 2 3 1 - 09
1404 - 5 - 3 1 3 5 16 1 84 - 137
1404 - 5 - 3 1 3 6 20 1 90 - 21
0314 - 5 - 3 1 3 5 18 1 87 - 88
</t>
  </si>
  <si>
    <t>Marcela Delgado</t>
  </si>
  <si>
    <t xml:space="preserve">
Secretaria de Educación Departamental</t>
  </si>
  <si>
    <t>Superávit SGP Educación </t>
  </si>
  <si>
    <t>Educación, Ambientes Escolares y Cultura para la Paz</t>
  </si>
  <si>
    <t>0314 - 5 - 3 1 3 6 20 1 90 - 20
1404 - 5 - 3 1 3 6 20 1 90 - 25</t>
  </si>
  <si>
    <t>claudia Oviedo</t>
  </si>
  <si>
    <t xml:space="preserve">SGP Educacion </t>
  </si>
  <si>
    <t>Clasificación de residuos peligrosos en instituciones educativas</t>
  </si>
  <si>
    <t>Transferencia de recursos para participación en eventos académicos.</t>
  </si>
  <si>
    <t>Olga Lucia Buitrago</t>
  </si>
  <si>
    <t xml:space="preserve">
Rendimientos FinancierosSGP Prestación de Servicios Educación</t>
  </si>
  <si>
    <t>Plan Departamental del Lectura y Escritura</t>
  </si>
  <si>
    <t>Ordinario</t>
  </si>
  <si>
    <t>Edna Ensuasty Puerto</t>
  </si>
  <si>
    <t>0314 - 5 - 3 1 3 6 22 1 93 - 88</t>
  </si>
  <si>
    <t>Acompañamiento y seguimiento en las acciones de mejora en aspectos contables financieros y presupuestales de las IE del departamento del Quindio</t>
  </si>
  <si>
    <t>Fortalecer cincuenta (50)   instituciones educativas en competencias básicas</t>
  </si>
  <si>
    <t xml:space="preserve">0314 - 5 - 3 1 3 7 24 1 95 - 20
</t>
  </si>
  <si>
    <t>Claudia Oviedo</t>
  </si>
  <si>
    <t>Apoyo a la gestion para el Fortalecimiento Institucional</t>
  </si>
  <si>
    <t xml:space="preserve">0314 - 5 - 3 1 3 7 24 1 122 - 20_x000D_
0314 - 5 - 3 1 3 7 24 1 122 - 35_x000D_
</t>
  </si>
  <si>
    <t>Odinario</t>
  </si>
  <si>
    <t>Liliana Maria Sanchez Villada</t>
  </si>
  <si>
    <t>Inicio  automatización  aplicativo para procesos presupuestales y Financieros</t>
  </si>
  <si>
    <t xml:space="preserve">
1404 - 5 - 3 1 3 8 26 1 97 - 25_x000D_
</t>
  </si>
  <si>
    <t>1400 - 5 - 3 1 3 8 27 1 98 25</t>
  </si>
  <si>
    <t>01/01//2020</t>
  </si>
  <si>
    <t>SERVICIOS PERSONALES ASOCIADOS A LA NOMINA</t>
  </si>
  <si>
    <t>SERVICIOS PERSONALES INDIRECTOS</t>
  </si>
  <si>
    <t>CONTRIBUCIONES INHERENTES A LA NOMINA</t>
  </si>
  <si>
    <t>ADQUISICION DE BIENES</t>
  </si>
  <si>
    <t>ADQUISICION DE SERVICIOS</t>
  </si>
  <si>
    <t>Marta juliet</t>
  </si>
  <si>
    <t>Secretaria Educacion
Departamental</t>
  </si>
  <si>
    <t>SEGUIMIENTO PLAN DE ACCIÓN
IDTQ
I TRIMESTRE 2020</t>
  </si>
  <si>
    <t xml:space="preserve">SEGUIMIENTO PLAN DE ACCIÓN
SECRETARIA DE INDEPORTES
I TRIMSTRE 2020
</t>
  </si>
  <si>
    <t>SEGUIMIENTO PLAN DE ACCIÓN
INDEPORTES
I TRIMESTRE 2020</t>
  </si>
  <si>
    <t>SEGUIMIENTO PLAN DE ACCIÓN
SECRETARIA DE SALUD
I TRIMESTRE 2020 2020</t>
  </si>
  <si>
    <t>SEGUIMIENTO PLAN DE ACCIÓN
I TRIMESTRE 2020</t>
  </si>
  <si>
    <t>SEGUIIENTO PLAN DE ACCIÓN
SECRETARIA DE AGUAS E INFRAESTRUCTURA
I TRIMESTRE 2020</t>
  </si>
  <si>
    <t>SEGUIMIENTO PLAN DE ACCIÓN
SECRETARIA DE TURISMO INDUSTRIA Y COMERCIO 
I TRIMESTRE 2020</t>
  </si>
  <si>
    <t>SEGUIMIENTO PLAN DE ACCIÓN
SECRETARIA DE AGRICULTURA, DESARROLLO RURAL Y MEDIO AMBIENTE
I TRIMESTRE 2020</t>
  </si>
  <si>
    <t>SEGUIMIENTO PLAN DE ACCIÓN
OFICINA PRIVADA
I TRIMESTRE 2020</t>
  </si>
  <si>
    <t>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</si>
</sst>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 #,##0;[Red]\-&quot;$&quot;\ #,##0"/>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
    <numFmt numFmtId="167" formatCode="_ [$€-2]\ * #,##0.00_ ;_ [$€-2]\ * \-#,##0.00_ ;_ [$€-2]\ * &quot;-&quot;??_ "/>
    <numFmt numFmtId="168" formatCode="dd/mm/yy;@"/>
    <numFmt numFmtId="169" formatCode="&quot;$&quot;\ #,##0"/>
    <numFmt numFmtId="170" formatCode="0.0"/>
    <numFmt numFmtId="171" formatCode="_(* #,##0_);_(* \(#,##0\);_(* &quot;-&quot;_);_(@_)"/>
    <numFmt numFmtId="172" formatCode="dd/mm/yyyy;@"/>
    <numFmt numFmtId="173" formatCode="_(* #,##0.00_);_(* \(#,##0.00\);_(* &quot;-&quot;??_);_(@_)"/>
    <numFmt numFmtId="174" formatCode="d/mm/yyyy;@"/>
    <numFmt numFmtId="175" formatCode="_(&quot;$&quot;\ * #,##0.00_);_(&quot;$&quot;\ * \(#,##0.00\);_(&quot;$&quot;\ * &quot;-&quot;??_);_(@_)"/>
    <numFmt numFmtId="176" formatCode="&quot;$&quot;#,##0.00"/>
    <numFmt numFmtId="177" formatCode="#,##0.00_);\-#,##0.00"/>
    <numFmt numFmtId="178" formatCode="_-[$$-240A]* #,##0.00_-;\-[$$-240A]* #,##0.00_-;_-[$$-240A]* &quot;-&quot;??_-;_-@_-"/>
    <numFmt numFmtId="179" formatCode="_-[$$-240A]* #,##0_-;\-[$$-240A]* #,##0_-;_-[$$-240A]* &quot;-&quot;_-;_-@_-"/>
    <numFmt numFmtId="180" formatCode="_(* #,##0.00_);_(* \(#,##0.00\);_(* &quot;-&quot;_);_(@_)"/>
    <numFmt numFmtId="181" formatCode="#,##0.00;[Red]#,##0.00"/>
    <numFmt numFmtId="182" formatCode="#,##0;[Red]#,##0"/>
    <numFmt numFmtId="183" formatCode="_-* #,##0.00\ &quot;€&quot;_-;\-* #,##0.00\ &quot;€&quot;_-;_-* &quot;-&quot;??\ &quot;€&quot;_-;_-@_-"/>
    <numFmt numFmtId="184" formatCode="0;[Red]0"/>
    <numFmt numFmtId="185" formatCode="_-* #,##0.00_-;\-* #,##0.00_-;_-* &quot;-&quot;_-;_-@_-"/>
    <numFmt numFmtId="186" formatCode="_(* #,##0_);_(* \(#,##0\);_(* &quot;-&quot;??_);_(@_)"/>
    <numFmt numFmtId="187" formatCode="&quot;$&quot;\ #,##0.00"/>
    <numFmt numFmtId="188" formatCode="0.0%"/>
    <numFmt numFmtId="189" formatCode="_-* #,##0.00\ _€_-;\-* #,##0.00\ _€_-;_-* &quot;-&quot;??\ _€_-;_-@_-"/>
    <numFmt numFmtId="190" formatCode="_-* #,##0_-;\-* #,##0_-;_-* &quot;-&quot;??_-;_-@_-"/>
    <numFmt numFmtId="191" formatCode="_(&quot;$&quot;\ * #,##0_);_(&quot;$&quot;\ * \(#,##0\);_(&quot;$&quot;\ * &quot;-&quot;??_);_(@_)"/>
    <numFmt numFmtId="192" formatCode="_(&quot;$&quot;\ * #,##0_);_(&quot;$&quot;\ * \(#,##0\);_(&quot;$&quot;\ * &quot;-&quot;_);_(@_)"/>
    <numFmt numFmtId="193" formatCode="#,##0.000"/>
    <numFmt numFmtId="194" formatCode="_-&quot;$&quot;* #,##0_-;\-&quot;$&quot;* #,##0_-;_-&quot;$&quot;* &quot;-&quot;??_-;_-@_-"/>
    <numFmt numFmtId="195" formatCode="0_ ;\-0\ "/>
    <numFmt numFmtId="196" formatCode="0.000%"/>
    <numFmt numFmtId="197" formatCode="_(* #,##0.0_);_(* \(#,##0.0\);_(* &quot;-&quot;??_);_(@_)"/>
  </numFmts>
  <fonts count="6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color indexed="8"/>
      <name val="Arial"/>
      <family val="2"/>
    </font>
    <font>
      <b/>
      <sz val="9"/>
      <color theme="1"/>
      <name val="Calibri"/>
      <family val="2"/>
      <scheme val="minor"/>
    </font>
    <font>
      <b/>
      <sz val="10"/>
      <color theme="1"/>
      <name val="Arial"/>
      <family val="2"/>
    </font>
    <font>
      <b/>
      <sz val="9"/>
      <name val="Calibri"/>
      <family val="2"/>
      <scheme val="minor"/>
    </font>
    <font>
      <sz val="9"/>
      <color theme="1"/>
      <name val="Calibri"/>
      <family val="2"/>
      <scheme val="minor"/>
    </font>
    <font>
      <b/>
      <sz val="10"/>
      <color indexed="8"/>
      <name val="Arial"/>
      <family val="2"/>
    </font>
    <font>
      <sz val="11"/>
      <color indexed="8"/>
      <name val="Calibri"/>
      <family val="2"/>
    </font>
    <font>
      <b/>
      <sz val="10"/>
      <color rgb="FFFF0000"/>
      <name val="Arial"/>
      <family val="2"/>
    </font>
    <font>
      <sz val="10"/>
      <color theme="1"/>
      <name val="Arial"/>
      <family val="2"/>
    </font>
    <font>
      <b/>
      <sz val="11"/>
      <color rgb="FFFF0000"/>
      <name val="Arial"/>
      <family val="2"/>
    </font>
    <font>
      <sz val="11"/>
      <color indexed="8"/>
      <name val="Arial"/>
      <family val="2"/>
    </font>
    <font>
      <sz val="11"/>
      <name val="Arial"/>
      <family val="2"/>
    </font>
    <font>
      <sz val="12"/>
      <color indexed="8"/>
      <name val="Arial"/>
      <family val="2"/>
    </font>
    <font>
      <b/>
      <sz val="11"/>
      <name val="Arial"/>
      <family val="2"/>
    </font>
    <font>
      <sz val="11"/>
      <color rgb="FFFF0000"/>
      <name val="Arial"/>
      <family val="2"/>
    </font>
    <font>
      <sz val="10"/>
      <name val="Arial"/>
      <family val="2"/>
    </font>
    <font>
      <sz val="11"/>
      <color rgb="FF000000"/>
      <name val="Arial"/>
      <family val="2"/>
    </font>
    <font>
      <b/>
      <sz val="10"/>
      <name val="Arial"/>
      <family val="2"/>
    </font>
    <font>
      <sz val="12"/>
      <color theme="1"/>
      <name val="Arial"/>
      <family val="2"/>
    </font>
    <font>
      <b/>
      <sz val="11"/>
      <name val="Calibri"/>
      <family val="2"/>
      <scheme val="minor"/>
    </font>
    <font>
      <sz val="12"/>
      <name val="Arial"/>
      <family val="2"/>
    </font>
    <font>
      <b/>
      <sz val="12"/>
      <name val="Arial"/>
      <family val="2"/>
    </font>
    <font>
      <b/>
      <sz val="12"/>
      <color rgb="FFFF0000"/>
      <name val="Arial"/>
      <family val="2"/>
    </font>
    <font>
      <sz val="14"/>
      <color indexed="8"/>
      <name val="Times New Roman"/>
      <family val="1"/>
    </font>
    <font>
      <sz val="11"/>
      <color rgb="FFFF0000"/>
      <name val="Calibri"/>
      <family val="2"/>
      <scheme val="minor"/>
    </font>
    <font>
      <b/>
      <sz val="14"/>
      <name val="Arial"/>
      <family val="2"/>
    </font>
    <font>
      <b/>
      <sz val="12"/>
      <name val="Calibri"/>
      <family val="2"/>
      <scheme val="minor"/>
    </font>
    <font>
      <b/>
      <sz val="9"/>
      <name val="Arial"/>
      <family val="2"/>
    </font>
    <font>
      <sz val="12"/>
      <color rgb="FFFF0000"/>
      <name val="Arial"/>
      <family val="2"/>
    </font>
    <font>
      <sz val="11"/>
      <name val="Calibri"/>
      <family val="2"/>
      <scheme val="minor"/>
    </font>
    <font>
      <b/>
      <sz val="11"/>
      <color rgb="FFFF0000"/>
      <name val="Calibri"/>
      <family val="2"/>
      <scheme val="minor"/>
    </font>
    <font>
      <u/>
      <sz val="12"/>
      <color rgb="FFFF0000"/>
      <name val="Arial"/>
      <family val="2"/>
    </font>
    <font>
      <u/>
      <sz val="12"/>
      <name val="Arial"/>
      <family val="2"/>
    </font>
    <font>
      <sz val="14"/>
      <name val="Arial"/>
      <family val="2"/>
    </font>
    <font>
      <b/>
      <sz val="10"/>
      <color rgb="FF00B0F0"/>
      <name val="Arial"/>
      <family val="2"/>
    </font>
    <font>
      <sz val="10"/>
      <color rgb="FF00B0F0"/>
      <name val="Arial"/>
      <family val="2"/>
    </font>
    <font>
      <sz val="10"/>
      <color rgb="FFFF0000"/>
      <name val="Calibri"/>
      <family val="2"/>
      <scheme val="minor"/>
    </font>
    <font>
      <sz val="10"/>
      <name val="Calibri"/>
      <family val="2"/>
      <scheme val="minor"/>
    </font>
    <font>
      <sz val="10"/>
      <color rgb="FF00B0F0"/>
      <name val="Calibri"/>
      <family val="2"/>
      <scheme val="minor"/>
    </font>
    <font>
      <sz val="10"/>
      <color theme="1"/>
      <name val="Calibri"/>
      <family val="2"/>
      <scheme val="minor"/>
    </font>
    <font>
      <sz val="9"/>
      <name val="Calibri"/>
      <family val="2"/>
      <scheme val="minor"/>
    </font>
    <font>
      <b/>
      <i/>
      <sz val="22"/>
      <name val="Arial Narrow"/>
      <family val="2"/>
    </font>
    <font>
      <i/>
      <sz val="22"/>
      <name val="Arial Narrow"/>
      <family val="2"/>
    </font>
    <font>
      <sz val="28"/>
      <name val="Arial Narrow"/>
      <family val="2"/>
    </font>
    <font>
      <sz val="22"/>
      <name val="Arial Narrow"/>
      <family val="2"/>
    </font>
    <font>
      <sz val="22"/>
      <name val="Arial"/>
      <family val="2"/>
    </font>
    <font>
      <i/>
      <sz val="11"/>
      <name val="Arial"/>
      <family val="2"/>
    </font>
    <font>
      <sz val="9"/>
      <name val="Arial"/>
      <family val="2"/>
    </font>
    <font>
      <sz val="16"/>
      <name val="Arial"/>
      <family val="2"/>
    </font>
    <font>
      <b/>
      <sz val="9"/>
      <color indexed="81"/>
      <name val="Tahoma"/>
      <family val="2"/>
    </font>
    <font>
      <sz val="9"/>
      <color indexed="81"/>
      <name val="Tahoma"/>
      <family val="2"/>
    </font>
    <font>
      <b/>
      <sz val="14"/>
      <color theme="1"/>
      <name val="Arial"/>
      <family val="2"/>
    </font>
    <font>
      <b/>
      <sz val="12"/>
      <color theme="1"/>
      <name val="Arial"/>
      <family val="2"/>
    </font>
    <font>
      <b/>
      <sz val="12"/>
      <color theme="1"/>
      <name val="Calibri"/>
      <family val="2"/>
      <scheme val="minor"/>
    </font>
    <font>
      <sz val="12"/>
      <color theme="1"/>
      <name val="Calibri"/>
      <family val="2"/>
      <scheme val="minor"/>
    </font>
    <font>
      <sz val="12"/>
      <color rgb="FFFF0000"/>
      <name val="Calibri"/>
      <family val="2"/>
      <scheme val="minor"/>
    </font>
  </fonts>
  <fills count="25">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9"/>
        <bgColor indexed="26"/>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FFFF"/>
        <bgColor indexed="64"/>
      </patternFill>
    </fill>
    <fill>
      <patternFill patternType="solid">
        <fgColor theme="2"/>
        <bgColor indexed="64"/>
      </patternFill>
    </fill>
    <fill>
      <patternFill patternType="solid">
        <fgColor theme="2"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B4C6E7"/>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auto="1"/>
      </bottom>
      <diagonal/>
    </border>
    <border>
      <left style="thin">
        <color indexed="64"/>
      </left>
      <right/>
      <top style="thin">
        <color indexed="64"/>
      </top>
      <bottom style="thin">
        <color indexed="8"/>
      </bottom>
      <diagonal/>
    </border>
    <border>
      <left style="thin">
        <color rgb="FF000000"/>
      </left>
      <right/>
      <top style="thin">
        <color rgb="FF000000"/>
      </top>
      <bottom style="thin">
        <color rgb="FF000000"/>
      </bottom>
      <diagonal/>
    </border>
    <border>
      <left style="medium">
        <color indexed="64"/>
      </left>
      <right style="thin">
        <color indexed="64"/>
      </right>
      <top/>
      <bottom style="thin">
        <color indexed="64"/>
      </bottom>
      <diagonal/>
    </border>
    <border>
      <left/>
      <right style="medium">
        <color indexed="64"/>
      </right>
      <top/>
      <bottom/>
      <diagonal/>
    </border>
    <border>
      <left style="thin">
        <color rgb="FF000000"/>
      </left>
      <right style="thin">
        <color rgb="FF000000"/>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auto="1"/>
      </top>
      <bottom/>
      <diagonal/>
    </border>
    <border>
      <left/>
      <right style="thin">
        <color auto="1"/>
      </right>
      <top style="medium">
        <color indexed="64"/>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right/>
      <top/>
      <bottom style="thin">
        <color rgb="FF000000"/>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bottom style="medium">
        <color indexed="64"/>
      </bottom>
      <diagonal/>
    </border>
    <border>
      <left style="thin">
        <color indexed="64"/>
      </left>
      <right style="thin">
        <color rgb="FF000000"/>
      </right>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medium">
        <color indexed="64"/>
      </top>
      <bottom/>
      <diagonal/>
    </border>
    <border>
      <left/>
      <right style="thin">
        <color rgb="FF000000"/>
      </right>
      <top style="thin">
        <color indexed="64"/>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style="thin">
        <color rgb="FF000000"/>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rgb="FF000000"/>
      </right>
      <top/>
      <bottom style="thin">
        <color rgb="FF000000"/>
      </bottom>
      <diagonal/>
    </border>
    <border>
      <left style="thin">
        <color indexed="64"/>
      </left>
      <right style="thin">
        <color auto="1"/>
      </right>
      <top style="thin">
        <color rgb="FF000000"/>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s>
  <cellStyleXfs count="32">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7" fontId="1" fillId="0" borderId="0"/>
    <xf numFmtId="9" fontId="10"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173" fontId="1" fillId="0" borderId="0" applyFont="0" applyFill="0" applyBorder="0" applyAlignment="0" applyProtection="0"/>
    <xf numFmtId="0" fontId="19" fillId="0" borderId="0"/>
    <xf numFmtId="0" fontId="19" fillId="0" borderId="0"/>
    <xf numFmtId="0" fontId="19" fillId="0" borderId="0"/>
    <xf numFmtId="175" fontId="1" fillId="0" borderId="0" applyFont="0" applyFill="0" applyBorder="0" applyAlignment="0" applyProtection="0"/>
    <xf numFmtId="9" fontId="10" fillId="0" borderId="0" applyFont="0" applyFill="0" applyBorder="0" applyAlignment="0" applyProtection="0"/>
    <xf numFmtId="0" fontId="12" fillId="0" borderId="0"/>
    <xf numFmtId="167" fontId="1" fillId="0" borderId="0"/>
    <xf numFmtId="165" fontId="1" fillId="0" borderId="0" applyFont="0" applyFill="0" applyBorder="0" applyAlignment="0" applyProtection="0"/>
    <xf numFmtId="164" fontId="1" fillId="0" borderId="0" applyFont="0" applyFill="0" applyBorder="0" applyAlignment="0" applyProtection="0"/>
    <xf numFmtId="18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1" fillId="0" borderId="0"/>
    <xf numFmtId="9" fontId="10" fillId="0" borderId="0" applyFont="0" applyFill="0" applyBorder="0" applyAlignment="0" applyProtection="0"/>
    <xf numFmtId="189" fontId="1" fillId="0" borderId="0" applyFont="0" applyFill="0" applyBorder="0" applyAlignment="0" applyProtection="0"/>
    <xf numFmtId="164" fontId="1" fillId="0" borderId="0" applyFont="0" applyFill="0" applyBorder="0" applyAlignment="0" applyProtection="0"/>
    <xf numFmtId="173" fontId="1" fillId="0" borderId="0" applyFont="0" applyFill="0" applyBorder="0" applyAlignment="0" applyProtection="0"/>
    <xf numFmtId="41" fontId="1" fillId="0" borderId="0" applyFont="0" applyFill="0" applyBorder="0" applyAlignment="0" applyProtection="0"/>
    <xf numFmtId="0" fontId="1" fillId="0" borderId="0"/>
    <xf numFmtId="0" fontId="19" fillId="0" borderId="0"/>
    <xf numFmtId="164" fontId="19" fillId="0" borderId="0" applyFont="0" applyFill="0" applyBorder="0" applyAlignment="0" applyProtection="0"/>
    <xf numFmtId="9" fontId="10" fillId="0" borderId="0" applyFont="0" applyFill="0" applyBorder="0" applyAlignment="0" applyProtection="0"/>
    <xf numFmtId="192" fontId="1" fillId="0" borderId="0" applyFont="0" applyFill="0" applyBorder="0" applyAlignment="0" applyProtection="0"/>
  </cellStyleXfs>
  <cellXfs count="4584">
    <xf numFmtId="0" fontId="0" fillId="0" borderId="0" xfId="0"/>
    <xf numFmtId="0" fontId="2" fillId="0" borderId="0" xfId="0" applyFont="1" applyBorder="1" applyAlignment="1">
      <alignment horizontal="center" vertical="center" wrapText="1"/>
    </xf>
    <xf numFmtId="0" fontId="3" fillId="0" borderId="0" xfId="0" applyFont="1"/>
    <xf numFmtId="0" fontId="2" fillId="0" borderId="1" xfId="0" applyFont="1" applyBorder="1"/>
    <xf numFmtId="0" fontId="2" fillId="0" borderId="1" xfId="0" applyFont="1" applyBorder="1" applyAlignment="1">
      <alignment horizontal="left"/>
    </xf>
    <xf numFmtId="166" fontId="2" fillId="0" borderId="1" xfId="0" applyNumberFormat="1" applyFont="1" applyBorder="1" applyAlignment="1">
      <alignment horizontal="left"/>
    </xf>
    <xf numFmtId="17" fontId="2" fillId="0" borderId="1" xfId="0" applyNumberFormat="1" applyFont="1" applyBorder="1" applyAlignment="1">
      <alignment horizontal="left"/>
    </xf>
    <xf numFmtId="0" fontId="2" fillId="0" borderId="2" xfId="0" applyFont="1" applyBorder="1" applyAlignment="1">
      <alignment horizontal="center" vertical="center" wrapText="1"/>
    </xf>
    <xf numFmtId="0" fontId="3" fillId="0" borderId="0" xfId="0" applyFont="1" applyAlignment="1">
      <alignment wrapText="1"/>
    </xf>
    <xf numFmtId="0" fontId="2" fillId="0" borderId="1" xfId="0" applyFont="1" applyBorder="1" applyAlignment="1">
      <alignment vertical="center"/>
    </xf>
    <xf numFmtId="3" fontId="4" fillId="2"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0" borderId="0" xfId="0" applyFont="1"/>
    <xf numFmtId="0" fontId="6"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68" fontId="6" fillId="3" borderId="1" xfId="0" applyNumberFormat="1" applyFont="1" applyFill="1" applyBorder="1" applyAlignment="1">
      <alignment horizontal="center" vertical="center" wrapText="1"/>
    </xf>
    <xf numFmtId="168" fontId="11" fillId="3" borderId="1" xfId="0" applyNumberFormat="1" applyFont="1" applyFill="1" applyBorder="1" applyAlignment="1">
      <alignment horizontal="center" vertical="center" wrapText="1"/>
    </xf>
    <xf numFmtId="0" fontId="12" fillId="0" borderId="0" xfId="0" applyFont="1"/>
    <xf numFmtId="0" fontId="2" fillId="3" borderId="16" xfId="0" applyFont="1" applyFill="1" applyBorder="1" applyAlignment="1">
      <alignment vertical="center" wrapText="1"/>
    </xf>
    <xf numFmtId="0" fontId="2" fillId="3" borderId="17" xfId="0" applyFont="1" applyFill="1" applyBorder="1" applyAlignment="1">
      <alignment vertical="center" wrapText="1"/>
    </xf>
    <xf numFmtId="0" fontId="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68" fontId="2" fillId="3" borderId="1" xfId="0" applyNumberFormat="1" applyFont="1" applyFill="1" applyBorder="1" applyAlignment="1">
      <alignment horizontal="center" vertical="center" wrapText="1"/>
    </xf>
    <xf numFmtId="168" fontId="2" fillId="3" borderId="1" xfId="0" applyNumberFormat="1" applyFont="1" applyFill="1" applyBorder="1" applyAlignment="1">
      <alignmen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4" xfId="0" applyFont="1" applyFill="1" applyBorder="1" applyAlignment="1">
      <alignment vertical="center" wrapText="1"/>
    </xf>
    <xf numFmtId="0" fontId="2" fillId="6" borderId="4" xfId="0" applyFont="1" applyFill="1" applyBorder="1" applyAlignment="1">
      <alignment horizontal="justify" vertical="center" wrapText="1"/>
    </xf>
    <xf numFmtId="0" fontId="2" fillId="6" borderId="4"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2" fillId="6" borderId="5" xfId="0" applyFont="1" applyFill="1" applyBorder="1" applyAlignment="1">
      <alignment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left" vertical="center"/>
    </xf>
    <xf numFmtId="0" fontId="2" fillId="8" borderId="3" xfId="0" applyFont="1" applyFill="1" applyBorder="1" applyAlignment="1">
      <alignment vertical="center" wrapText="1"/>
    </xf>
    <xf numFmtId="0" fontId="2" fillId="8" borderId="4" xfId="0" applyFont="1" applyFill="1" applyBorder="1" applyAlignment="1">
      <alignment vertical="center" wrapText="1"/>
    </xf>
    <xf numFmtId="0" fontId="2" fillId="8" borderId="4" xfId="0" applyFont="1" applyFill="1" applyBorder="1" applyAlignment="1">
      <alignment horizontal="justify" vertical="center" wrapText="1"/>
    </xf>
    <xf numFmtId="0" fontId="2" fillId="8" borderId="4"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2" fillId="8" borderId="5" xfId="0" applyFont="1" applyFill="1" applyBorder="1" applyAlignment="1">
      <alignment vertical="center" wrapText="1"/>
    </xf>
    <xf numFmtId="0" fontId="2" fillId="9" borderId="3" xfId="0" applyFont="1" applyFill="1" applyBorder="1" applyAlignment="1">
      <alignment horizontal="center" vertical="center" wrapText="1"/>
    </xf>
    <xf numFmtId="0" fontId="2" fillId="9" borderId="4" xfId="0" applyFont="1" applyFill="1" applyBorder="1" applyAlignment="1">
      <alignment vertical="center"/>
    </xf>
    <xf numFmtId="0" fontId="2" fillId="9" borderId="5" xfId="0" applyFont="1" applyFill="1" applyBorder="1" applyAlignment="1">
      <alignment vertical="center" wrapText="1"/>
    </xf>
    <xf numFmtId="0" fontId="2" fillId="9" borderId="4" xfId="0" applyFont="1" applyFill="1" applyBorder="1" applyAlignment="1">
      <alignment vertical="center" wrapText="1"/>
    </xf>
    <xf numFmtId="0" fontId="2" fillId="9" borderId="4" xfId="0" applyFont="1" applyFill="1" applyBorder="1" applyAlignment="1">
      <alignment horizontal="justify" vertical="center" wrapText="1"/>
    </xf>
    <xf numFmtId="0" fontId="2" fillId="9" borderId="4"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3" fillId="0" borderId="0" xfId="0" applyFont="1" applyFill="1"/>
    <xf numFmtId="0" fontId="3" fillId="7" borderId="15"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5" fillId="0" borderId="1" xfId="0" applyFont="1" applyBorder="1" applyAlignment="1">
      <alignment horizontal="justify" vertical="center" wrapText="1"/>
    </xf>
    <xf numFmtId="41" fontId="3" fillId="0" borderId="18" xfId="2" applyFont="1" applyFill="1" applyBorder="1" applyAlignment="1">
      <alignment horizontal="center" vertical="center" wrapText="1"/>
    </xf>
    <xf numFmtId="41" fontId="15" fillId="0" borderId="18" xfId="2" applyFont="1" applyFill="1" applyBorder="1" applyAlignment="1">
      <alignment horizontal="center" vertical="center" wrapText="1"/>
    </xf>
    <xf numFmtId="3" fontId="3" fillId="0" borderId="15" xfId="1"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Border="1"/>
    <xf numFmtId="41" fontId="3" fillId="0" borderId="1" xfId="2" applyFont="1" applyFill="1" applyBorder="1" applyAlignment="1">
      <alignment horizontal="center" vertical="center" wrapText="1"/>
    </xf>
    <xf numFmtId="41" fontId="15" fillId="0" borderId="1" xfId="2"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5" xfId="0" applyNumberFormat="1" applyFont="1" applyBorder="1" applyAlignment="1">
      <alignment horizontal="center" vertical="center"/>
    </xf>
    <xf numFmtId="0" fontId="14" fillId="0" borderId="8" xfId="0" applyFont="1" applyBorder="1" applyAlignment="1">
      <alignment horizontal="justify" vertical="center" wrapText="1"/>
    </xf>
    <xf numFmtId="41" fontId="3" fillId="0" borderId="8" xfId="2" applyFont="1" applyFill="1" applyBorder="1" applyAlignment="1">
      <alignment horizontal="center" vertical="center"/>
    </xf>
    <xf numFmtId="41" fontId="15" fillId="0" borderId="8" xfId="2" applyFont="1" applyFill="1" applyBorder="1" applyAlignment="1">
      <alignment horizontal="center" vertical="center"/>
    </xf>
    <xf numFmtId="3" fontId="3" fillId="0" borderId="18" xfId="1"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3" fontId="3" fillId="0" borderId="18" xfId="0" applyNumberFormat="1" applyFont="1" applyBorder="1" applyAlignment="1">
      <alignment horizontal="center" vertical="center"/>
    </xf>
    <xf numFmtId="0" fontId="3" fillId="0" borderId="8" xfId="0" applyFont="1" applyFill="1" applyBorder="1" applyAlignment="1">
      <alignment horizontal="center" vertical="center" wrapText="1"/>
    </xf>
    <xf numFmtId="0" fontId="2" fillId="0" borderId="20" xfId="0" applyFont="1" applyBorder="1" applyAlignment="1">
      <alignment wrapText="1"/>
    </xf>
    <xf numFmtId="0" fontId="2" fillId="0" borderId="21" xfId="0" applyFont="1" applyBorder="1" applyAlignment="1">
      <alignment wrapText="1"/>
    </xf>
    <xf numFmtId="41" fontId="17" fillId="0" borderId="22" xfId="2"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2" xfId="0" applyFont="1" applyFill="1" applyBorder="1" applyAlignment="1">
      <alignment horizontal="justify" vertical="center" wrapText="1"/>
    </xf>
    <xf numFmtId="41" fontId="17" fillId="0" borderId="23" xfId="2" applyFont="1" applyFill="1" applyBorder="1" applyAlignment="1">
      <alignment horizontal="center" vertical="center" wrapText="1"/>
    </xf>
    <xf numFmtId="169" fontId="17" fillId="0" borderId="20" xfId="0" applyNumberFormat="1" applyFont="1" applyFill="1" applyBorder="1" applyAlignment="1">
      <alignment vertical="center" wrapText="1"/>
    </xf>
    <xf numFmtId="0" fontId="2" fillId="7" borderId="21" xfId="0" applyFont="1" applyFill="1" applyBorder="1" applyAlignment="1">
      <alignment horizontal="justify" vertical="center" wrapText="1"/>
    </xf>
    <xf numFmtId="0" fontId="2" fillId="0" borderId="21" xfId="0" applyFont="1" applyBorder="1" applyAlignment="1">
      <alignment vertical="center" wrapText="1"/>
    </xf>
    <xf numFmtId="0" fontId="2" fillId="0" borderId="20" xfId="0" applyFont="1" applyBorder="1" applyAlignment="1">
      <alignment horizontal="center" vertical="center" wrapText="1"/>
    </xf>
    <xf numFmtId="0" fontId="2" fillId="0" borderId="21" xfId="0" applyFont="1" applyFill="1" applyBorder="1" applyAlignment="1">
      <alignment horizontal="right" vertical="center" wrapText="1"/>
    </xf>
    <xf numFmtId="168" fontId="2" fillId="0" borderId="21" xfId="0" applyNumberFormat="1" applyFont="1" applyBorder="1" applyAlignment="1">
      <alignment horizontal="center" vertical="center" wrapText="1"/>
    </xf>
    <xf numFmtId="3" fontId="12" fillId="0" borderId="24" xfId="0" applyNumberFormat="1" applyFont="1" applyBorder="1" applyAlignment="1">
      <alignment vertical="center" wrapText="1"/>
    </xf>
    <xf numFmtId="0" fontId="3" fillId="0" borderId="0" xfId="0" applyFont="1" applyAlignment="1">
      <alignment horizontal="justify" vertical="center"/>
    </xf>
    <xf numFmtId="0" fontId="2" fillId="0" borderId="0" xfId="0" applyFont="1" applyFill="1" applyBorder="1" applyAlignment="1">
      <alignment vertical="center"/>
    </xf>
    <xf numFmtId="0" fontId="3" fillId="0" borderId="17" xfId="0" applyFont="1" applyFill="1" applyBorder="1" applyAlignment="1">
      <alignment vertical="center"/>
    </xf>
    <xf numFmtId="0" fontId="3" fillId="0" borderId="0" xfId="0" applyFont="1" applyAlignment="1">
      <alignment horizontal="center" vertical="center"/>
    </xf>
    <xf numFmtId="0" fontId="18" fillId="0" borderId="0" xfId="0" applyFont="1" applyAlignment="1">
      <alignment horizontal="center" vertical="center"/>
    </xf>
    <xf numFmtId="41" fontId="15" fillId="0" borderId="8" xfId="2" applyFont="1" applyFill="1" applyBorder="1" applyAlignment="1">
      <alignment horizontal="center" vertical="center" wrapText="1"/>
    </xf>
    <xf numFmtId="41" fontId="3" fillId="0" borderId="8" xfId="2"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7" borderId="0" xfId="0" applyFont="1" applyFill="1"/>
    <xf numFmtId="0" fontId="2" fillId="0" borderId="1" xfId="0" applyFont="1" applyBorder="1" applyAlignment="1">
      <alignment horizontal="left" vertical="center"/>
    </xf>
    <xf numFmtId="0" fontId="2" fillId="0" borderId="1" xfId="0" applyFont="1" applyBorder="1" applyAlignment="1">
      <alignment vertical="center" wrapText="1"/>
    </xf>
    <xf numFmtId="3" fontId="4" fillId="0" borderId="1" xfId="0" applyNumberFormat="1" applyFont="1" applyBorder="1" applyAlignment="1">
      <alignment horizontal="left" vertical="center" wrapText="1"/>
    </xf>
    <xf numFmtId="0" fontId="3" fillId="7" borderId="0" xfId="0" applyFont="1" applyFill="1" applyAlignment="1">
      <alignment horizontal="center" vertical="center"/>
    </xf>
    <xf numFmtId="0" fontId="2" fillId="6" borderId="4" xfId="0" applyFont="1" applyFill="1" applyBorder="1" applyAlignment="1">
      <alignment horizontal="left" vertical="center"/>
    </xf>
    <xf numFmtId="0" fontId="2" fillId="6" borderId="4" xfId="0" applyFont="1" applyFill="1" applyBorder="1" applyAlignment="1">
      <alignment horizontal="justify" vertical="center"/>
    </xf>
    <xf numFmtId="0" fontId="3" fillId="6" borderId="4" xfId="0" applyFont="1" applyFill="1" applyBorder="1" applyAlignment="1">
      <alignment horizontal="justify" vertical="center"/>
    </xf>
    <xf numFmtId="173" fontId="3" fillId="6" borderId="4" xfId="6" applyNumberFormat="1" applyFont="1" applyFill="1" applyBorder="1" applyAlignment="1">
      <alignment horizontal="center" vertical="center"/>
    </xf>
    <xf numFmtId="1" fontId="2" fillId="6" borderId="4" xfId="0" applyNumberFormat="1" applyFont="1" applyFill="1" applyBorder="1" applyAlignment="1">
      <alignment horizontal="center" vertical="center"/>
    </xf>
    <xf numFmtId="0" fontId="2" fillId="6" borderId="4" xfId="0" applyFont="1" applyFill="1" applyBorder="1" applyAlignment="1">
      <alignment horizontal="center" vertical="center"/>
    </xf>
    <xf numFmtId="0" fontId="2" fillId="6" borderId="4" xfId="0" applyFont="1" applyFill="1" applyBorder="1" applyAlignment="1">
      <alignment vertical="center"/>
    </xf>
    <xf numFmtId="172" fontId="2" fillId="6" borderId="4" xfId="0" applyNumberFormat="1" applyFont="1" applyFill="1" applyBorder="1" applyAlignment="1">
      <alignment vertical="center"/>
    </xf>
    <xf numFmtId="0" fontId="2" fillId="6" borderId="5" xfId="0" applyFont="1" applyFill="1" applyBorder="1" applyAlignment="1">
      <alignment horizontal="justify" vertical="center"/>
    </xf>
    <xf numFmtId="1" fontId="2" fillId="8" borderId="0" xfId="0" applyNumberFormat="1" applyFont="1" applyFill="1" applyAlignment="1">
      <alignment horizontal="justify" vertical="center"/>
    </xf>
    <xf numFmtId="0" fontId="2" fillId="8" borderId="4" xfId="0" applyFont="1" applyFill="1" applyBorder="1" applyAlignment="1">
      <alignment horizontal="left" vertical="center"/>
    </xf>
    <xf numFmtId="0" fontId="2" fillId="8" borderId="2" xfId="0" applyFont="1" applyFill="1" applyBorder="1" applyAlignment="1">
      <alignment horizontal="justify" vertical="center"/>
    </xf>
    <xf numFmtId="0" fontId="3" fillId="8" borderId="2" xfId="0" applyFont="1" applyFill="1" applyBorder="1" applyAlignment="1">
      <alignment horizontal="justify" vertical="center"/>
    </xf>
    <xf numFmtId="173" fontId="3" fillId="8" borderId="2" xfId="6" applyNumberFormat="1" applyFont="1" applyFill="1" applyBorder="1" applyAlignment="1">
      <alignment horizontal="center" vertical="center"/>
    </xf>
    <xf numFmtId="1" fontId="2" fillId="8" borderId="2" xfId="0" applyNumberFormat="1" applyFont="1" applyFill="1" applyBorder="1" applyAlignment="1">
      <alignment horizontal="center" vertical="center"/>
    </xf>
    <xf numFmtId="0" fontId="2" fillId="8" borderId="2" xfId="0" applyFont="1" applyFill="1" applyBorder="1" applyAlignment="1">
      <alignment horizontal="center" vertical="center"/>
    </xf>
    <xf numFmtId="0" fontId="2" fillId="8" borderId="2" xfId="0" applyFont="1" applyFill="1" applyBorder="1" applyAlignment="1">
      <alignment vertical="center"/>
    </xf>
    <xf numFmtId="172" fontId="2" fillId="8" borderId="2" xfId="0" applyNumberFormat="1" applyFont="1" applyFill="1" applyBorder="1" applyAlignment="1">
      <alignment vertical="center"/>
    </xf>
    <xf numFmtId="0" fontId="2" fillId="8" borderId="14" xfId="0" applyFont="1" applyFill="1" applyBorder="1" applyAlignment="1">
      <alignment horizontal="justify" vertical="center"/>
    </xf>
    <xf numFmtId="1" fontId="2" fillId="7" borderId="16" xfId="0" applyNumberFormat="1" applyFont="1" applyFill="1" applyBorder="1" applyAlignment="1">
      <alignment horizontal="justify" vertical="center" wrapText="1"/>
    </xf>
    <xf numFmtId="1" fontId="2" fillId="10" borderId="3" xfId="0" applyNumberFormat="1" applyFont="1" applyFill="1" applyBorder="1" applyAlignment="1">
      <alignment horizontal="justify" vertical="center" wrapText="1"/>
    </xf>
    <xf numFmtId="0" fontId="2" fillId="10" borderId="4" xfId="0" applyFont="1" applyFill="1" applyBorder="1" applyAlignment="1">
      <alignment horizontal="justify" vertical="center"/>
    </xf>
    <xf numFmtId="0" fontId="3" fillId="10" borderId="4" xfId="0" applyFont="1" applyFill="1" applyBorder="1" applyAlignment="1">
      <alignment horizontal="justify" vertical="center"/>
    </xf>
    <xf numFmtId="173" fontId="3" fillId="10" borderId="4" xfId="6" applyNumberFormat="1" applyFont="1" applyFill="1" applyBorder="1" applyAlignment="1">
      <alignment horizontal="center" vertical="center"/>
    </xf>
    <xf numFmtId="1" fontId="2" fillId="10" borderId="4" xfId="0" applyNumberFormat="1" applyFont="1" applyFill="1" applyBorder="1" applyAlignment="1">
      <alignment horizontal="center" vertical="center"/>
    </xf>
    <xf numFmtId="0" fontId="2" fillId="10" borderId="4" xfId="0" applyFont="1" applyFill="1" applyBorder="1" applyAlignment="1">
      <alignment horizontal="center" vertical="center"/>
    </xf>
    <xf numFmtId="0" fontId="2" fillId="10" borderId="4" xfId="0" applyFont="1" applyFill="1" applyBorder="1" applyAlignment="1">
      <alignment vertical="center"/>
    </xf>
    <xf numFmtId="172" fontId="2" fillId="10" borderId="4" xfId="0" applyNumberFormat="1" applyFont="1" applyFill="1" applyBorder="1" applyAlignment="1">
      <alignment vertical="center"/>
    </xf>
    <xf numFmtId="0" fontId="2" fillId="10" borderId="5" xfId="0" applyFont="1" applyFill="1" applyBorder="1" applyAlignment="1">
      <alignment horizontal="justify" vertical="center"/>
    </xf>
    <xf numFmtId="1" fontId="3" fillId="0" borderId="16" xfId="0" applyNumberFormat="1"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3" fontId="3" fillId="0" borderId="1" xfId="0" applyNumberFormat="1" applyFont="1" applyFill="1" applyBorder="1" applyAlignment="1">
      <alignment vertical="center" wrapText="1"/>
    </xf>
    <xf numFmtId="0" fontId="3" fillId="0" borderId="1" xfId="9" applyFont="1" applyFill="1" applyBorder="1" applyAlignment="1">
      <alignment horizontal="justify" vertical="center"/>
    </xf>
    <xf numFmtId="0" fontId="15" fillId="0" borderId="1" xfId="9" applyFont="1" applyFill="1" applyBorder="1" applyAlignment="1">
      <alignment horizontal="justify" vertical="center" wrapText="1"/>
    </xf>
    <xf numFmtId="1" fontId="3" fillId="0" borderId="16" xfId="0" applyNumberFormat="1" applyFont="1" applyFill="1" applyBorder="1" applyAlignment="1">
      <alignment horizontal="justify"/>
    </xf>
    <xf numFmtId="0" fontId="3" fillId="0" borderId="0" xfId="0" applyFont="1" applyFill="1" applyAlignment="1">
      <alignment horizontal="justify"/>
    </xf>
    <xf numFmtId="0" fontId="3" fillId="0" borderId="16" xfId="0" applyFont="1" applyFill="1" applyBorder="1" applyAlignment="1">
      <alignment horizontal="justify"/>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3" xfId="0" applyFont="1" applyFill="1" applyBorder="1" applyAlignment="1">
      <alignment horizontal="justify"/>
    </xf>
    <xf numFmtId="1" fontId="3" fillId="7" borderId="16" xfId="0" applyNumberFormat="1" applyFont="1" applyFill="1" applyBorder="1" applyAlignment="1">
      <alignment horizontal="justify"/>
    </xf>
    <xf numFmtId="0" fontId="3" fillId="7" borderId="0" xfId="0" applyFont="1" applyFill="1" applyAlignment="1">
      <alignment horizontal="justify"/>
    </xf>
    <xf numFmtId="0" fontId="3" fillId="7" borderId="17" xfId="0" applyFont="1" applyFill="1" applyBorder="1" applyAlignment="1">
      <alignment horizontal="justify"/>
    </xf>
    <xf numFmtId="0" fontId="2" fillId="10" borderId="4" xfId="0" applyFont="1" applyFill="1" applyBorder="1" applyAlignment="1">
      <alignment horizontal="justify" vertical="center" wrapText="1"/>
    </xf>
    <xf numFmtId="173" fontId="3" fillId="10" borderId="4" xfId="6" applyNumberFormat="1" applyFont="1" applyFill="1" applyBorder="1" applyAlignment="1">
      <alignment horizontal="right" vertical="center"/>
    </xf>
    <xf numFmtId="1" fontId="3" fillId="10" borderId="4" xfId="0" applyNumberFormat="1" applyFont="1" applyFill="1" applyBorder="1" applyAlignment="1">
      <alignment horizontal="center" vertical="center"/>
    </xf>
    <xf numFmtId="0" fontId="3" fillId="10" borderId="4" xfId="0" applyFont="1" applyFill="1" applyBorder="1" applyAlignment="1">
      <alignment horizontal="center" vertical="center"/>
    </xf>
    <xf numFmtId="0" fontId="3" fillId="10" borderId="4" xfId="0" applyFont="1" applyFill="1" applyBorder="1"/>
    <xf numFmtId="2" fontId="3" fillId="10" borderId="4" xfId="0" applyNumberFormat="1" applyFont="1" applyFill="1" applyBorder="1" applyAlignment="1">
      <alignment vertical="center" wrapText="1"/>
    </xf>
    <xf numFmtId="172" fontId="3" fillId="10" borderId="4" xfId="0" applyNumberFormat="1" applyFont="1" applyFill="1" applyBorder="1" applyAlignment="1">
      <alignment horizontal="right" vertical="center"/>
    </xf>
    <xf numFmtId="172" fontId="3" fillId="10" borderId="4" xfId="0" applyNumberFormat="1" applyFont="1" applyFill="1" applyBorder="1" applyAlignment="1">
      <alignment horizontal="center"/>
    </xf>
    <xf numFmtId="0" fontId="3" fillId="10" borderId="5" xfId="0" applyFont="1" applyFill="1" applyBorder="1" applyAlignment="1">
      <alignment horizontal="justify" vertical="center" wrapText="1"/>
    </xf>
    <xf numFmtId="1" fontId="3" fillId="0" borderId="16" xfId="0" applyNumberFormat="1" applyFont="1" applyBorder="1" applyAlignment="1">
      <alignment horizontal="justify" vertical="center"/>
    </xf>
    <xf numFmtId="0" fontId="3" fillId="0" borderId="17" xfId="0" applyFont="1" applyBorder="1" applyAlignment="1">
      <alignment horizontal="justify" vertical="center"/>
    </xf>
    <xf numFmtId="0" fontId="3" fillId="0" borderId="16" xfId="0" applyFont="1" applyBorder="1" applyAlignment="1">
      <alignment horizontal="justify" vertical="center"/>
    </xf>
    <xf numFmtId="0" fontId="3" fillId="0" borderId="1" xfId="0" applyFont="1" applyBorder="1" applyAlignment="1">
      <alignment horizontal="center" vertical="center" wrapText="1"/>
    </xf>
    <xf numFmtId="49" fontId="15" fillId="0" borderId="1" xfId="10" applyNumberFormat="1" applyFont="1" applyBorder="1" applyAlignment="1">
      <alignment horizontal="justify" vertical="center" wrapText="1"/>
    </xf>
    <xf numFmtId="49" fontId="15" fillId="7" borderId="1" xfId="10" applyNumberFormat="1" applyFont="1" applyFill="1" applyBorder="1" applyAlignment="1">
      <alignment horizontal="justify" vertical="center" wrapText="1"/>
    </xf>
    <xf numFmtId="0" fontId="3" fillId="0" borderId="1" xfId="0" applyFont="1" applyFill="1" applyBorder="1" applyAlignment="1">
      <alignment vertical="center" wrapText="1"/>
    </xf>
    <xf numFmtId="0" fontId="3" fillId="0" borderId="16" xfId="0" applyFont="1" applyFill="1" applyBorder="1"/>
    <xf numFmtId="1" fontId="3" fillId="0" borderId="16" xfId="0" applyNumberFormat="1" applyFont="1" applyBorder="1" applyAlignment="1">
      <alignment horizontal="justify" vertical="center" wrapText="1"/>
    </xf>
    <xf numFmtId="0" fontId="3" fillId="0" borderId="1" xfId="0" applyFont="1" applyBorder="1" applyAlignment="1">
      <alignment horizontal="justify" vertical="center"/>
    </xf>
    <xf numFmtId="0" fontId="15" fillId="0" borderId="1" xfId="0" applyFont="1" applyBorder="1" applyAlignment="1">
      <alignment horizontal="justify" vertical="center"/>
    </xf>
    <xf numFmtId="0" fontId="15" fillId="7" borderId="1" xfId="0" applyFont="1" applyFill="1" applyBorder="1" applyAlignment="1">
      <alignment horizontal="justify" vertical="center"/>
    </xf>
    <xf numFmtId="1" fontId="18" fillId="0" borderId="16" xfId="0" applyNumberFormat="1" applyFont="1" applyBorder="1" applyAlignment="1">
      <alignment horizontal="justify"/>
    </xf>
    <xf numFmtId="0" fontId="18" fillId="0" borderId="0" xfId="0" applyFont="1" applyAlignment="1">
      <alignment horizontal="justify"/>
    </xf>
    <xf numFmtId="0" fontId="18" fillId="0" borderId="16" xfId="0" applyFont="1" applyBorder="1" applyAlignment="1">
      <alignment horizontal="justify"/>
    </xf>
    <xf numFmtId="0" fontId="18" fillId="0" borderId="17" xfId="0" applyFont="1" applyBorder="1" applyAlignment="1">
      <alignment horizontal="justify"/>
    </xf>
    <xf numFmtId="0" fontId="20" fillId="7" borderId="5" xfId="11" applyFont="1" applyFill="1" applyBorder="1" applyAlignment="1">
      <alignment horizontal="justify" vertical="center" wrapText="1"/>
    </xf>
    <xf numFmtId="0" fontId="18" fillId="0" borderId="0" xfId="0" applyFont="1"/>
    <xf numFmtId="0" fontId="3" fillId="0" borderId="17" xfId="0" applyFont="1" applyBorder="1" applyAlignment="1">
      <alignment horizontal="justify"/>
    </xf>
    <xf numFmtId="0" fontId="15" fillId="7" borderId="5" xfId="11" applyFont="1" applyFill="1" applyBorder="1" applyAlignment="1">
      <alignment horizontal="justify" vertical="center" wrapText="1"/>
    </xf>
    <xf numFmtId="0" fontId="15" fillId="0" borderId="1" xfId="0" applyFont="1" applyBorder="1" applyAlignment="1">
      <alignment horizontal="center" vertical="center" wrapText="1"/>
    </xf>
    <xf numFmtId="1" fontId="15" fillId="0" borderId="1" xfId="0" applyNumberFormat="1" applyFont="1" applyFill="1" applyBorder="1" applyAlignment="1">
      <alignment horizontal="center" vertical="center"/>
    </xf>
    <xf numFmtId="0" fontId="3" fillId="0" borderId="21" xfId="0" applyFont="1" applyBorder="1" applyAlignment="1">
      <alignment horizontal="justify"/>
    </xf>
    <xf numFmtId="0" fontId="3" fillId="0" borderId="21" xfId="0" applyFont="1" applyBorder="1" applyAlignment="1">
      <alignment horizontal="center" vertical="center"/>
    </xf>
    <xf numFmtId="0" fontId="3" fillId="0" borderId="21" xfId="0" applyFont="1" applyFill="1" applyBorder="1" applyAlignment="1">
      <alignment horizontal="justify"/>
    </xf>
    <xf numFmtId="0" fontId="2" fillId="0" borderId="21" xfId="0" applyFont="1" applyFill="1" applyBorder="1" applyAlignment="1">
      <alignment horizontal="center" vertical="center"/>
    </xf>
    <xf numFmtId="0" fontId="3" fillId="0" borderId="21" xfId="0" applyFont="1" applyFill="1" applyBorder="1" applyAlignment="1">
      <alignment horizontal="center"/>
    </xf>
    <xf numFmtId="0" fontId="3" fillId="0" borderId="21" xfId="0" applyFont="1" applyFill="1" applyBorder="1" applyAlignment="1">
      <alignment horizontal="justify" vertical="center"/>
    </xf>
    <xf numFmtId="170" fontId="3" fillId="0" borderId="22" xfId="0" applyNumberFormat="1" applyFont="1" applyFill="1" applyBorder="1" applyAlignment="1">
      <alignment horizontal="justify" vertical="center"/>
    </xf>
    <xf numFmtId="0" fontId="3" fillId="7" borderId="33" xfId="0" applyFont="1" applyFill="1" applyBorder="1" applyAlignment="1">
      <alignment horizontal="justify" vertical="center"/>
    </xf>
    <xf numFmtId="0" fontId="3" fillId="7" borderId="34" xfId="0" applyFont="1" applyFill="1" applyBorder="1" applyAlignment="1">
      <alignment horizontal="justify" vertical="center"/>
    </xf>
    <xf numFmtId="0" fontId="3" fillId="7" borderId="22" xfId="0" applyFont="1" applyFill="1" applyBorder="1" applyAlignment="1">
      <alignment horizontal="justify" vertical="center"/>
    </xf>
    <xf numFmtId="1" fontId="3" fillId="7" borderId="20" xfId="0" applyNumberFormat="1" applyFont="1" applyFill="1" applyBorder="1" applyAlignment="1">
      <alignment horizontal="center" vertical="center"/>
    </xf>
    <xf numFmtId="0" fontId="3" fillId="7" borderId="21" xfId="0" applyFont="1" applyFill="1" applyBorder="1" applyAlignment="1">
      <alignment horizontal="center" vertical="center"/>
    </xf>
    <xf numFmtId="0" fontId="3" fillId="0" borderId="21" xfId="0" applyFont="1" applyBorder="1"/>
    <xf numFmtId="172" fontId="3" fillId="0" borderId="21" xfId="0" applyNumberFormat="1" applyFont="1" applyBorder="1" applyAlignment="1">
      <alignment horizontal="right" vertical="center"/>
    </xf>
    <xf numFmtId="172" fontId="3" fillId="0" borderId="21" xfId="0" applyNumberFormat="1" applyFont="1" applyBorder="1" applyAlignment="1">
      <alignment horizontal="center"/>
    </xf>
    <xf numFmtId="0" fontId="3" fillId="0" borderId="22" xfId="0" applyFont="1" applyBorder="1" applyAlignment="1">
      <alignment horizontal="justify" vertical="center"/>
    </xf>
    <xf numFmtId="1" fontId="3" fillId="0" borderId="0" xfId="0" applyNumberFormat="1" applyFont="1" applyAlignment="1">
      <alignment horizontal="justify"/>
    </xf>
    <xf numFmtId="0" fontId="2" fillId="0" borderId="0" xfId="0" applyFont="1" applyAlignment="1">
      <alignment horizontal="justify"/>
    </xf>
    <xf numFmtId="0" fontId="3" fillId="7" borderId="0" xfId="0" applyFont="1" applyFill="1" applyAlignment="1">
      <alignment horizontal="justify" vertical="center"/>
    </xf>
    <xf numFmtId="0" fontId="3"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justify" vertical="center"/>
    </xf>
    <xf numFmtId="170" fontId="3" fillId="0" borderId="0" xfId="0" applyNumberFormat="1" applyFont="1" applyFill="1" applyAlignment="1">
      <alignment horizontal="justify" vertical="center"/>
    </xf>
    <xf numFmtId="169" fontId="3" fillId="0" borderId="0" xfId="0" applyNumberFormat="1" applyFont="1" applyFill="1" applyAlignment="1">
      <alignment horizontal="center" vertical="center"/>
    </xf>
    <xf numFmtId="173" fontId="3" fillId="7" borderId="0" xfId="8" applyFont="1" applyFill="1" applyAlignment="1">
      <alignment horizontal="center" vertical="center"/>
    </xf>
    <xf numFmtId="1" fontId="3" fillId="7" borderId="0" xfId="0" applyNumberFormat="1" applyFont="1" applyFill="1" applyAlignment="1">
      <alignment horizontal="center" vertical="center"/>
    </xf>
    <xf numFmtId="172" fontId="3" fillId="0" borderId="0" xfId="0" applyNumberFormat="1" applyFont="1" applyAlignment="1">
      <alignment horizontal="right" vertical="center"/>
    </xf>
    <xf numFmtId="172" fontId="3" fillId="0" borderId="0" xfId="0" applyNumberFormat="1" applyFont="1" applyAlignment="1">
      <alignment horizontal="center"/>
    </xf>
    <xf numFmtId="170" fontId="3" fillId="0" borderId="0" xfId="0" applyNumberFormat="1" applyFont="1" applyFill="1" applyAlignment="1">
      <alignment horizontal="center" vertical="center"/>
    </xf>
    <xf numFmtId="169" fontId="3" fillId="0" borderId="0" xfId="0" applyNumberFormat="1" applyFont="1" applyAlignment="1">
      <alignment horizontal="justify" vertical="center"/>
    </xf>
    <xf numFmtId="173" fontId="3" fillId="7" borderId="0" xfId="6" applyNumberFormat="1" applyFont="1" applyFill="1" applyAlignment="1">
      <alignment horizontal="center" vertical="center"/>
    </xf>
    <xf numFmtId="0" fontId="2" fillId="0" borderId="0" xfId="0" applyFont="1" applyFill="1"/>
    <xf numFmtId="0" fontId="2" fillId="0" borderId="0" xfId="0" applyFont="1" applyFill="1" applyAlignment="1">
      <alignment horizontal="center"/>
    </xf>
    <xf numFmtId="0" fontId="2" fillId="0" borderId="0" xfId="0" applyFont="1"/>
    <xf numFmtId="0" fontId="2" fillId="0" borderId="0" xfId="0" applyFont="1" applyAlignment="1">
      <alignment horizontal="center" vertical="center" wrapText="1"/>
    </xf>
    <xf numFmtId="0" fontId="2" fillId="0" borderId="1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Border="1" applyAlignment="1">
      <alignment vertical="center"/>
    </xf>
    <xf numFmtId="175" fontId="2" fillId="0" borderId="2" xfId="12" applyFont="1" applyBorder="1" applyAlignment="1">
      <alignment vertical="center"/>
    </xf>
    <xf numFmtId="0" fontId="2" fillId="0" borderId="2" xfId="0" applyFont="1" applyBorder="1" applyAlignment="1">
      <alignment horizontal="center" vertical="center"/>
    </xf>
    <xf numFmtId="0" fontId="2" fillId="0" borderId="14" xfId="0" applyFont="1" applyBorder="1" applyAlignment="1">
      <alignment vertical="center"/>
    </xf>
    <xf numFmtId="0" fontId="2" fillId="8" borderId="1" xfId="0" applyFont="1" applyFill="1" applyBorder="1" applyAlignment="1">
      <alignment horizontal="center" vertical="center"/>
    </xf>
    <xf numFmtId="172" fontId="2" fillId="8" borderId="1" xfId="0" applyNumberFormat="1" applyFont="1" applyFill="1" applyBorder="1" applyAlignment="1">
      <alignment horizontal="center" vertical="center"/>
    </xf>
    <xf numFmtId="1" fontId="2" fillId="6" borderId="1" xfId="0" applyNumberFormat="1" applyFont="1" applyFill="1" applyBorder="1" applyAlignment="1">
      <alignment horizontal="center" vertical="center" wrapText="1"/>
    </xf>
    <xf numFmtId="0" fontId="2" fillId="6" borderId="35" xfId="0" applyFont="1" applyFill="1" applyBorder="1" applyAlignment="1">
      <alignment vertical="center"/>
    </xf>
    <xf numFmtId="0" fontId="2" fillId="6" borderId="35" xfId="0" applyFont="1" applyFill="1" applyBorder="1" applyAlignment="1">
      <alignment horizontal="justify" vertical="center"/>
    </xf>
    <xf numFmtId="0" fontId="2" fillId="6" borderId="35" xfId="0" applyFont="1" applyFill="1" applyBorder="1" applyAlignment="1">
      <alignment horizontal="center" vertical="center"/>
    </xf>
    <xf numFmtId="175" fontId="2" fillId="6" borderId="35" xfId="12" applyFont="1" applyFill="1" applyBorder="1" applyAlignment="1">
      <alignment horizontal="center" vertical="center"/>
    </xf>
    <xf numFmtId="1" fontId="2" fillId="6" borderId="35" xfId="0" applyNumberFormat="1" applyFont="1" applyFill="1" applyBorder="1" applyAlignment="1">
      <alignment horizontal="center" vertical="center"/>
    </xf>
    <xf numFmtId="1" fontId="2" fillId="8" borderId="3" xfId="0" applyNumberFormat="1" applyFont="1" applyFill="1" applyBorder="1" applyAlignment="1">
      <alignment horizontal="center" vertical="center"/>
    </xf>
    <xf numFmtId="0" fontId="2" fillId="8" borderId="4" xfId="0" applyFont="1" applyFill="1" applyBorder="1" applyAlignment="1">
      <alignment horizontal="center" vertical="center"/>
    </xf>
    <xf numFmtId="175" fontId="2" fillId="8" borderId="4" xfId="12" applyFont="1" applyFill="1" applyBorder="1" applyAlignment="1">
      <alignment horizontal="center" vertical="center"/>
    </xf>
    <xf numFmtId="1" fontId="2" fillId="8" borderId="4" xfId="0" applyNumberFormat="1" applyFont="1" applyFill="1" applyBorder="1" applyAlignment="1">
      <alignment horizontal="center" vertical="center"/>
    </xf>
    <xf numFmtId="172" fontId="2" fillId="8" borderId="4" xfId="0" applyNumberFormat="1" applyFont="1" applyFill="1" applyBorder="1" applyAlignment="1">
      <alignment horizontal="center" vertical="center"/>
    </xf>
    <xf numFmtId="0" fontId="2" fillId="8" borderId="5" xfId="0" applyFont="1" applyFill="1" applyBorder="1" applyAlignment="1">
      <alignment horizontal="center" vertical="center"/>
    </xf>
    <xf numFmtId="0" fontId="3" fillId="7" borderId="0" xfId="0" applyFont="1" applyFill="1" applyAlignment="1">
      <alignment horizontal="center"/>
    </xf>
    <xf numFmtId="1" fontId="2" fillId="0" borderId="29"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2" fillId="0" borderId="30" xfId="0" applyFont="1" applyFill="1" applyBorder="1" applyAlignment="1">
      <alignment horizontal="center" vertical="center"/>
    </xf>
    <xf numFmtId="1" fontId="2" fillId="10" borderId="5" xfId="0" applyNumberFormat="1" applyFont="1" applyFill="1" applyBorder="1" applyAlignment="1">
      <alignment horizontal="center" vertical="center" wrapText="1"/>
    </xf>
    <xf numFmtId="0" fontId="2" fillId="10" borderId="3" xfId="0" applyFont="1" applyFill="1" applyBorder="1" applyAlignment="1">
      <alignment vertical="center"/>
    </xf>
    <xf numFmtId="175" fontId="2" fillId="10" borderId="4" xfId="12" applyFont="1" applyFill="1" applyBorder="1" applyAlignment="1">
      <alignment horizontal="center" vertical="center"/>
    </xf>
    <xf numFmtId="0" fontId="3" fillId="10" borderId="5" xfId="0" applyFont="1" applyFill="1" applyBorder="1"/>
    <xf numFmtId="3" fontId="3" fillId="0" borderId="18" xfId="0" applyNumberFormat="1" applyFont="1" applyFill="1" applyBorder="1" applyAlignment="1">
      <alignment horizontal="justify" vertical="center" wrapText="1"/>
    </xf>
    <xf numFmtId="41" fontId="3" fillId="0" borderId="18" xfId="2" applyFont="1" applyFill="1" applyBorder="1" applyAlignment="1">
      <alignment vertical="center" wrapText="1"/>
    </xf>
    <xf numFmtId="49" fontId="3" fillId="0" borderId="18" xfId="0" applyNumberFormat="1" applyFont="1" applyFill="1" applyBorder="1" applyAlignment="1">
      <alignment horizontal="center" vertical="center" wrapText="1"/>
    </xf>
    <xf numFmtId="3" fontId="3" fillId="0" borderId="25" xfId="11" applyNumberFormat="1" applyFont="1" applyFill="1" applyBorder="1" applyAlignment="1">
      <alignment horizontal="center" vertical="center"/>
    </xf>
    <xf numFmtId="41" fontId="3" fillId="0" borderId="1" xfId="2" applyFont="1" applyFill="1" applyBorder="1" applyAlignment="1">
      <alignment horizontal="center" vertical="center" wrapText="1"/>
    </xf>
    <xf numFmtId="3" fontId="3" fillId="0" borderId="1" xfId="0" applyNumberFormat="1" applyFont="1" applyFill="1" applyBorder="1" applyAlignment="1">
      <alignment horizontal="justify" vertical="center" wrapText="1"/>
    </xf>
    <xf numFmtId="41" fontId="15" fillId="0" borderId="1" xfId="2" applyFont="1" applyFill="1" applyBorder="1" applyAlignment="1">
      <alignment horizontal="right" vertical="center" wrapText="1"/>
    </xf>
    <xf numFmtId="1" fontId="3" fillId="0" borderId="1" xfId="0" applyNumberFormat="1" applyFont="1" applyFill="1" applyBorder="1" applyAlignment="1">
      <alignment horizontal="center" vertical="center" wrapText="1"/>
    </xf>
    <xf numFmtId="3" fontId="3" fillId="0" borderId="18" xfId="11" applyNumberFormat="1" applyFont="1" applyFill="1" applyBorder="1" applyAlignment="1">
      <alignment horizontal="center" vertical="center"/>
    </xf>
    <xf numFmtId="9" fontId="3" fillId="0" borderId="1" xfId="3" applyFont="1" applyFill="1" applyBorder="1" applyAlignment="1">
      <alignment horizontal="center" vertical="center" wrapText="1"/>
    </xf>
    <xf numFmtId="3" fontId="3" fillId="0" borderId="1" xfId="11"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41" fontId="3" fillId="0" borderId="1" xfId="2" applyFont="1" applyFill="1" applyBorder="1" applyAlignment="1">
      <alignment horizontal="center" vertical="center"/>
    </xf>
    <xf numFmtId="0" fontId="15" fillId="0" borderId="3" xfId="9" applyFont="1" applyFill="1" applyBorder="1" applyAlignment="1">
      <alignment horizontal="justify" vertical="top" wrapText="1"/>
    </xf>
    <xf numFmtId="3" fontId="3" fillId="0" borderId="15" xfId="11" applyNumberFormat="1" applyFont="1" applyFill="1" applyBorder="1" applyAlignment="1">
      <alignment horizontal="center" vertical="center"/>
    </xf>
    <xf numFmtId="0" fontId="15" fillId="0" borderId="40" xfId="9" applyFont="1" applyFill="1" applyBorder="1" applyAlignment="1">
      <alignment horizontal="justify" vertical="top" wrapText="1"/>
    </xf>
    <xf numFmtId="0" fontId="17" fillId="6" borderId="38" xfId="0" applyFont="1" applyFill="1" applyBorder="1" applyAlignment="1">
      <alignment vertical="center"/>
    </xf>
    <xf numFmtId="0" fontId="17" fillId="6" borderId="35" xfId="0" applyFont="1" applyFill="1" applyBorder="1" applyAlignment="1">
      <alignment vertical="center"/>
    </xf>
    <xf numFmtId="0" fontId="17" fillId="6" borderId="0" xfId="0" applyFont="1" applyFill="1" applyBorder="1" applyAlignment="1">
      <alignment vertical="center"/>
    </xf>
    <xf numFmtId="0" fontId="17" fillId="6" borderId="0" xfId="0" applyFont="1" applyFill="1" applyAlignment="1">
      <alignment vertical="center"/>
    </xf>
    <xf numFmtId="0" fontId="17" fillId="6" borderId="2" xfId="0" applyFont="1" applyFill="1" applyBorder="1" applyAlignment="1">
      <alignment vertical="center"/>
    </xf>
    <xf numFmtId="0" fontId="17" fillId="6" borderId="2" xfId="0" applyFont="1" applyFill="1" applyBorder="1" applyAlignment="1">
      <alignment horizontal="justify" vertical="center"/>
    </xf>
    <xf numFmtId="0" fontId="17" fillId="6" borderId="4" xfId="0" applyFont="1" applyFill="1" applyBorder="1" applyAlignment="1">
      <alignment horizontal="justify" vertical="center"/>
    </xf>
    <xf numFmtId="0" fontId="17" fillId="6" borderId="4" xfId="0" applyFont="1" applyFill="1" applyBorder="1" applyAlignment="1">
      <alignment vertical="center"/>
    </xf>
    <xf numFmtId="172" fontId="17" fillId="6" borderId="2" xfId="0" applyNumberFormat="1" applyFont="1" applyFill="1" applyBorder="1" applyAlignment="1">
      <alignment vertical="center"/>
    </xf>
    <xf numFmtId="172" fontId="17" fillId="6" borderId="4" xfId="0" applyNumberFormat="1" applyFont="1" applyFill="1" applyBorder="1" applyAlignment="1">
      <alignment vertical="center"/>
    </xf>
    <xf numFmtId="0" fontId="15" fillId="6" borderId="35" xfId="0" applyFont="1" applyFill="1" applyBorder="1" applyAlignment="1">
      <alignment vertical="center"/>
    </xf>
    <xf numFmtId="0" fontId="15" fillId="6" borderId="4" xfId="0" applyFont="1" applyFill="1" applyBorder="1" applyAlignment="1">
      <alignment vertical="center"/>
    </xf>
    <xf numFmtId="0" fontId="15" fillId="6" borderId="5" xfId="0" applyFont="1" applyFill="1" applyBorder="1" applyAlignment="1">
      <alignment vertical="center"/>
    </xf>
    <xf numFmtId="169" fontId="3" fillId="7" borderId="0" xfId="0" applyNumberFormat="1" applyFont="1" applyFill="1" applyAlignment="1">
      <alignment horizontal="center" vertical="center"/>
    </xf>
    <xf numFmtId="0" fontId="17" fillId="8" borderId="4" xfId="0" applyFont="1" applyFill="1" applyBorder="1" applyAlignment="1">
      <alignment vertical="center"/>
    </xf>
    <xf numFmtId="0" fontId="17" fillId="8" borderId="2" xfId="0" applyFont="1" applyFill="1" applyBorder="1" applyAlignment="1">
      <alignment horizontal="justify" vertical="center"/>
    </xf>
    <xf numFmtId="41" fontId="17" fillId="8" borderId="2" xfId="2" applyFont="1" applyFill="1" applyBorder="1" applyAlignment="1">
      <alignment horizontal="center" vertical="center"/>
    </xf>
    <xf numFmtId="3" fontId="17" fillId="8" borderId="2" xfId="0" applyNumberFormat="1" applyFont="1" applyFill="1" applyBorder="1" applyAlignment="1">
      <alignment horizontal="center" vertical="center"/>
    </xf>
    <xf numFmtId="1" fontId="17" fillId="8" borderId="2" xfId="0" applyNumberFormat="1" applyFont="1" applyFill="1" applyBorder="1" applyAlignment="1">
      <alignment horizontal="center" vertical="center"/>
    </xf>
    <xf numFmtId="0" fontId="15" fillId="8" borderId="2" xfId="0" applyFont="1" applyFill="1" applyBorder="1" applyAlignment="1">
      <alignment horizontal="left" vertical="center"/>
    </xf>
    <xf numFmtId="0" fontId="17" fillId="8" borderId="2" xfId="0" applyFont="1" applyFill="1" applyBorder="1" applyAlignment="1">
      <alignment vertical="center"/>
    </xf>
    <xf numFmtId="172" fontId="17" fillId="8" borderId="2" xfId="0" applyNumberFormat="1" applyFont="1" applyFill="1" applyBorder="1" applyAlignment="1">
      <alignment vertical="center"/>
    </xf>
    <xf numFmtId="172" fontId="17" fillId="8" borderId="0" xfId="0" applyNumberFormat="1" applyFont="1" applyFill="1" applyBorder="1" applyAlignment="1">
      <alignment vertical="center"/>
    </xf>
    <xf numFmtId="0" fontId="15" fillId="8" borderId="35" xfId="0" applyFont="1" applyFill="1" applyBorder="1" applyAlignment="1">
      <alignment vertical="center"/>
    </xf>
    <xf numFmtId="0" fontId="15" fillId="8" borderId="4" xfId="0" applyFont="1" applyFill="1" applyBorder="1" applyAlignment="1">
      <alignment vertical="center"/>
    </xf>
    <xf numFmtId="0" fontId="15" fillId="8" borderId="5" xfId="0" applyFont="1" applyFill="1" applyBorder="1" applyAlignment="1">
      <alignment vertical="center"/>
    </xf>
    <xf numFmtId="0" fontId="17" fillId="10" borderId="3" xfId="0" applyFont="1" applyFill="1" applyBorder="1" applyAlignment="1">
      <alignment horizontal="left" vertical="center"/>
    </xf>
    <xf numFmtId="0" fontId="17" fillId="10" borderId="4" xfId="0" applyFont="1" applyFill="1" applyBorder="1" applyAlignment="1">
      <alignment vertical="center"/>
    </xf>
    <xf numFmtId="0" fontId="17" fillId="10" borderId="4" xfId="0" applyFont="1" applyFill="1" applyBorder="1" applyAlignment="1">
      <alignment horizontal="justify" vertical="center"/>
    </xf>
    <xf numFmtId="41" fontId="17" fillId="10" borderId="4" xfId="2" applyFont="1" applyFill="1" applyBorder="1" applyAlignment="1">
      <alignment horizontal="center" vertical="center"/>
    </xf>
    <xf numFmtId="3" fontId="17" fillId="10" borderId="35" xfId="0" applyNumberFormat="1" applyFont="1" applyFill="1" applyBorder="1" applyAlignment="1">
      <alignment horizontal="center" vertical="center"/>
    </xf>
    <xf numFmtId="1" fontId="17" fillId="10" borderId="4" xfId="0" applyNumberFormat="1" applyFont="1" applyFill="1" applyBorder="1" applyAlignment="1">
      <alignment horizontal="center" vertical="center"/>
    </xf>
    <xf numFmtId="0" fontId="15" fillId="10" borderId="4" xfId="0" applyFont="1" applyFill="1" applyBorder="1" applyAlignment="1">
      <alignment horizontal="left" vertical="center"/>
    </xf>
    <xf numFmtId="172" fontId="17" fillId="10" borderId="4" xfId="0" applyNumberFormat="1" applyFont="1" applyFill="1" applyBorder="1" applyAlignment="1">
      <alignment vertical="center"/>
    </xf>
    <xf numFmtId="172" fontId="17" fillId="10" borderId="35" xfId="0" applyNumberFormat="1" applyFont="1" applyFill="1" applyBorder="1" applyAlignment="1">
      <alignment vertical="center"/>
    </xf>
    <xf numFmtId="0" fontId="15" fillId="10" borderId="35" xfId="0" applyFont="1" applyFill="1" applyBorder="1" applyAlignment="1">
      <alignment vertical="center"/>
    </xf>
    <xf numFmtId="0" fontId="15" fillId="10" borderId="4" xfId="0" applyFont="1" applyFill="1" applyBorder="1" applyAlignment="1">
      <alignment vertical="center"/>
    </xf>
    <xf numFmtId="0" fontId="15" fillId="10" borderId="5" xfId="0" applyFont="1" applyFill="1" applyBorder="1" applyAlignment="1">
      <alignment vertical="center"/>
    </xf>
    <xf numFmtId="0" fontId="15" fillId="0" borderId="25" xfId="0" applyFont="1" applyFill="1" applyBorder="1" applyAlignment="1">
      <alignment horizontal="center" vertical="center" wrapText="1"/>
    </xf>
    <xf numFmtId="0" fontId="15" fillId="7" borderId="1" xfId="0" applyFont="1" applyFill="1" applyBorder="1" applyAlignment="1">
      <alignment horizontal="justify" vertical="center" wrapText="1"/>
    </xf>
    <xf numFmtId="41" fontId="15" fillId="7" borderId="1" xfId="2" applyFont="1" applyFill="1" applyBorder="1" applyAlignment="1">
      <alignment horizontal="center" vertical="center" wrapText="1"/>
    </xf>
    <xf numFmtId="0" fontId="15" fillId="7" borderId="1" xfId="12" applyNumberFormat="1" applyFont="1" applyFill="1" applyBorder="1" applyAlignment="1">
      <alignment horizontal="center" vertical="center" wrapText="1"/>
    </xf>
    <xf numFmtId="176" fontId="15" fillId="7" borderId="1" xfId="0" applyNumberFormat="1" applyFont="1" applyFill="1" applyBorder="1" applyAlignment="1">
      <alignment horizontal="center" vertical="center" wrapText="1"/>
    </xf>
    <xf numFmtId="3" fontId="3" fillId="0" borderId="25" xfId="0" applyNumberFormat="1" applyFont="1" applyBorder="1" applyAlignment="1">
      <alignment horizontal="center" vertical="center"/>
    </xf>
    <xf numFmtId="0" fontId="15" fillId="0" borderId="15" xfId="0" applyFont="1" applyFill="1" applyBorder="1" applyAlignment="1">
      <alignment horizontal="center" vertical="center" wrapText="1"/>
    </xf>
    <xf numFmtId="0" fontId="20" fillId="7" borderId="1" xfId="11" applyFont="1" applyFill="1" applyBorder="1" applyAlignment="1">
      <alignment horizontal="justify" vertical="center" wrapText="1"/>
    </xf>
    <xf numFmtId="0" fontId="15" fillId="0" borderId="1" xfId="12"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0" fontId="20" fillId="0" borderId="1" xfId="11" applyFont="1" applyFill="1" applyBorder="1" applyAlignment="1">
      <alignment horizontal="justify" vertical="center" wrapText="1"/>
    </xf>
    <xf numFmtId="176" fontId="15" fillId="0" borderId="1" xfId="0" applyNumberFormat="1" applyFont="1" applyFill="1" applyBorder="1" applyAlignment="1">
      <alignment horizontal="center" vertical="center" wrapText="1"/>
    </xf>
    <xf numFmtId="41" fontId="15" fillId="0" borderId="1" xfId="2" applyFont="1" applyFill="1" applyBorder="1" applyAlignment="1">
      <alignment horizontal="right" vertical="center"/>
    </xf>
    <xf numFmtId="0" fontId="15" fillId="0" borderId="1" xfId="11" applyFont="1" applyFill="1" applyBorder="1" applyAlignment="1">
      <alignment horizontal="justify" vertical="center" wrapText="1"/>
    </xf>
    <xf numFmtId="169" fontId="3" fillId="0" borderId="0" xfId="0" applyNumberFormat="1" applyFont="1" applyFill="1" applyAlignment="1">
      <alignment horizontal="left" vertical="center"/>
    </xf>
    <xf numFmtId="0" fontId="15" fillId="7" borderId="16" xfId="0" applyFont="1" applyFill="1" applyBorder="1" applyAlignment="1">
      <alignment vertical="center" wrapText="1"/>
    </xf>
    <xf numFmtId="0" fontId="15" fillId="0" borderId="0" xfId="0" applyFont="1" applyFill="1" applyAlignment="1">
      <alignment vertical="center" wrapText="1"/>
    </xf>
    <xf numFmtId="0" fontId="15" fillId="0" borderId="17" xfId="0" applyFont="1" applyFill="1" applyBorder="1" applyAlignment="1">
      <alignment vertical="center" wrapText="1"/>
    </xf>
    <xf numFmtId="0" fontId="17" fillId="0" borderId="1" xfId="0" applyFont="1" applyFill="1" applyBorder="1" applyAlignment="1">
      <alignment horizontal="left" vertical="center"/>
    </xf>
    <xf numFmtId="0" fontId="17" fillId="0" borderId="3" xfId="0" applyFont="1" applyFill="1" applyBorder="1" applyAlignment="1">
      <alignment vertical="center"/>
    </xf>
    <xf numFmtId="0" fontId="17" fillId="0" borderId="4" xfId="0" applyFont="1" applyFill="1" applyBorder="1" applyAlignment="1">
      <alignment vertical="center"/>
    </xf>
    <xf numFmtId="0" fontId="17" fillId="0" borderId="4" xfId="0" applyFont="1" applyFill="1" applyBorder="1" applyAlignment="1">
      <alignment horizontal="center" vertical="center"/>
    </xf>
    <xf numFmtId="41" fontId="17" fillId="0" borderId="4" xfId="2" applyFont="1" applyFill="1" applyBorder="1" applyAlignment="1">
      <alignment vertical="center"/>
    </xf>
    <xf numFmtId="0" fontId="17" fillId="10" borderId="1" xfId="0" applyFont="1" applyFill="1" applyBorder="1" applyAlignment="1">
      <alignment vertical="center"/>
    </xf>
    <xf numFmtId="0" fontId="17" fillId="10" borderId="1" xfId="0" applyFont="1" applyFill="1" applyBorder="1" applyAlignment="1">
      <alignment horizontal="justify" vertical="center"/>
    </xf>
    <xf numFmtId="41" fontId="17" fillId="10" borderId="1" xfId="2" applyFont="1" applyFill="1" applyBorder="1" applyAlignment="1">
      <alignment vertical="center"/>
    </xf>
    <xf numFmtId="0" fontId="17" fillId="10" borderId="35" xfId="0" applyFont="1" applyFill="1" applyBorder="1" applyAlignment="1">
      <alignment vertical="center"/>
    </xf>
    <xf numFmtId="0" fontId="17" fillId="10" borderId="0" xfId="0" applyFont="1" applyFill="1" applyAlignment="1">
      <alignment vertical="center"/>
    </xf>
    <xf numFmtId="0" fontId="17" fillId="10" borderId="2" xfId="0" applyFont="1" applyFill="1" applyBorder="1" applyAlignment="1">
      <alignment vertical="center"/>
    </xf>
    <xf numFmtId="0" fontId="15" fillId="10" borderId="2" xfId="0" applyFont="1" applyFill="1" applyBorder="1" applyAlignment="1">
      <alignment vertical="center"/>
    </xf>
    <xf numFmtId="0" fontId="17" fillId="10" borderId="5" xfId="0" applyFont="1" applyFill="1" applyBorder="1" applyAlignment="1">
      <alignment vertical="center"/>
    </xf>
    <xf numFmtId="0" fontId="15" fillId="0" borderId="16" xfId="0" applyFont="1" applyFill="1" applyBorder="1" applyAlignment="1">
      <alignment vertical="center" wrapText="1"/>
    </xf>
    <xf numFmtId="41" fontId="15" fillId="0" borderId="1" xfId="2" applyFont="1" applyFill="1" applyBorder="1" applyAlignment="1">
      <alignment vertical="center" wrapText="1"/>
    </xf>
    <xf numFmtId="49" fontId="15" fillId="0" borderId="5"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 fontId="3" fillId="0" borderId="25" xfId="14" applyNumberFormat="1" applyFont="1" applyFill="1" applyBorder="1" applyAlignment="1">
      <alignment horizontal="center" vertical="center"/>
    </xf>
    <xf numFmtId="3" fontId="3" fillId="0" borderId="15" xfId="14" applyNumberFormat="1" applyFont="1" applyFill="1" applyBorder="1" applyAlignment="1">
      <alignment horizontal="center" vertical="center"/>
    </xf>
    <xf numFmtId="2" fontId="15" fillId="0" borderId="1" xfId="9" applyNumberFormat="1" applyFont="1" applyFill="1" applyBorder="1" applyAlignment="1">
      <alignment horizontal="justify" vertical="center" wrapText="1"/>
    </xf>
    <xf numFmtId="0" fontId="17" fillId="0" borderId="25" xfId="0" applyFont="1" applyFill="1" applyBorder="1" applyAlignment="1">
      <alignment horizontal="center" vertical="center"/>
    </xf>
    <xf numFmtId="0" fontId="15" fillId="0" borderId="25" xfId="0" applyFont="1" applyFill="1" applyBorder="1" applyAlignment="1">
      <alignment horizontal="left" vertical="center" wrapText="1"/>
    </xf>
    <xf numFmtId="0" fontId="15" fillId="0" borderId="25" xfId="0" applyFont="1" applyFill="1" applyBorder="1" applyAlignment="1">
      <alignment horizontal="justify" vertical="center" wrapText="1"/>
    </xf>
    <xf numFmtId="10" fontId="15" fillId="0" borderId="25" xfId="3" applyNumberFormat="1" applyFont="1" applyFill="1" applyBorder="1" applyAlignment="1">
      <alignment horizontal="center" vertical="center" wrapText="1"/>
    </xf>
    <xf numFmtId="0" fontId="15" fillId="0" borderId="25" xfId="9" applyFont="1" applyFill="1" applyBorder="1" applyAlignment="1">
      <alignment horizontal="justify" vertical="center" wrapText="1"/>
    </xf>
    <xf numFmtId="41" fontId="15" fillId="0" borderId="25" xfId="2" applyFont="1" applyFill="1" applyBorder="1" applyAlignment="1">
      <alignment horizontal="center" vertical="center" wrapText="1"/>
    </xf>
    <xf numFmtId="49" fontId="15" fillId="0" borderId="30" xfId="0" applyNumberFormat="1" applyFont="1" applyFill="1" applyBorder="1" applyAlignment="1">
      <alignment horizontal="center" vertical="center" wrapText="1"/>
    </xf>
    <xf numFmtId="3" fontId="15" fillId="0" borderId="25" xfId="0" applyNumberFormat="1"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1" fontId="17" fillId="7" borderId="21" xfId="0" applyNumberFormat="1" applyFont="1" applyFill="1" applyBorder="1" applyAlignment="1">
      <alignment vertical="center" wrapText="1"/>
    </xf>
    <xf numFmtId="0" fontId="15" fillId="0" borderId="21" xfId="0" applyFont="1" applyFill="1" applyBorder="1" applyAlignment="1">
      <alignment vertical="center" wrapText="1"/>
    </xf>
    <xf numFmtId="0" fontId="17"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0" fontId="17" fillId="0" borderId="21" xfId="0" applyFont="1" applyFill="1" applyBorder="1" applyAlignment="1">
      <alignment horizontal="justify" vertical="center"/>
    </xf>
    <xf numFmtId="10" fontId="17" fillId="0" borderId="22" xfId="12" applyNumberFormat="1" applyFont="1" applyFill="1" applyBorder="1" applyAlignment="1">
      <alignment horizontal="center" vertical="center"/>
    </xf>
    <xf numFmtId="41" fontId="17" fillId="0" borderId="20" xfId="2"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41" fontId="17" fillId="0" borderId="23" xfId="2" applyFont="1" applyFill="1" applyBorder="1" applyAlignment="1">
      <alignment horizontal="center" vertical="center"/>
    </xf>
    <xf numFmtId="176" fontId="17" fillId="0" borderId="21"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21" xfId="0" applyFont="1" applyBorder="1" applyAlignment="1">
      <alignment vertical="center"/>
    </xf>
    <xf numFmtId="0" fontId="15" fillId="0" borderId="21" xfId="0" applyFont="1" applyBorder="1" applyAlignment="1">
      <alignment horizontal="center" vertical="center"/>
    </xf>
    <xf numFmtId="41" fontId="17" fillId="0" borderId="21" xfId="2" applyFont="1" applyFill="1" applyBorder="1" applyAlignment="1">
      <alignment horizontal="center" vertical="center"/>
    </xf>
    <xf numFmtId="9" fontId="17" fillId="0" borderId="23" xfId="3" applyFont="1" applyBorder="1" applyAlignment="1">
      <alignment horizontal="center" vertical="center"/>
    </xf>
    <xf numFmtId="0" fontId="15" fillId="0" borderId="22" xfId="0" applyFont="1" applyBorder="1" applyAlignment="1">
      <alignment horizontal="center" vertical="center"/>
    </xf>
    <xf numFmtId="1" fontId="3" fillId="0" borderId="0" xfId="0" applyNumberFormat="1" applyFont="1"/>
    <xf numFmtId="0" fontId="3" fillId="0" borderId="0" xfId="0" applyFont="1" applyFill="1" applyAlignment="1">
      <alignment horizontal="center" vertical="center" wrapText="1"/>
    </xf>
    <xf numFmtId="169" fontId="3" fillId="0" borderId="0" xfId="0" applyNumberFormat="1" applyFont="1" applyFill="1" applyAlignment="1">
      <alignment vertical="center"/>
    </xf>
    <xf numFmtId="0" fontId="3" fillId="0" borderId="0" xfId="0" applyFont="1" applyAlignment="1">
      <alignment vertical="center" wrapText="1"/>
    </xf>
    <xf numFmtId="175" fontId="3" fillId="7" borderId="0" xfId="12" applyFont="1" applyFill="1" applyAlignment="1">
      <alignment horizontal="center" vertical="center"/>
    </xf>
    <xf numFmtId="0" fontId="3" fillId="0" borderId="0" xfId="0" applyFont="1" applyAlignment="1">
      <alignment horizontal="center"/>
    </xf>
    <xf numFmtId="0" fontId="3" fillId="0" borderId="31" xfId="0" applyFont="1" applyBorder="1" applyAlignment="1">
      <alignment horizontal="justify" vertical="center" wrapText="1"/>
    </xf>
    <xf numFmtId="0" fontId="3" fillId="0" borderId="0" xfId="0" applyFont="1" applyAlignment="1">
      <alignment horizontal="justify"/>
    </xf>
    <xf numFmtId="173" fontId="3" fillId="0" borderId="1" xfId="8" applyFont="1" applyFill="1" applyBorder="1" applyAlignment="1">
      <alignment horizontal="center" vertical="center" wrapText="1"/>
    </xf>
    <xf numFmtId="0" fontId="3" fillId="0" borderId="0" xfId="0" applyFont="1" applyAlignment="1">
      <alignment horizontal="justify" vertical="center" wrapText="1"/>
    </xf>
    <xf numFmtId="0" fontId="3" fillId="0" borderId="16"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18" xfId="0" applyFont="1" applyBorder="1" applyAlignment="1">
      <alignment horizontal="justify" vertical="center" wrapText="1"/>
    </xf>
    <xf numFmtId="173" fontId="3" fillId="0" borderId="1" xfId="8" applyFont="1" applyFill="1" applyBorder="1" applyAlignment="1">
      <alignment horizontal="center" vertical="center"/>
    </xf>
    <xf numFmtId="0" fontId="2" fillId="10" borderId="4" xfId="0" applyFont="1" applyFill="1" applyBorder="1" applyAlignment="1">
      <alignment horizontal="left" vertical="center"/>
    </xf>
    <xf numFmtId="0" fontId="2" fillId="8" borderId="4" xfId="0" applyFont="1" applyFill="1" applyBorder="1" applyAlignment="1">
      <alignment horizontal="left" vertical="center"/>
    </xf>
    <xf numFmtId="0" fontId="15" fillId="7"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2" fillId="0" borderId="35"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4" fillId="0" borderId="8" xfId="0" applyFont="1" applyBorder="1" applyAlignment="1">
      <alignment horizontal="center" vertical="center" wrapText="1"/>
    </xf>
    <xf numFmtId="0" fontId="15" fillId="0" borderId="8" xfId="0" applyFont="1" applyBorder="1" applyAlignment="1">
      <alignment horizontal="justify" vertical="center" wrapText="1"/>
    </xf>
    <xf numFmtId="0" fontId="15" fillId="0" borderId="15" xfId="0" applyFont="1" applyBorder="1" applyAlignment="1">
      <alignment horizontal="justify" vertical="center" wrapText="1"/>
    </xf>
    <xf numFmtId="0" fontId="2" fillId="3" borderId="1" xfId="0" applyFont="1" applyFill="1" applyBorder="1" applyAlignment="1">
      <alignment vertical="center" wrapText="1"/>
    </xf>
    <xf numFmtId="0" fontId="13" fillId="3" borderId="1" xfId="0" applyFont="1" applyFill="1" applyBorder="1" applyAlignment="1">
      <alignment vertical="center" wrapText="1"/>
    </xf>
    <xf numFmtId="0" fontId="13" fillId="6" borderId="4" xfId="0" applyFont="1" applyFill="1" applyBorder="1" applyAlignment="1">
      <alignment vertical="center" wrapText="1"/>
    </xf>
    <xf numFmtId="0" fontId="13" fillId="8" borderId="4" xfId="0" applyFont="1" applyFill="1" applyBorder="1" applyAlignment="1">
      <alignment vertical="center" wrapText="1"/>
    </xf>
    <xf numFmtId="0" fontId="13" fillId="9" borderId="4" xfId="0" applyFont="1" applyFill="1" applyBorder="1" applyAlignment="1">
      <alignment vertical="center" wrapText="1"/>
    </xf>
    <xf numFmtId="0" fontId="3" fillId="7" borderId="1" xfId="0" applyFont="1" applyFill="1" applyBorder="1" applyAlignment="1">
      <alignment horizontal="center" vertical="center" wrapText="1"/>
    </xf>
    <xf numFmtId="9" fontId="15" fillId="7" borderId="1" xfId="7" applyFont="1" applyFill="1" applyBorder="1" applyAlignment="1">
      <alignment horizontal="center" vertical="center" wrapText="1"/>
    </xf>
    <xf numFmtId="0" fontId="3" fillId="7" borderId="1" xfId="0" applyFont="1" applyFill="1" applyBorder="1" applyAlignment="1">
      <alignment horizontal="justify" vertical="center" wrapText="1"/>
    </xf>
    <xf numFmtId="2" fontId="3" fillId="0" borderId="1" xfId="0" applyNumberFormat="1" applyFont="1" applyBorder="1" applyAlignment="1">
      <alignment horizontal="justify" vertical="center" wrapText="1"/>
    </xf>
    <xf numFmtId="9" fontId="3" fillId="7" borderId="1" xfId="7" applyFont="1" applyFill="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17" fillId="0" borderId="22" xfId="0" applyFont="1" applyBorder="1" applyAlignment="1">
      <alignment vertical="center"/>
    </xf>
    <xf numFmtId="41" fontId="17" fillId="0" borderId="23" xfId="2"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horizontal="justify" vertical="center"/>
    </xf>
    <xf numFmtId="169" fontId="17" fillId="0" borderId="20" xfId="0" applyNumberFormat="1" applyFont="1" applyFill="1" applyBorder="1" applyAlignment="1">
      <alignment vertical="center"/>
    </xf>
    <xf numFmtId="0" fontId="2" fillId="7" borderId="21" xfId="0" applyFont="1" applyFill="1" applyBorder="1" applyAlignment="1">
      <alignment horizontal="justify" vertical="center"/>
    </xf>
    <xf numFmtId="0" fontId="2" fillId="0" borderId="21" xfId="0" applyFont="1" applyFill="1" applyBorder="1" applyAlignment="1">
      <alignment horizontal="right" vertical="center"/>
    </xf>
    <xf numFmtId="168" fontId="2" fillId="0" borderId="21" xfId="0" applyNumberFormat="1" applyFont="1" applyBorder="1" applyAlignment="1">
      <alignment horizontal="center" vertical="center"/>
    </xf>
    <xf numFmtId="0" fontId="2" fillId="0" borderId="22" xfId="0" applyFont="1" applyBorder="1" applyAlignment="1">
      <alignment horizontal="left" vertical="center"/>
    </xf>
    <xf numFmtId="0" fontId="2" fillId="0" borderId="0" xfId="0" applyFont="1" applyAlignment="1">
      <alignment vertical="center"/>
    </xf>
    <xf numFmtId="3" fontId="3" fillId="0" borderId="0" xfId="0" applyNumberFormat="1" applyFont="1" applyFill="1"/>
    <xf numFmtId="0" fontId="18" fillId="0" borderId="0" xfId="0" applyFont="1" applyFill="1"/>
    <xf numFmtId="169" fontId="3" fillId="0" borderId="0" xfId="0" applyNumberFormat="1" applyFont="1"/>
    <xf numFmtId="173" fontId="18" fillId="0" borderId="0" xfId="0" applyNumberFormat="1" applyFont="1"/>
    <xf numFmtId="3" fontId="2" fillId="7" borderId="35" xfId="0" applyNumberFormat="1" applyFont="1" applyFill="1" applyBorder="1" applyAlignment="1">
      <alignment vertical="center"/>
    </xf>
    <xf numFmtId="0" fontId="2" fillId="0" borderId="35" xfId="0" applyFont="1" applyBorder="1"/>
    <xf numFmtId="0" fontId="17" fillId="14" borderId="1" xfId="0" applyFont="1" applyFill="1" applyBorder="1" applyAlignment="1">
      <alignment horizontal="center" vertical="center" wrapText="1"/>
    </xf>
    <xf numFmtId="14" fontId="17" fillId="14" borderId="1" xfId="0" applyNumberFormat="1"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4" xfId="0" applyFont="1" applyFill="1" applyBorder="1" applyAlignment="1">
      <alignment vertical="center" wrapText="1"/>
    </xf>
    <xf numFmtId="14" fontId="17" fillId="6" borderId="4" xfId="0" applyNumberFormat="1" applyFont="1" applyFill="1" applyBorder="1" applyAlignment="1">
      <alignment vertical="center" wrapText="1"/>
    </xf>
    <xf numFmtId="0" fontId="17" fillId="6" borderId="5" xfId="0" applyFont="1" applyFill="1" applyBorder="1" applyAlignment="1">
      <alignment vertical="center" wrapText="1"/>
    </xf>
    <xf numFmtId="0" fontId="17" fillId="7" borderId="8" xfId="0" applyFont="1" applyFill="1" applyBorder="1" applyAlignment="1">
      <alignment horizontal="center" vertical="center" wrapText="1"/>
    </xf>
    <xf numFmtId="0" fontId="17" fillId="7" borderId="8" xfId="0" applyFont="1" applyFill="1" applyBorder="1" applyAlignment="1">
      <alignment vertical="center" wrapText="1"/>
    </xf>
    <xf numFmtId="0" fontId="17" fillId="15" borderId="30" xfId="0" applyFont="1" applyFill="1" applyBorder="1" applyAlignment="1">
      <alignment horizontal="center" vertical="center" wrapText="1"/>
    </xf>
    <xf numFmtId="0" fontId="17" fillId="15" borderId="4" xfId="0" applyFont="1" applyFill="1" applyBorder="1" applyAlignment="1">
      <alignment vertical="center" wrapText="1"/>
    </xf>
    <xf numFmtId="0" fontId="17" fillId="15" borderId="5" xfId="0" applyFont="1" applyFill="1" applyBorder="1" applyAlignment="1">
      <alignment vertical="center" wrapText="1"/>
    </xf>
    <xf numFmtId="0" fontId="17" fillId="7" borderId="15" xfId="0" applyFont="1" applyFill="1" applyBorder="1" applyAlignment="1">
      <alignment horizontal="center" vertical="center" wrapText="1"/>
    </xf>
    <xf numFmtId="0" fontId="17" fillId="7" borderId="15" xfId="0" applyFont="1" applyFill="1" applyBorder="1" applyAlignment="1">
      <alignment vertical="center" wrapText="1"/>
    </xf>
    <xf numFmtId="0" fontId="17" fillId="10" borderId="35" xfId="0" applyFont="1" applyFill="1" applyBorder="1" applyAlignment="1">
      <alignment vertical="center" wrapText="1"/>
    </xf>
    <xf numFmtId="0" fontId="17" fillId="10" borderId="30" xfId="0" applyFont="1" applyFill="1" applyBorder="1" applyAlignment="1">
      <alignment vertical="center" wrapText="1"/>
    </xf>
    <xf numFmtId="49" fontId="15" fillId="7" borderId="15" xfId="0" applyNumberFormat="1" applyFont="1" applyFill="1" applyBorder="1" applyAlignment="1">
      <alignment vertical="center" wrapText="1"/>
    </xf>
    <xf numFmtId="0" fontId="15" fillId="7" borderId="15" xfId="0" applyFont="1" applyFill="1" applyBorder="1" applyAlignment="1">
      <alignment vertical="center" wrapText="1"/>
    </xf>
    <xf numFmtId="0" fontId="17" fillId="10" borderId="1" xfId="0" applyFont="1" applyFill="1" applyBorder="1" applyAlignment="1">
      <alignment horizontal="left" vertical="center" wrapText="1"/>
    </xf>
    <xf numFmtId="0" fontId="17" fillId="10" borderId="1" xfId="0" applyFont="1" applyFill="1" applyBorder="1" applyAlignment="1">
      <alignment horizontal="justify" vertical="center" wrapText="1"/>
    </xf>
    <xf numFmtId="41" fontId="17" fillId="10" borderId="1" xfId="2" applyFont="1" applyFill="1" applyBorder="1" applyAlignment="1">
      <alignment horizontal="left" vertical="center" wrapText="1"/>
    </xf>
    <xf numFmtId="14" fontId="21" fillId="10" borderId="1" xfId="0" applyNumberFormat="1" applyFont="1" applyFill="1" applyBorder="1" applyAlignment="1">
      <alignment horizontal="left" vertical="center" wrapText="1"/>
    </xf>
    <xf numFmtId="0" fontId="21" fillId="10" borderId="1" xfId="0" applyFont="1" applyFill="1" applyBorder="1" applyAlignment="1">
      <alignment horizontal="left" vertical="center" wrapText="1"/>
    </xf>
    <xf numFmtId="49" fontId="15" fillId="7" borderId="15" xfId="0" applyNumberFormat="1" applyFont="1" applyFill="1" applyBorder="1" applyAlignment="1">
      <alignment horizontal="center" vertical="center" wrapText="1"/>
    </xf>
    <xf numFmtId="41" fontId="15" fillId="0" borderId="1" xfId="2" applyFont="1" applyBorder="1" applyAlignment="1">
      <alignment horizontal="center" vertical="center" wrapText="1"/>
    </xf>
    <xf numFmtId="49" fontId="15" fillId="7" borderId="1" xfId="0" applyNumberFormat="1" applyFont="1" applyFill="1" applyBorder="1" applyAlignment="1">
      <alignment horizontal="center" vertical="center" wrapText="1"/>
    </xf>
    <xf numFmtId="178" fontId="15" fillId="7" borderId="1" xfId="0" applyNumberFormat="1" applyFont="1" applyFill="1" applyBorder="1" applyAlignment="1">
      <alignment horizontal="center" vertical="center" wrapText="1"/>
    </xf>
    <xf numFmtId="0" fontId="15" fillId="0" borderId="20" xfId="0" applyFont="1" applyBorder="1"/>
    <xf numFmtId="0" fontId="15" fillId="0" borderId="21" xfId="0" applyFont="1" applyBorder="1"/>
    <xf numFmtId="0" fontId="15" fillId="0" borderId="21" xfId="0" applyFont="1" applyBorder="1" applyAlignment="1">
      <alignment horizontal="center"/>
    </xf>
    <xf numFmtId="179" fontId="15" fillId="0" borderId="21" xfId="0" applyNumberFormat="1" applyFont="1" applyBorder="1"/>
    <xf numFmtId="0" fontId="15" fillId="0" borderId="22" xfId="0" applyFont="1" applyBorder="1" applyAlignment="1">
      <alignment horizontal="justify" vertical="center"/>
    </xf>
    <xf numFmtId="41" fontId="17" fillId="0" borderId="20" xfId="2" applyFont="1" applyBorder="1" applyAlignment="1">
      <alignment vertical="center"/>
    </xf>
    <xf numFmtId="41" fontId="17" fillId="0" borderId="23" xfId="2" applyFont="1" applyBorder="1" applyAlignment="1">
      <alignment vertical="center"/>
    </xf>
    <xf numFmtId="41" fontId="17" fillId="0" borderId="22" xfId="2" applyFont="1" applyBorder="1" applyAlignment="1">
      <alignment vertical="center"/>
    </xf>
    <xf numFmtId="0" fontId="15" fillId="0" borderId="20" xfId="0" applyFont="1" applyBorder="1" applyAlignment="1">
      <alignment horizontal="justify" vertical="center"/>
    </xf>
    <xf numFmtId="0" fontId="15" fillId="0" borderId="21" xfId="0" applyFont="1" applyBorder="1" applyAlignment="1">
      <alignment horizontal="justify" vertical="center"/>
    </xf>
    <xf numFmtId="171" fontId="15" fillId="7" borderId="22" xfId="0" applyNumberFormat="1" applyFont="1" applyFill="1" applyBorder="1" applyAlignment="1">
      <alignment vertical="center"/>
    </xf>
    <xf numFmtId="180" fontId="17" fillId="7" borderId="23" xfId="0" applyNumberFormat="1" applyFont="1" applyFill="1" applyBorder="1" applyAlignment="1">
      <alignment vertical="center"/>
    </xf>
    <xf numFmtId="14" fontId="15" fillId="0" borderId="21" xfId="0" applyNumberFormat="1" applyFont="1" applyBorder="1" applyAlignment="1">
      <alignment horizontal="right" vertical="center"/>
    </xf>
    <xf numFmtId="14" fontId="15" fillId="0" borderId="21" xfId="0" applyNumberFormat="1" applyFont="1" applyBorder="1" applyAlignment="1">
      <alignment horizontal="left"/>
    </xf>
    <xf numFmtId="0" fontId="15" fillId="0" borderId="22" xfId="0" applyFont="1" applyBorder="1"/>
    <xf numFmtId="0" fontId="15" fillId="0" borderId="0" xfId="0" applyFont="1"/>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justify" vertical="center"/>
    </xf>
    <xf numFmtId="179" fontId="15" fillId="0" borderId="0" xfId="0" applyNumberFormat="1" applyFont="1" applyAlignment="1">
      <alignment horizontal="justify" vertical="center"/>
    </xf>
    <xf numFmtId="14" fontId="15" fillId="0" borderId="0" xfId="0" applyNumberFormat="1" applyFont="1" applyAlignment="1">
      <alignment horizontal="right" vertical="center"/>
    </xf>
    <xf numFmtId="14" fontId="15" fillId="0" borderId="0" xfId="0" applyNumberFormat="1" applyFont="1" applyAlignment="1">
      <alignment horizontal="left"/>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171" fontId="2" fillId="3" borderId="18" xfId="6" applyFont="1" applyFill="1" applyBorder="1" applyAlignment="1">
      <alignment horizontal="center" vertical="center" wrapText="1"/>
    </xf>
    <xf numFmtId="3" fontId="17" fillId="4" borderId="4" xfId="0" applyNumberFormat="1" applyFont="1" applyFill="1" applyBorder="1" applyAlignment="1">
      <alignment horizontal="center" vertical="center" wrapText="1"/>
    </xf>
    <xf numFmtId="0" fontId="17"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9" fontId="3" fillId="0" borderId="1" xfId="7" applyFont="1" applyFill="1" applyBorder="1" applyAlignment="1">
      <alignment horizontal="center" vertical="center"/>
    </xf>
    <xf numFmtId="3" fontId="3" fillId="0" borderId="15" xfId="0" applyNumberFormat="1" applyFont="1" applyBorder="1" applyAlignment="1">
      <alignment horizontal="center" vertical="center"/>
    </xf>
    <xf numFmtId="3" fontId="3" fillId="0" borderId="18"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0" fontId="3" fillId="0" borderId="0" xfId="0" applyFont="1" applyAlignment="1">
      <alignment horizontal="justify" vertical="center" wrapText="1"/>
    </xf>
    <xf numFmtId="0" fontId="3" fillId="0" borderId="16" xfId="0" applyFont="1" applyBorder="1" applyAlignment="1">
      <alignment horizontal="justify" vertical="center" wrapText="1"/>
    </xf>
    <xf numFmtId="0" fontId="3" fillId="0" borderId="17" xfId="0" applyFont="1" applyFill="1" applyBorder="1" applyAlignment="1">
      <alignment horizontal="justify" vertical="center" wrapText="1"/>
    </xf>
    <xf numFmtId="1" fontId="3" fillId="0" borderId="16" xfId="0" applyNumberFormat="1" applyFont="1" applyBorder="1" applyAlignment="1">
      <alignment horizontal="justify"/>
    </xf>
    <xf numFmtId="0" fontId="3" fillId="0" borderId="16" xfId="0" applyFont="1" applyBorder="1" applyAlignment="1">
      <alignment horizontal="justify"/>
    </xf>
    <xf numFmtId="0" fontId="3" fillId="0" borderId="0" xfId="0" applyFont="1" applyAlignment="1">
      <alignment horizontal="justify"/>
    </xf>
    <xf numFmtId="0" fontId="3" fillId="0" borderId="1" xfId="0" applyFont="1" applyFill="1" applyBorder="1" applyAlignment="1">
      <alignment horizontal="justify" vertical="center"/>
    </xf>
    <xf numFmtId="0" fontId="2" fillId="3" borderId="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2" fillId="6" borderId="4" xfId="0" applyFont="1" applyFill="1" applyBorder="1" applyAlignment="1">
      <alignment horizontal="center" vertical="center"/>
    </xf>
    <xf numFmtId="0" fontId="15" fillId="0" borderId="1" xfId="0" applyFont="1" applyFill="1" applyBorder="1" applyAlignment="1">
      <alignment horizontal="justify" vertical="center" wrapText="1"/>
    </xf>
    <xf numFmtId="170" fontId="2" fillId="3" borderId="18" xfId="0" applyNumberFormat="1" applyFont="1" applyFill="1" applyBorder="1" applyAlignment="1">
      <alignment horizontal="center" vertical="center" wrapText="1"/>
    </xf>
    <xf numFmtId="169" fontId="2" fillId="3" borderId="18" xfId="0" applyNumberFormat="1" applyFont="1" applyFill="1" applyBorder="1" applyAlignment="1">
      <alignment horizontal="center" vertical="center" wrapText="1"/>
    </xf>
    <xf numFmtId="9" fontId="3" fillId="0" borderId="1" xfId="3"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3" fontId="3" fillId="0" borderId="15" xfId="0" applyNumberFormat="1" applyFont="1" applyBorder="1" applyAlignment="1">
      <alignment horizontal="center" vertical="center" wrapText="1"/>
    </xf>
    <xf numFmtId="0" fontId="15" fillId="0" borderId="1" xfId="9" applyFont="1" applyFill="1" applyBorder="1" applyAlignment="1">
      <alignment horizontal="justify" vertical="center" wrapText="1"/>
    </xf>
    <xf numFmtId="0" fontId="2" fillId="0" borderId="0" xfId="0" applyFont="1" applyBorder="1" applyAlignment="1">
      <alignment horizontal="center" vertical="center" wrapText="1"/>
    </xf>
    <xf numFmtId="0" fontId="3" fillId="7" borderId="1" xfId="0" applyFont="1" applyFill="1" applyBorder="1" applyAlignment="1">
      <alignment horizontal="justify" vertical="center" wrapText="1"/>
    </xf>
    <xf numFmtId="0" fontId="2" fillId="0" borderId="0" xfId="0" applyFont="1" applyAlignment="1">
      <alignment horizontal="center" vertical="center"/>
    </xf>
    <xf numFmtId="0" fontId="21" fillId="0" borderId="1" xfId="0" applyFont="1" applyBorder="1" applyAlignment="1">
      <alignment vertical="center"/>
    </xf>
    <xf numFmtId="0" fontId="17" fillId="0" borderId="1" xfId="0" applyFont="1" applyBorder="1"/>
    <xf numFmtId="0" fontId="21" fillId="0" borderId="1" xfId="0" applyFont="1" applyBorder="1" applyAlignment="1">
      <alignment horizontal="left" vertical="center"/>
    </xf>
    <xf numFmtId="166" fontId="17" fillId="0" borderId="1" xfId="0" applyNumberFormat="1" applyFont="1" applyBorder="1" applyAlignment="1">
      <alignment horizontal="left"/>
    </xf>
    <xf numFmtId="17" fontId="17" fillId="0" borderId="1" xfId="0" applyNumberFormat="1" applyFont="1" applyBorder="1" applyAlignment="1">
      <alignment horizontal="left"/>
    </xf>
    <xf numFmtId="3" fontId="17" fillId="2" borderId="1" xfId="0" applyNumberFormat="1" applyFont="1" applyFill="1" applyBorder="1" applyAlignment="1">
      <alignment horizontal="left" vertical="center" wrapText="1"/>
    </xf>
    <xf numFmtId="164" fontId="2" fillId="0" borderId="4" xfId="17" applyFont="1" applyBorder="1" applyAlignment="1">
      <alignment horizontal="center" vertical="center"/>
    </xf>
    <xf numFmtId="0" fontId="21" fillId="3" borderId="1" xfId="0" applyFont="1" applyFill="1" applyBorder="1" applyAlignment="1">
      <alignment vertical="center" wrapText="1"/>
    </xf>
    <xf numFmtId="0" fontId="21" fillId="3" borderId="1"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2" fillId="6" borderId="13" xfId="0" applyFont="1" applyFill="1" applyBorder="1" applyAlignment="1">
      <alignment horizontal="left" vertical="center"/>
    </xf>
    <xf numFmtId="0" fontId="2" fillId="6" borderId="2" xfId="0" applyFont="1" applyFill="1" applyBorder="1" applyAlignment="1">
      <alignment horizontal="left" vertical="center" wrapText="1"/>
    </xf>
    <xf numFmtId="0" fontId="2" fillId="6" borderId="2" xfId="0" applyFont="1" applyFill="1" applyBorder="1" applyAlignment="1">
      <alignment horizontal="justify" vertical="center" wrapText="1"/>
    </xf>
    <xf numFmtId="0" fontId="2" fillId="6" borderId="2" xfId="0" applyFont="1" applyFill="1" applyBorder="1" applyAlignment="1">
      <alignment horizontal="center" vertical="center" wrapText="1"/>
    </xf>
    <xf numFmtId="1" fontId="17" fillId="16" borderId="1" xfId="0" applyNumberFormat="1" applyFont="1" applyFill="1" applyBorder="1" applyAlignment="1" applyProtection="1">
      <alignment horizontal="center" vertical="center" wrapText="1"/>
      <protection locked="0"/>
    </xf>
    <xf numFmtId="1" fontId="17" fillId="16" borderId="2" xfId="0" applyNumberFormat="1" applyFont="1" applyFill="1" applyBorder="1" applyAlignment="1">
      <alignment horizontal="center" vertical="center" wrapText="1"/>
    </xf>
    <xf numFmtId="164" fontId="17" fillId="16" borderId="2" xfId="17" applyFont="1" applyFill="1" applyBorder="1" applyAlignment="1">
      <alignment horizontal="center" vertical="center" wrapText="1"/>
    </xf>
    <xf numFmtId="1" fontId="17" fillId="16" borderId="1" xfId="0" applyNumberFormat="1" applyFont="1" applyFill="1" applyBorder="1" applyAlignment="1">
      <alignment horizontal="center" vertical="center" wrapText="1"/>
    </xf>
    <xf numFmtId="0" fontId="2" fillId="7" borderId="38" xfId="0" applyFont="1" applyFill="1" applyBorder="1" applyAlignment="1">
      <alignment vertical="center" wrapText="1"/>
    </xf>
    <xf numFmtId="0" fontId="2" fillId="7" borderId="17" xfId="0" applyFont="1" applyFill="1" applyBorder="1" applyAlignment="1">
      <alignment vertical="center" wrapText="1"/>
    </xf>
    <xf numFmtId="0" fontId="2" fillId="8" borderId="1" xfId="0" applyFont="1" applyFill="1" applyBorder="1" applyAlignment="1">
      <alignment horizontal="center" vertical="center" wrapText="1"/>
    </xf>
    <xf numFmtId="0" fontId="2" fillId="8" borderId="3" xfId="0" applyFont="1" applyFill="1" applyBorder="1" applyAlignment="1">
      <alignment vertical="center"/>
    </xf>
    <xf numFmtId="0" fontId="2" fillId="8" borderId="0" xfId="0" applyFont="1" applyFill="1" applyAlignment="1">
      <alignment vertical="center"/>
    </xf>
    <xf numFmtId="0" fontId="2" fillId="8" borderId="0" xfId="0" applyFont="1" applyFill="1" applyAlignment="1">
      <alignment horizontal="justify" vertical="center"/>
    </xf>
    <xf numFmtId="0" fontId="2" fillId="8" borderId="0" xfId="0" applyFont="1" applyFill="1" applyAlignment="1">
      <alignment horizontal="center" vertical="center"/>
    </xf>
    <xf numFmtId="0" fontId="2" fillId="8" borderId="0" xfId="0" applyFont="1" applyFill="1" applyAlignment="1" applyProtection="1">
      <alignment vertical="center"/>
      <protection locked="0"/>
    </xf>
    <xf numFmtId="164" fontId="2" fillId="8" borderId="0" xfId="17" applyFont="1" applyFill="1" applyAlignment="1">
      <alignment vertical="center"/>
    </xf>
    <xf numFmtId="0" fontId="2" fillId="8" borderId="43" xfId="0" applyFont="1" applyFill="1" applyBorder="1" applyAlignment="1">
      <alignment horizontal="justify" vertical="center"/>
    </xf>
    <xf numFmtId="0" fontId="2" fillId="7" borderId="16" xfId="0" applyFont="1" applyFill="1" applyBorder="1" applyAlignment="1">
      <alignment vertical="center" wrapText="1"/>
    </xf>
    <xf numFmtId="0" fontId="2" fillId="10" borderId="1" xfId="0" applyFont="1" applyFill="1" applyBorder="1" applyAlignment="1">
      <alignment horizontal="center" vertical="center" wrapText="1"/>
    </xf>
    <xf numFmtId="0" fontId="17" fillId="10" borderId="4" xfId="0" applyFont="1" applyFill="1" applyBorder="1" applyAlignment="1">
      <alignment horizontal="left" vertical="center"/>
    </xf>
    <xf numFmtId="0" fontId="17" fillId="10" borderId="4" xfId="0" applyFont="1" applyFill="1" applyBorder="1" applyAlignment="1">
      <alignment horizontal="center" vertical="center"/>
    </xf>
    <xf numFmtId="0" fontId="17" fillId="10" borderId="4" xfId="0" applyFont="1" applyFill="1" applyBorder="1" applyAlignment="1" applyProtection="1">
      <alignment horizontal="left" vertical="center"/>
      <protection locked="0"/>
    </xf>
    <xf numFmtId="164" fontId="17" fillId="10" borderId="4" xfId="17" applyFont="1" applyFill="1" applyBorder="1" applyAlignment="1">
      <alignment horizontal="left" vertical="center"/>
    </xf>
    <xf numFmtId="0" fontId="15" fillId="10" borderId="5" xfId="0" applyFont="1" applyFill="1" applyBorder="1" applyAlignment="1">
      <alignment horizontal="justify" vertical="center"/>
    </xf>
    <xf numFmtId="0" fontId="20" fillId="7" borderId="1" xfId="0" applyFont="1" applyFill="1" applyBorder="1" applyAlignment="1">
      <alignment horizontal="justify" vertical="center" wrapText="1"/>
    </xf>
    <xf numFmtId="169" fontId="3" fillId="7" borderId="1" xfId="18" applyNumberFormat="1" applyFont="1" applyFill="1" applyBorder="1" applyAlignment="1">
      <alignment horizontal="center" vertical="center" wrapText="1"/>
    </xf>
    <xf numFmtId="169" fontId="3" fillId="0" borderId="8" xfId="18" applyNumberFormat="1" applyFont="1" applyFill="1" applyBorder="1" applyAlignment="1">
      <alignment horizontal="center" vertical="center" wrapText="1"/>
    </xf>
    <xf numFmtId="4" fontId="15" fillId="0" borderId="3" xfId="0" applyNumberFormat="1" applyFont="1" applyBorder="1" applyAlignment="1">
      <alignment horizontal="center" vertical="center" wrapText="1"/>
    </xf>
    <xf numFmtId="169" fontId="3" fillId="7" borderId="8" xfId="18" applyNumberFormat="1" applyFont="1" applyFill="1" applyBorder="1" applyAlignment="1">
      <alignment horizontal="center" vertical="center" wrapText="1"/>
    </xf>
    <xf numFmtId="0" fontId="2" fillId="7" borderId="13" xfId="0" applyFont="1" applyFill="1" applyBorder="1" applyAlignment="1">
      <alignment vertical="center" wrapText="1"/>
    </xf>
    <xf numFmtId="0" fontId="2" fillId="7" borderId="14" xfId="0" applyFont="1" applyFill="1" applyBorder="1" applyAlignment="1">
      <alignment vertical="center" wrapText="1"/>
    </xf>
    <xf numFmtId="0" fontId="20" fillId="7" borderId="8" xfId="0" applyFont="1" applyFill="1" applyBorder="1" applyAlignment="1">
      <alignment horizontal="justify" vertical="center" wrapText="1"/>
    </xf>
    <xf numFmtId="0" fontId="2" fillId="8" borderId="3" xfId="0" applyFont="1" applyFill="1" applyBorder="1" applyAlignment="1">
      <alignment horizontal="left" vertical="center"/>
    </xf>
    <xf numFmtId="0" fontId="2" fillId="8" borderId="4" xfId="0" applyFont="1" applyFill="1" applyBorder="1" applyAlignment="1">
      <alignment horizontal="justify" vertical="center"/>
    </xf>
    <xf numFmtId="2" fontId="2" fillId="8" borderId="4" xfId="0" applyNumberFormat="1" applyFont="1" applyFill="1" applyBorder="1" applyAlignment="1">
      <alignment horizontal="justify" vertical="center"/>
    </xf>
    <xf numFmtId="0" fontId="3" fillId="8" borderId="4" xfId="0" applyFont="1" applyFill="1" applyBorder="1" applyAlignment="1">
      <alignment horizontal="center" vertical="center"/>
    </xf>
    <xf numFmtId="173" fontId="2" fillId="8" borderId="4" xfId="8" applyFont="1" applyFill="1" applyBorder="1" applyAlignment="1">
      <alignment horizontal="left" vertical="center"/>
    </xf>
    <xf numFmtId="173" fontId="2" fillId="8" borderId="4" xfId="8" applyFont="1" applyFill="1" applyBorder="1" applyAlignment="1">
      <alignment horizontal="center" vertical="center"/>
    </xf>
    <xf numFmtId="0" fontId="3" fillId="8" borderId="5" xfId="0" applyFont="1" applyFill="1" applyBorder="1" applyAlignment="1">
      <alignment horizontal="justify" vertical="center"/>
    </xf>
    <xf numFmtId="0" fontId="3" fillId="7" borderId="16" xfId="0" applyFont="1" applyFill="1" applyBorder="1" applyAlignment="1">
      <alignment vertical="center" wrapText="1"/>
    </xf>
    <xf numFmtId="0" fontId="3" fillId="7" borderId="17" xfId="0" applyFont="1" applyFill="1" applyBorder="1" applyAlignment="1">
      <alignment vertical="center" wrapText="1"/>
    </xf>
    <xf numFmtId="0" fontId="17" fillId="10" borderId="4" xfId="0" applyFont="1" applyFill="1" applyBorder="1" applyAlignment="1">
      <alignment horizontal="justify" vertical="center" wrapText="1"/>
    </xf>
    <xf numFmtId="2" fontId="17" fillId="10" borderId="4" xfId="0" applyNumberFormat="1" applyFont="1" applyFill="1" applyBorder="1" applyAlignment="1">
      <alignment horizontal="justify" vertical="center"/>
    </xf>
    <xf numFmtId="0" fontId="15" fillId="10" borderId="4" xfId="0" applyFont="1" applyFill="1" applyBorder="1" applyAlignment="1">
      <alignment horizontal="center" vertical="center"/>
    </xf>
    <xf numFmtId="0" fontId="17" fillId="10" borderId="35" xfId="0" applyFont="1" applyFill="1" applyBorder="1" applyAlignment="1">
      <alignment horizontal="justify" vertical="center" wrapText="1"/>
    </xf>
    <xf numFmtId="173" fontId="17" fillId="10" borderId="35" xfId="8" applyFont="1" applyFill="1" applyBorder="1" applyAlignment="1">
      <alignment horizontal="left" vertical="center"/>
    </xf>
    <xf numFmtId="173" fontId="17" fillId="10" borderId="35" xfId="8" applyFont="1" applyFill="1" applyBorder="1" applyAlignment="1">
      <alignment horizontal="center" vertical="center"/>
    </xf>
    <xf numFmtId="0" fontId="17" fillId="10" borderId="35" xfId="0" applyFont="1" applyFill="1" applyBorder="1" applyAlignment="1">
      <alignment horizontal="center" vertical="center"/>
    </xf>
    <xf numFmtId="0" fontId="2" fillId="10" borderId="35" xfId="0" applyFont="1" applyFill="1" applyBorder="1" applyAlignment="1">
      <alignment horizontal="justify" vertical="center"/>
    </xf>
    <xf numFmtId="0" fontId="17" fillId="10" borderId="35" xfId="0" applyFont="1" applyFill="1" applyBorder="1" applyAlignment="1">
      <alignment horizontal="justify" vertical="center"/>
    </xf>
    <xf numFmtId="0" fontId="17" fillId="10" borderId="35" xfId="0" applyFont="1" applyFill="1" applyBorder="1" applyAlignment="1">
      <alignment horizontal="left" vertical="center"/>
    </xf>
    <xf numFmtId="0" fontId="15" fillId="10" borderId="30" xfId="0" applyFont="1" applyFill="1" applyBorder="1" applyAlignment="1">
      <alignment horizontal="justify" vertical="center"/>
    </xf>
    <xf numFmtId="0" fontId="3" fillId="7" borderId="29" xfId="0" applyFont="1" applyFill="1" applyBorder="1" applyAlignment="1">
      <alignment vertical="center" wrapText="1"/>
    </xf>
    <xf numFmtId="0" fontId="3" fillId="7" borderId="30" xfId="0" applyFont="1" applyFill="1" applyBorder="1" applyAlignment="1">
      <alignment vertical="center" wrapText="1"/>
    </xf>
    <xf numFmtId="0" fontId="20" fillId="0" borderId="1" xfId="0" applyFont="1" applyBorder="1" applyAlignment="1">
      <alignment horizontal="justify" vertical="center" wrapText="1"/>
    </xf>
    <xf numFmtId="169" fontId="15" fillId="0" borderId="1" xfId="18" applyNumberFormat="1" applyFont="1" applyFill="1" applyBorder="1" applyAlignment="1">
      <alignment horizontal="center" vertical="center" wrapText="1"/>
    </xf>
    <xf numFmtId="0" fontId="20" fillId="17" borderId="1" xfId="0" applyFont="1" applyFill="1" applyBorder="1" applyAlignment="1">
      <alignment horizontal="justify" vertical="center" wrapText="1"/>
    </xf>
    <xf numFmtId="169" fontId="15" fillId="7" borderId="1" xfId="18" applyNumberFormat="1" applyFont="1" applyFill="1" applyBorder="1" applyAlignment="1">
      <alignment horizontal="center" vertical="center" wrapText="1"/>
    </xf>
    <xf numFmtId="173" fontId="17" fillId="10" borderId="2" xfId="8" applyFont="1" applyFill="1" applyBorder="1" applyAlignment="1">
      <alignment horizontal="left" vertical="center"/>
    </xf>
    <xf numFmtId="173" fontId="17" fillId="10" borderId="0" xfId="8" applyFont="1" applyFill="1" applyBorder="1" applyAlignment="1">
      <alignment horizontal="left" vertical="center"/>
    </xf>
    <xf numFmtId="173" fontId="17" fillId="10" borderId="0" xfId="8" applyFont="1" applyFill="1" applyBorder="1" applyAlignment="1">
      <alignment horizontal="center" vertical="center"/>
    </xf>
    <xf numFmtId="0" fontId="17" fillId="10" borderId="31" xfId="0" applyFont="1" applyFill="1" applyBorder="1" applyAlignment="1">
      <alignment horizontal="center" vertical="center"/>
    </xf>
    <xf numFmtId="0" fontId="17" fillId="10" borderId="2" xfId="0" applyFont="1" applyFill="1" applyBorder="1" applyAlignment="1">
      <alignment horizontal="center" vertical="center"/>
    </xf>
    <xf numFmtId="0" fontId="2" fillId="10" borderId="2" xfId="0" applyFont="1" applyFill="1" applyBorder="1" applyAlignment="1">
      <alignment horizontal="justify" vertical="center"/>
    </xf>
    <xf numFmtId="0" fontId="17" fillId="10" borderId="2" xfId="0" applyFont="1" applyFill="1" applyBorder="1" applyAlignment="1">
      <alignment horizontal="justify" vertical="center"/>
    </xf>
    <xf numFmtId="0" fontId="17" fillId="10" borderId="2" xfId="0" applyFont="1" applyFill="1" applyBorder="1" applyAlignment="1">
      <alignment horizontal="left" vertical="center"/>
    </xf>
    <xf numFmtId="0" fontId="15" fillId="10" borderId="14" xfId="0" applyFont="1" applyFill="1" applyBorder="1" applyAlignment="1">
      <alignment horizontal="justify" vertical="center"/>
    </xf>
    <xf numFmtId="0" fontId="3" fillId="7" borderId="0" xfId="0" applyFont="1" applyFill="1" applyAlignment="1">
      <alignment vertical="center" wrapText="1"/>
    </xf>
    <xf numFmtId="169" fontId="3" fillId="0" borderId="1" xfId="18" applyNumberFormat="1" applyFont="1" applyFill="1" applyBorder="1" applyAlignment="1">
      <alignment horizontal="center" vertical="center" wrapText="1"/>
    </xf>
    <xf numFmtId="0" fontId="3" fillId="7" borderId="1" xfId="0" applyFont="1" applyFill="1" applyBorder="1" applyAlignment="1">
      <alignment horizontal="justify" vertical="center"/>
    </xf>
    <xf numFmtId="0" fontId="2" fillId="10" borderId="15" xfId="0" applyFont="1" applyFill="1" applyBorder="1" applyAlignment="1">
      <alignment horizontal="center" vertical="center" wrapText="1"/>
    </xf>
    <xf numFmtId="173" fontId="17" fillId="10" borderId="2" xfId="8" applyFont="1" applyFill="1" applyBorder="1" applyAlignment="1">
      <alignment horizontal="center" vertical="center"/>
    </xf>
    <xf numFmtId="173" fontId="17" fillId="10" borderId="4" xfId="8" applyFont="1" applyFill="1" applyBorder="1" applyAlignment="1">
      <alignment horizontal="left" vertical="center"/>
    </xf>
    <xf numFmtId="187" fontId="3" fillId="0" borderId="1" xfId="0" applyNumberFormat="1" applyFont="1" applyFill="1" applyBorder="1" applyAlignment="1">
      <alignment horizontal="center" vertical="center" wrapText="1"/>
    </xf>
    <xf numFmtId="169" fontId="3" fillId="10" borderId="0" xfId="0" applyNumberFormat="1" applyFont="1" applyFill="1"/>
    <xf numFmtId="187" fontId="15" fillId="0" borderId="1" xfId="0" applyNumberFormat="1" applyFont="1" applyFill="1" applyBorder="1" applyAlignment="1">
      <alignment horizontal="center" vertical="center"/>
    </xf>
    <xf numFmtId="0" fontId="2" fillId="8" borderId="4" xfId="0" applyFont="1" applyFill="1" applyBorder="1" applyAlignment="1">
      <alignment vertical="center"/>
    </xf>
    <xf numFmtId="173" fontId="2" fillId="8" borderId="4" xfId="8" applyFont="1" applyFill="1" applyBorder="1" applyAlignment="1">
      <alignment vertical="center"/>
    </xf>
    <xf numFmtId="0" fontId="15" fillId="7" borderId="1" xfId="21" applyFont="1" applyFill="1" applyBorder="1" applyAlignment="1">
      <alignment horizontal="justify" vertical="center" wrapText="1"/>
    </xf>
    <xf numFmtId="187" fontId="3" fillId="7" borderId="1" xfId="0" applyNumberFormat="1" applyFont="1" applyFill="1" applyBorder="1" applyAlignment="1">
      <alignment horizontal="center" vertical="center"/>
    </xf>
    <xf numFmtId="173" fontId="3" fillId="0" borderId="1" xfId="8" applyFont="1" applyFill="1" applyBorder="1" applyAlignment="1">
      <alignment vertical="center"/>
    </xf>
    <xf numFmtId="0" fontId="3" fillId="7" borderId="30" xfId="0" applyFont="1" applyFill="1" applyBorder="1" applyAlignment="1">
      <alignment horizontal="center"/>
    </xf>
    <xf numFmtId="0" fontId="3" fillId="7" borderId="8" xfId="0" applyFont="1" applyFill="1" applyBorder="1" applyAlignment="1">
      <alignment horizontal="center"/>
    </xf>
    <xf numFmtId="0" fontId="3" fillId="7" borderId="17" xfId="0" applyFont="1" applyFill="1" applyBorder="1" applyAlignment="1">
      <alignment horizontal="center"/>
    </xf>
    <xf numFmtId="0" fontId="3" fillId="7" borderId="15" xfId="0" applyFont="1" applyFill="1" applyBorder="1" applyAlignment="1">
      <alignment horizontal="center"/>
    </xf>
    <xf numFmtId="187" fontId="15" fillId="7" borderId="1" xfId="21" applyNumberFormat="1" applyFont="1" applyFill="1" applyBorder="1" applyAlignment="1">
      <alignment horizontal="center" vertical="center"/>
    </xf>
    <xf numFmtId="0" fontId="15" fillId="0" borderId="1" xfId="21" applyFont="1" applyBorder="1" applyAlignment="1">
      <alignment horizontal="justify" vertical="center" wrapText="1"/>
    </xf>
    <xf numFmtId="0" fontId="2" fillId="10" borderId="18" xfId="0" applyFont="1" applyFill="1" applyBorder="1" applyAlignment="1">
      <alignment horizontal="center" vertical="center" wrapText="1"/>
    </xf>
    <xf numFmtId="0" fontId="4" fillId="10" borderId="3" xfId="0" applyFont="1" applyFill="1" applyBorder="1" applyAlignment="1">
      <alignment horizontal="left" vertical="center"/>
    </xf>
    <xf numFmtId="0" fontId="4" fillId="10" borderId="4" xfId="0" applyFont="1" applyFill="1" applyBorder="1" applyAlignment="1">
      <alignment horizontal="justify" vertical="center"/>
    </xf>
    <xf numFmtId="0" fontId="4" fillId="10" borderId="4" xfId="0" applyFont="1" applyFill="1" applyBorder="1" applyAlignment="1">
      <alignment horizontal="justify" vertical="center" wrapText="1"/>
    </xf>
    <xf numFmtId="2" fontId="4" fillId="10" borderId="4" xfId="0" applyNumberFormat="1" applyFont="1" applyFill="1" applyBorder="1" applyAlignment="1">
      <alignment horizontal="justify" vertical="center"/>
    </xf>
    <xf numFmtId="0" fontId="14" fillId="10" borderId="4" xfId="0" applyFont="1" applyFill="1" applyBorder="1" applyAlignment="1">
      <alignment horizontal="center" vertical="center"/>
    </xf>
    <xf numFmtId="173" fontId="4" fillId="10" borderId="4" xfId="8" applyFont="1" applyFill="1" applyBorder="1" applyAlignment="1">
      <alignment horizontal="left" vertical="center"/>
    </xf>
    <xf numFmtId="0" fontId="4" fillId="10" borderId="4" xfId="0" applyFont="1" applyFill="1" applyBorder="1" applyAlignment="1">
      <alignment horizontal="center" vertical="center"/>
    </xf>
    <xf numFmtId="0" fontId="4" fillId="10" borderId="4" xfId="0" applyFont="1" applyFill="1" applyBorder="1" applyAlignment="1">
      <alignment horizontal="left" vertical="center"/>
    </xf>
    <xf numFmtId="0" fontId="14" fillId="10" borderId="5" xfId="0" applyFont="1" applyFill="1" applyBorder="1" applyAlignment="1">
      <alignment horizontal="justify" vertical="center"/>
    </xf>
    <xf numFmtId="173" fontId="15" fillId="0" borderId="1" xfId="8" applyFont="1" applyFill="1" applyBorder="1" applyAlignment="1">
      <alignment horizontal="center" vertical="center" wrapText="1"/>
    </xf>
    <xf numFmtId="0" fontId="3" fillId="7" borderId="18" xfId="0" applyFont="1" applyFill="1" applyBorder="1" applyAlignment="1">
      <alignment horizontal="justify" vertical="center" wrapText="1"/>
    </xf>
    <xf numFmtId="0" fontId="4" fillId="10" borderId="3" xfId="0" applyFont="1" applyFill="1" applyBorder="1" applyAlignment="1">
      <alignment vertical="center"/>
    </xf>
    <xf numFmtId="173" fontId="4" fillId="10" borderId="4" xfId="8" applyFont="1" applyFill="1" applyBorder="1" applyAlignment="1">
      <alignment vertical="center"/>
    </xf>
    <xf numFmtId="0" fontId="4" fillId="10" borderId="4" xfId="0" applyFont="1" applyFill="1" applyBorder="1" applyAlignment="1">
      <alignment vertical="center"/>
    </xf>
    <xf numFmtId="173" fontId="3" fillId="7" borderId="1" xfId="8" applyFont="1" applyFill="1" applyBorder="1" applyAlignment="1">
      <alignment horizontal="center" vertical="center" wrapText="1"/>
    </xf>
    <xf numFmtId="3" fontId="3" fillId="7" borderId="1" xfId="0" applyNumberFormat="1" applyFont="1" applyFill="1" applyBorder="1" applyAlignment="1">
      <alignment horizontal="center" vertical="center"/>
    </xf>
    <xf numFmtId="173" fontId="3" fillId="0" borderId="1" xfId="8" applyFont="1" applyFill="1" applyBorder="1" applyAlignment="1">
      <alignment horizontal="center" vertical="center" wrapText="1" readingOrder="1"/>
    </xf>
    <xf numFmtId="0" fontId="2" fillId="10" borderId="1" xfId="0" applyFont="1" applyFill="1" applyBorder="1" applyAlignment="1">
      <alignment horizontal="center" vertical="center"/>
    </xf>
    <xf numFmtId="181" fontId="3" fillId="7" borderId="8" xfId="0" applyNumberFormat="1" applyFont="1" applyFill="1" applyBorder="1" applyAlignment="1">
      <alignment horizontal="center" vertical="center" wrapText="1"/>
    </xf>
    <xf numFmtId="181" fontId="3" fillId="7" borderId="15" xfId="0" applyNumberFormat="1" applyFont="1" applyFill="1" applyBorder="1" applyAlignment="1">
      <alignment horizontal="center" vertical="center" wrapText="1"/>
    </xf>
    <xf numFmtId="0" fontId="3" fillId="7" borderId="13" xfId="0" applyFont="1" applyFill="1" applyBorder="1" applyAlignment="1">
      <alignment vertical="center" wrapText="1"/>
    </xf>
    <xf numFmtId="0" fontId="3" fillId="7" borderId="14" xfId="0" applyFont="1" applyFill="1" applyBorder="1" applyAlignment="1">
      <alignment vertical="center" wrapText="1"/>
    </xf>
    <xf numFmtId="181" fontId="3" fillId="7" borderId="18" xfId="0" applyNumberFormat="1" applyFont="1" applyFill="1" applyBorder="1" applyAlignment="1">
      <alignment horizontal="center" vertical="center" wrapText="1"/>
    </xf>
    <xf numFmtId="0" fontId="2" fillId="8" borderId="15" xfId="0" applyFont="1" applyFill="1" applyBorder="1" applyAlignment="1">
      <alignment horizontal="center" vertical="center" wrapText="1"/>
    </xf>
    <xf numFmtId="2" fontId="4" fillId="10" borderId="35" xfId="0" applyNumberFormat="1" applyFont="1" applyFill="1" applyBorder="1" applyAlignment="1">
      <alignment horizontal="justify" vertical="center"/>
    </xf>
    <xf numFmtId="0" fontId="14" fillId="10" borderId="35" xfId="0" applyFont="1" applyFill="1" applyBorder="1" applyAlignment="1">
      <alignment horizontal="center" vertical="center"/>
    </xf>
    <xf numFmtId="173" fontId="4" fillId="10" borderId="35" xfId="8" applyFont="1" applyFill="1" applyBorder="1" applyAlignment="1">
      <alignment vertical="center"/>
    </xf>
    <xf numFmtId="173" fontId="4" fillId="10" borderId="35" xfId="8" applyFont="1" applyFill="1" applyBorder="1" applyAlignment="1">
      <alignment horizontal="center" vertical="center"/>
    </xf>
    <xf numFmtId="0" fontId="4" fillId="10" borderId="35" xfId="0" applyFont="1" applyFill="1" applyBorder="1" applyAlignment="1">
      <alignment horizontal="center" vertical="center"/>
    </xf>
    <xf numFmtId="0" fontId="4" fillId="10" borderId="35" xfId="0" applyFont="1" applyFill="1" applyBorder="1" applyAlignment="1">
      <alignment horizontal="justify" vertical="center"/>
    </xf>
    <xf numFmtId="0" fontId="14" fillId="0" borderId="1" xfId="0" applyFont="1" applyBorder="1" applyAlignment="1">
      <alignment horizontal="justify" vertical="center" wrapText="1"/>
    </xf>
    <xf numFmtId="1" fontId="14" fillId="0" borderId="29" xfId="0" applyNumberFormat="1" applyFont="1" applyBorder="1" applyAlignment="1">
      <alignment horizontal="justify" vertical="center" wrapText="1"/>
    </xf>
    <xf numFmtId="2" fontId="14" fillId="0" borderId="1" xfId="0" applyNumberFormat="1" applyFont="1" applyBorder="1" applyAlignment="1">
      <alignment horizontal="justify" vertical="center" wrapText="1"/>
    </xf>
    <xf numFmtId="0" fontId="14" fillId="7" borderId="32" xfId="0" applyFont="1" applyFill="1" applyBorder="1" applyAlignment="1">
      <alignment horizontal="center" vertical="center" wrapText="1"/>
    </xf>
    <xf numFmtId="188" fontId="3" fillId="0" borderId="1" xfId="3" applyNumberFormat="1" applyFont="1" applyBorder="1" applyAlignment="1">
      <alignment horizontal="justify" vertical="center"/>
    </xf>
    <xf numFmtId="0" fontId="14" fillId="0" borderId="29" xfId="0" applyFont="1" applyBorder="1" applyAlignment="1">
      <alignment horizontal="justify" vertical="center" wrapText="1"/>
    </xf>
    <xf numFmtId="0" fontId="3" fillId="0" borderId="41" xfId="0" applyFont="1" applyBorder="1" applyAlignment="1">
      <alignment horizontal="justify" vertical="center" wrapText="1"/>
    </xf>
    <xf numFmtId="2" fontId="3" fillId="0" borderId="44" xfId="0" applyNumberFormat="1" applyFont="1" applyBorder="1" applyAlignment="1">
      <alignment horizontal="justify" vertical="center" wrapText="1"/>
    </xf>
    <xf numFmtId="188" fontId="3" fillId="0" borderId="8" xfId="3" applyNumberFormat="1" applyFont="1" applyBorder="1" applyAlignment="1">
      <alignment horizontal="justify" vertical="center"/>
    </xf>
    <xf numFmtId="169" fontId="3" fillId="7" borderId="5" xfId="23" applyNumberFormat="1" applyFont="1" applyFill="1" applyBorder="1" applyAlignment="1">
      <alignment horizontal="center" vertical="center" wrapText="1"/>
    </xf>
    <xf numFmtId="166" fontId="14" fillId="7"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69" fontId="3" fillId="7" borderId="1" xfId="23"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169" fontId="4" fillId="7" borderId="1" xfId="0" applyNumberFormat="1" applyFont="1" applyFill="1" applyBorder="1" applyAlignment="1">
      <alignment horizontal="justify" vertical="center" wrapText="1"/>
    </xf>
    <xf numFmtId="0" fontId="4" fillId="7" borderId="1" xfId="0" applyFont="1" applyFill="1" applyBorder="1" applyAlignment="1">
      <alignment horizontal="justify" vertical="center" wrapText="1"/>
    </xf>
    <xf numFmtId="173" fontId="2" fillId="0" borderId="18" xfId="8" applyFont="1" applyBorder="1" applyAlignment="1">
      <alignment horizontal="center" vertical="center" wrapText="1"/>
    </xf>
    <xf numFmtId="0" fontId="4" fillId="7" borderId="18" xfId="0" applyFont="1" applyFill="1" applyBorder="1" applyAlignment="1">
      <alignment horizontal="center" vertical="center" wrapText="1"/>
    </xf>
    <xf numFmtId="0" fontId="2" fillId="7" borderId="1" xfId="0" applyFont="1" applyFill="1" applyBorder="1" applyAlignment="1">
      <alignment vertical="center" wrapText="1"/>
    </xf>
    <xf numFmtId="0" fontId="4" fillId="7" borderId="1" xfId="0" applyFont="1" applyFill="1" applyBorder="1" applyAlignment="1">
      <alignment vertical="center" wrapText="1"/>
    </xf>
    <xf numFmtId="173" fontId="2" fillId="0" borderId="1" xfId="8" applyFont="1" applyBorder="1" applyAlignment="1">
      <alignment horizontal="center" vertical="center" wrapText="1"/>
    </xf>
    <xf numFmtId="9" fontId="4" fillId="7" borderId="1" xfId="3" applyFont="1" applyFill="1" applyBorder="1" applyAlignment="1">
      <alignment horizontal="center" vertical="center" wrapText="1"/>
    </xf>
    <xf numFmtId="0" fontId="3" fillId="0" borderId="0" xfId="0" applyFont="1" applyAlignment="1">
      <alignment horizontal="center" wrapText="1"/>
    </xf>
    <xf numFmtId="0" fontId="14" fillId="0" borderId="0" xfId="0" applyFont="1" applyAlignment="1">
      <alignment horizontal="justify" vertical="center" wrapText="1"/>
    </xf>
    <xf numFmtId="0" fontId="3" fillId="7" borderId="0" xfId="0" applyFont="1" applyFill="1" applyAlignment="1">
      <alignment horizontal="justify" vertical="center" wrapText="1"/>
    </xf>
    <xf numFmtId="169" fontId="2" fillId="0" borderId="0" xfId="0" applyNumberFormat="1" applyFont="1" applyAlignment="1">
      <alignment wrapText="1"/>
    </xf>
    <xf numFmtId="173" fontId="24" fillId="0" borderId="0" xfId="17" applyNumberFormat="1" applyFont="1" applyBorder="1" applyAlignment="1">
      <alignment horizontal="right" vertical="center"/>
    </xf>
    <xf numFmtId="190" fontId="0" fillId="7" borderId="0" xfId="1" applyNumberFormat="1" applyFont="1" applyFill="1"/>
    <xf numFmtId="185" fontId="25" fillId="0" borderId="0" xfId="2" applyNumberFormat="1" applyFont="1" applyFill="1" applyBorder="1" applyAlignment="1">
      <alignment horizontal="center" vertical="center"/>
    </xf>
    <xf numFmtId="164" fontId="3" fillId="0" borderId="0" xfId="17" applyFont="1"/>
    <xf numFmtId="173" fontId="3" fillId="0" borderId="0" xfId="0" applyNumberFormat="1" applyFont="1" applyAlignment="1">
      <alignment horizontal="justify" vertical="center" wrapText="1"/>
    </xf>
    <xf numFmtId="3" fontId="25" fillId="0" borderId="0" xfId="0" applyNumberFormat="1" applyFont="1" applyFill="1" applyBorder="1" applyAlignment="1">
      <alignment horizontal="right" vertical="center"/>
    </xf>
    <xf numFmtId="3" fontId="25" fillId="0" borderId="0" xfId="0" applyNumberFormat="1" applyFont="1" applyBorder="1" applyAlignment="1">
      <alignment horizontal="right" vertical="center"/>
    </xf>
    <xf numFmtId="169" fontId="3" fillId="0" borderId="0" xfId="0" applyNumberFormat="1" applyFont="1" applyAlignment="1">
      <alignment horizontal="center" vertical="center" wrapText="1"/>
    </xf>
    <xf numFmtId="169" fontId="3" fillId="0" borderId="0" xfId="0" applyNumberFormat="1" applyFont="1" applyAlignment="1">
      <alignment horizontal="center"/>
    </xf>
    <xf numFmtId="0" fontId="27" fillId="0" borderId="0" xfId="0" applyFont="1" applyAlignment="1">
      <alignment vertical="center"/>
    </xf>
    <xf numFmtId="177" fontId="27" fillId="0" borderId="0" xfId="0" applyNumberFormat="1" applyFont="1" applyAlignment="1">
      <alignment horizontal="right" vertical="center"/>
    </xf>
    <xf numFmtId="0" fontId="3" fillId="0" borderId="0" xfId="0" applyFont="1" applyAlignment="1">
      <alignment horizontal="justify" wrapText="1"/>
    </xf>
    <xf numFmtId="169" fontId="3" fillId="0" borderId="0" xfId="0" applyNumberFormat="1" applyFont="1" applyAlignment="1">
      <alignment wrapText="1"/>
    </xf>
    <xf numFmtId="169" fontId="3" fillId="0" borderId="0" xfId="0" applyNumberFormat="1" applyFont="1" applyAlignment="1">
      <alignment horizontal="center" wrapText="1"/>
    </xf>
    <xf numFmtId="0" fontId="3" fillId="0" borderId="17" xfId="0" applyFont="1" applyBorder="1"/>
    <xf numFmtId="0" fontId="3" fillId="0" borderId="14" xfId="0" applyFont="1" applyBorder="1" applyAlignment="1">
      <alignment wrapText="1"/>
    </xf>
    <xf numFmtId="1" fontId="2" fillId="6" borderId="1" xfId="0" applyNumberFormat="1" applyFont="1" applyFill="1" applyBorder="1" applyAlignment="1">
      <alignment horizontal="left" vertical="center" wrapText="1"/>
    </xf>
    <xf numFmtId="0" fontId="2" fillId="6" borderId="1" xfId="0" applyFont="1" applyFill="1" applyBorder="1" applyAlignment="1">
      <alignment vertical="center"/>
    </xf>
    <xf numFmtId="0" fontId="2" fillId="6" borderId="1" xfId="0" applyFont="1" applyFill="1" applyBorder="1" applyAlignment="1">
      <alignment horizontal="left" vertical="center"/>
    </xf>
    <xf numFmtId="0" fontId="2" fillId="6" borderId="3" xfId="0" applyFont="1" applyFill="1" applyBorder="1" applyAlignment="1">
      <alignment vertical="center"/>
    </xf>
    <xf numFmtId="0" fontId="2" fillId="6" borderId="5" xfId="0" applyFont="1" applyFill="1" applyBorder="1" applyAlignment="1">
      <alignment vertical="center"/>
    </xf>
    <xf numFmtId="0" fontId="2" fillId="6" borderId="1" xfId="0" applyFont="1" applyFill="1" applyBorder="1" applyAlignment="1">
      <alignment horizontal="justify" vertical="center"/>
    </xf>
    <xf numFmtId="191" fontId="2" fillId="6" borderId="1" xfId="12" applyNumberFormat="1" applyFont="1" applyFill="1" applyBorder="1" applyAlignment="1">
      <alignment horizontal="right" vertical="center"/>
    </xf>
    <xf numFmtId="1" fontId="2" fillId="6" borderId="1" xfId="0" applyNumberFormat="1" applyFont="1" applyFill="1" applyBorder="1" applyAlignment="1">
      <alignment horizontal="center" vertical="center"/>
    </xf>
    <xf numFmtId="172" fontId="2" fillId="6" borderId="1" xfId="0" applyNumberFormat="1" applyFont="1" applyFill="1" applyBorder="1" applyAlignment="1">
      <alignment vertical="center"/>
    </xf>
    <xf numFmtId="1" fontId="2" fillId="8" borderId="1" xfId="0" applyNumberFormat="1" applyFont="1" applyFill="1" applyBorder="1" applyAlignment="1">
      <alignment horizontal="center" vertical="center"/>
    </xf>
    <xf numFmtId="0" fontId="2" fillId="8" borderId="1" xfId="0" applyFont="1" applyFill="1" applyBorder="1" applyAlignment="1">
      <alignment vertical="center"/>
    </xf>
    <xf numFmtId="0" fontId="2" fillId="8" borderId="5" xfId="0" applyFont="1" applyFill="1" applyBorder="1" applyAlignment="1">
      <alignment vertical="center"/>
    </xf>
    <xf numFmtId="0" fontId="2" fillId="8" borderId="1" xfId="0" applyFont="1" applyFill="1" applyBorder="1" applyAlignment="1">
      <alignment horizontal="justify" vertical="center"/>
    </xf>
    <xf numFmtId="191" fontId="2" fillId="8" borderId="1" xfId="12" applyNumberFormat="1" applyFont="1" applyFill="1" applyBorder="1" applyAlignment="1">
      <alignment horizontal="right" vertical="center"/>
    </xf>
    <xf numFmtId="172" fontId="2" fillId="8" borderId="1" xfId="0" applyNumberFormat="1" applyFont="1" applyFill="1" applyBorder="1" applyAlignment="1">
      <alignment vertical="center"/>
    </xf>
    <xf numFmtId="0" fontId="2" fillId="10" borderId="1" xfId="0" applyFont="1" applyFill="1" applyBorder="1" applyAlignment="1">
      <alignment vertical="center"/>
    </xf>
    <xf numFmtId="0" fontId="3" fillId="10" borderId="1" xfId="0" applyFont="1" applyFill="1" applyBorder="1"/>
    <xf numFmtId="0" fontId="2" fillId="10" borderId="1" xfId="0" applyFont="1" applyFill="1" applyBorder="1" applyAlignment="1">
      <alignment horizontal="justify" vertical="center"/>
    </xf>
    <xf numFmtId="191" fontId="2" fillId="10" borderId="1" xfId="12" applyNumberFormat="1" applyFont="1" applyFill="1" applyBorder="1" applyAlignment="1">
      <alignment horizontal="right" vertical="center"/>
    </xf>
    <xf numFmtId="1" fontId="2" fillId="10" borderId="1" xfId="0" applyNumberFormat="1" applyFont="1" applyFill="1" applyBorder="1" applyAlignment="1">
      <alignment horizontal="center" vertical="center"/>
    </xf>
    <xf numFmtId="172" fontId="2" fillId="10" borderId="1" xfId="0" applyNumberFormat="1" applyFont="1" applyFill="1" applyBorder="1" applyAlignment="1">
      <alignment vertical="center"/>
    </xf>
    <xf numFmtId="0" fontId="3" fillId="7" borderId="8" xfId="0" applyFont="1" applyFill="1" applyBorder="1" applyAlignment="1">
      <alignment vertical="center" wrapText="1"/>
    </xf>
    <xf numFmtId="0" fontId="3" fillId="7" borderId="1" xfId="14" applyFont="1" applyFill="1" applyBorder="1" applyAlignment="1">
      <alignment horizontal="justify" vertical="center" wrapText="1"/>
    </xf>
    <xf numFmtId="173" fontId="3" fillId="7" borderId="1" xfId="25" applyFont="1" applyFill="1" applyBorder="1" applyAlignment="1">
      <alignment horizontal="right" vertical="center" wrapText="1"/>
    </xf>
    <xf numFmtId="169" fontId="18" fillId="0" borderId="1" xfId="0" applyNumberFormat="1" applyFont="1" applyFill="1" applyBorder="1" applyAlignment="1">
      <alignment horizontal="center" vertical="center" wrapText="1"/>
    </xf>
    <xf numFmtId="1" fontId="3" fillId="0" borderId="1" xfId="25" applyNumberFormat="1" applyFont="1" applyBorder="1" applyAlignment="1">
      <alignment horizontal="center" vertical="center"/>
    </xf>
    <xf numFmtId="0" fontId="3" fillId="7" borderId="15" xfId="0" applyFont="1" applyFill="1" applyBorder="1" applyAlignment="1">
      <alignment vertical="center" wrapText="1"/>
    </xf>
    <xf numFmtId="0" fontId="3" fillId="7" borderId="0" xfId="0" applyFont="1" applyFill="1" applyBorder="1" applyAlignment="1">
      <alignment vertical="center" wrapText="1"/>
    </xf>
    <xf numFmtId="0" fontId="3" fillId="7" borderId="18" xfId="0" applyFont="1" applyFill="1" applyBorder="1" applyAlignment="1">
      <alignment vertical="center" wrapText="1"/>
    </xf>
    <xf numFmtId="173" fontId="3" fillId="0" borderId="1" xfId="25" applyFont="1" applyFill="1" applyBorder="1" applyAlignment="1">
      <alignment horizontal="justify" vertical="center" wrapText="1"/>
    </xf>
    <xf numFmtId="1" fontId="3" fillId="0" borderId="1" xfId="25" applyNumberFormat="1" applyFont="1" applyBorder="1" applyAlignment="1">
      <alignment horizontal="center" vertical="center" wrapText="1"/>
    </xf>
    <xf numFmtId="1" fontId="15" fillId="7" borderId="1" xfId="0" applyNumberFormat="1" applyFont="1" applyFill="1" applyBorder="1" applyAlignment="1">
      <alignment horizontal="center" vertical="center" wrapText="1"/>
    </xf>
    <xf numFmtId="6" fontId="3" fillId="0" borderId="1" xfId="0" applyNumberFormat="1" applyFont="1" applyFill="1" applyBorder="1" applyAlignment="1">
      <alignment horizontal="center" vertical="center" wrapText="1"/>
    </xf>
    <xf numFmtId="168" fontId="3" fillId="0" borderId="1" xfId="0" applyNumberFormat="1" applyFont="1" applyBorder="1" applyAlignment="1">
      <alignment horizontal="center" vertical="center" wrapText="1"/>
    </xf>
    <xf numFmtId="168" fontId="3" fillId="0" borderId="1" xfId="0" applyNumberFormat="1" applyFont="1" applyFill="1" applyBorder="1" applyAlignment="1">
      <alignment horizontal="center" vertical="center" wrapText="1"/>
    </xf>
    <xf numFmtId="168" fontId="3" fillId="0" borderId="1" xfId="0" applyNumberFormat="1" applyFont="1" applyBorder="1" applyAlignment="1" applyProtection="1">
      <alignment horizontal="center" vertical="center" wrapText="1"/>
      <protection locked="0"/>
    </xf>
    <xf numFmtId="3" fontId="3" fillId="0" borderId="1" xfId="0" applyNumberFormat="1" applyFont="1" applyBorder="1" applyAlignment="1">
      <alignment horizontal="center" vertical="center" wrapText="1"/>
    </xf>
    <xf numFmtId="0" fontId="17" fillId="0" borderId="1" xfId="0" applyFont="1" applyBorder="1" applyAlignment="1">
      <alignment vertical="center"/>
    </xf>
    <xf numFmtId="169" fontId="17" fillId="0" borderId="1" xfId="0" applyNumberFormat="1"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justify" vertical="center"/>
    </xf>
    <xf numFmtId="0" fontId="2" fillId="7" borderId="1" xfId="0" applyFont="1" applyFill="1" applyBorder="1" applyAlignment="1">
      <alignment horizontal="justify" vertical="center"/>
    </xf>
    <xf numFmtId="6" fontId="2" fillId="0" borderId="1" xfId="0" applyNumberFormat="1" applyFont="1" applyBorder="1" applyAlignment="1">
      <alignment vertical="center"/>
    </xf>
    <xf numFmtId="0" fontId="2" fillId="0" borderId="1" xfId="0" applyFont="1" applyFill="1" applyBorder="1" applyAlignment="1">
      <alignment horizontal="right" vertical="center"/>
    </xf>
    <xf numFmtId="168" fontId="2" fillId="0" borderId="1" xfId="0" applyNumberFormat="1" applyFont="1" applyBorder="1" applyAlignment="1">
      <alignment horizontal="center" vertical="center"/>
    </xf>
    <xf numFmtId="0" fontId="2"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169" fontId="17" fillId="0" borderId="0" xfId="0" applyNumberFormat="1" applyFont="1" applyFill="1" applyBorder="1" applyAlignment="1">
      <alignment vertical="center"/>
    </xf>
    <xf numFmtId="0" fontId="2" fillId="0" borderId="0" xfId="0" applyFont="1" applyFill="1" applyBorder="1" applyAlignment="1">
      <alignment horizontal="justify" vertical="center"/>
    </xf>
    <xf numFmtId="169" fontId="13" fillId="0" borderId="0" xfId="0" applyNumberFormat="1" applyFont="1" applyFill="1" applyBorder="1" applyAlignment="1">
      <alignment vertical="center"/>
    </xf>
    <xf numFmtId="0" fontId="2" fillId="7" borderId="0" xfId="0" applyFont="1" applyFill="1" applyBorder="1" applyAlignment="1">
      <alignment horizontal="justify" vertical="center"/>
    </xf>
    <xf numFmtId="0" fontId="2" fillId="0" borderId="0" xfId="0" applyFont="1" applyFill="1" applyBorder="1" applyAlignment="1">
      <alignment horizontal="right" vertical="center"/>
    </xf>
    <xf numFmtId="168" fontId="2" fillId="0" borderId="0" xfId="0" applyNumberFormat="1" applyFont="1" applyBorder="1" applyAlignment="1">
      <alignment horizontal="center" vertical="center"/>
    </xf>
    <xf numFmtId="0" fontId="2" fillId="0" borderId="0" xfId="0" applyFont="1" applyBorder="1" applyAlignment="1">
      <alignment horizontal="left" vertical="center"/>
    </xf>
    <xf numFmtId="164" fontId="3" fillId="10" borderId="4" xfId="24" applyFont="1" applyFill="1" applyBorder="1" applyAlignment="1">
      <alignment horizontal="justify" vertical="center"/>
    </xf>
    <xf numFmtId="164" fontId="2" fillId="0" borderId="23" xfId="24" applyFont="1" applyFill="1" applyBorder="1" applyAlignment="1">
      <alignment horizontal="center" vertical="center"/>
    </xf>
    <xf numFmtId="164" fontId="3" fillId="0" borderId="1" xfId="24" applyFont="1" applyFill="1" applyBorder="1" applyAlignment="1">
      <alignment horizontal="right" vertical="center"/>
    </xf>
    <xf numFmtId="164" fontId="15" fillId="0" borderId="1" xfId="24" applyFont="1" applyFill="1" applyBorder="1" applyAlignment="1">
      <alignment horizontal="right" vertical="center"/>
    </xf>
    <xf numFmtId="164" fontId="3" fillId="10" borderId="4" xfId="24" applyFont="1" applyFill="1" applyBorder="1" applyAlignment="1">
      <alignment horizontal="right" vertical="center"/>
    </xf>
    <xf numFmtId="164" fontId="3" fillId="0" borderId="1" xfId="24" applyFont="1" applyBorder="1" applyAlignment="1">
      <alignment horizontal="right" vertical="center"/>
    </xf>
    <xf numFmtId="164" fontId="3" fillId="0" borderId="1" xfId="24" applyFont="1" applyBorder="1" applyAlignment="1">
      <alignment horizontal="center" vertical="center"/>
    </xf>
    <xf numFmtId="164" fontId="3" fillId="0" borderId="1" xfId="24" applyFont="1" applyFill="1" applyBorder="1" applyAlignment="1">
      <alignment horizontal="center" vertical="center"/>
    </xf>
    <xf numFmtId="164" fontId="14" fillId="0" borderId="1" xfId="24" applyFont="1" applyBorder="1" applyAlignment="1">
      <alignment horizontal="center" vertical="center"/>
    </xf>
    <xf numFmtId="164" fontId="3" fillId="0" borderId="8" xfId="24" applyFont="1" applyFill="1" applyBorder="1" applyAlignment="1">
      <alignment horizontal="center" vertical="center"/>
    </xf>
    <xf numFmtId="164" fontId="3" fillId="0" borderId="3" xfId="24" applyFont="1" applyFill="1" applyBorder="1" applyAlignment="1">
      <alignment horizontal="center" vertical="center"/>
    </xf>
    <xf numFmtId="164" fontId="3" fillId="7" borderId="31" xfId="24" applyFont="1" applyFill="1" applyBorder="1" applyAlignment="1">
      <alignment horizontal="center" vertical="center"/>
    </xf>
    <xf numFmtId="164" fontId="15" fillId="0" borderId="1" xfId="24" applyFont="1" applyBorder="1" applyAlignment="1">
      <alignment horizontal="center" vertical="center"/>
    </xf>
    <xf numFmtId="164" fontId="15" fillId="0" borderId="1" xfId="24" applyFont="1" applyFill="1" applyBorder="1" applyAlignment="1">
      <alignment horizontal="center" vertical="center"/>
    </xf>
    <xf numFmtId="164" fontId="2" fillId="7" borderId="23" xfId="24" applyFont="1" applyFill="1" applyBorder="1" applyAlignment="1">
      <alignment horizontal="center" vertical="center"/>
    </xf>
    <xf numFmtId="0" fontId="2" fillId="10" borderId="35" xfId="0" applyFont="1" applyFill="1" applyBorder="1" applyAlignment="1">
      <alignment horizontal="justify" vertical="center" wrapText="1"/>
    </xf>
    <xf numFmtId="0" fontId="3" fillId="10" borderId="35" xfId="0" applyFont="1" applyFill="1" applyBorder="1" applyAlignment="1">
      <alignment horizontal="justify" vertical="center"/>
    </xf>
    <xf numFmtId="173" fontId="3" fillId="10" borderId="35" xfId="6" applyNumberFormat="1" applyFont="1" applyFill="1" applyBorder="1" applyAlignment="1">
      <alignment horizontal="right" vertical="center"/>
    </xf>
    <xf numFmtId="164" fontId="3" fillId="10" borderId="35" xfId="24" applyFont="1" applyFill="1" applyBorder="1" applyAlignment="1">
      <alignment horizontal="justify" vertical="center"/>
    </xf>
    <xf numFmtId="164" fontId="3" fillId="10" borderId="35" xfId="24" applyFont="1" applyFill="1" applyBorder="1" applyAlignment="1">
      <alignment horizontal="right" vertical="center"/>
    </xf>
    <xf numFmtId="1" fontId="3" fillId="10" borderId="35" xfId="0" applyNumberFormat="1" applyFont="1" applyFill="1" applyBorder="1" applyAlignment="1">
      <alignment horizontal="center" vertical="center"/>
    </xf>
    <xf numFmtId="0" fontId="3" fillId="10" borderId="35" xfId="0" applyFont="1" applyFill="1" applyBorder="1" applyAlignment="1">
      <alignment horizontal="center" vertical="center"/>
    </xf>
    <xf numFmtId="0" fontId="3" fillId="10" borderId="35" xfId="0" applyFont="1" applyFill="1" applyBorder="1"/>
    <xf numFmtId="2" fontId="3" fillId="10" borderId="35" xfId="0" applyNumberFormat="1" applyFont="1" applyFill="1" applyBorder="1" applyAlignment="1">
      <alignment vertical="center" wrapText="1"/>
    </xf>
    <xf numFmtId="172" fontId="3" fillId="10" borderId="35" xfId="0" applyNumberFormat="1" applyFont="1" applyFill="1" applyBorder="1" applyAlignment="1">
      <alignment horizontal="right" vertical="center"/>
    </xf>
    <xf numFmtId="172" fontId="3" fillId="10" borderId="35" xfId="0" applyNumberFormat="1" applyFont="1" applyFill="1" applyBorder="1" applyAlignment="1">
      <alignment horizontal="center"/>
    </xf>
    <xf numFmtId="0" fontId="3" fillId="10" borderId="30" xfId="0" applyFont="1" applyFill="1" applyBorder="1" applyAlignment="1">
      <alignment horizontal="justify" vertical="center" wrapText="1"/>
    </xf>
    <xf numFmtId="0" fontId="3" fillId="0" borderId="0" xfId="0" applyFont="1" applyFill="1" applyBorder="1"/>
    <xf numFmtId="0" fontId="3" fillId="0" borderId="16" xfId="0" applyFont="1" applyBorder="1"/>
    <xf numFmtId="0" fontId="3" fillId="0" borderId="0" xfId="0" applyFont="1" applyBorder="1"/>
    <xf numFmtId="1" fontId="2" fillId="10" borderId="16" xfId="0" applyNumberFormat="1" applyFont="1" applyFill="1" applyBorder="1" applyAlignment="1">
      <alignment horizontal="justify" vertical="center" wrapText="1"/>
    </xf>
    <xf numFmtId="0" fontId="2" fillId="10" borderId="0" xfId="0" applyFont="1" applyFill="1" applyBorder="1" applyAlignment="1">
      <alignment vertical="center"/>
    </xf>
    <xf numFmtId="0" fontId="2" fillId="12" borderId="4" xfId="0" applyFont="1" applyFill="1" applyBorder="1" applyAlignment="1">
      <alignment horizontal="justify" vertical="center"/>
    </xf>
    <xf numFmtId="0" fontId="2" fillId="7" borderId="35"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justify"/>
    </xf>
    <xf numFmtId="1" fontId="2" fillId="11" borderId="4" xfId="0" applyNumberFormat="1" applyFont="1" applyFill="1" applyBorder="1" applyAlignment="1">
      <alignment horizontal="justify" vertical="center"/>
    </xf>
    <xf numFmtId="0" fontId="3" fillId="7" borderId="0" xfId="0" applyFont="1" applyFill="1" applyBorder="1" applyAlignment="1">
      <alignment horizontal="justify"/>
    </xf>
    <xf numFmtId="0" fontId="3" fillId="0" borderId="0" xfId="0" applyFont="1" applyBorder="1" applyAlignment="1">
      <alignment horizontal="justify" vertical="center"/>
    </xf>
    <xf numFmtId="1" fontId="2" fillId="12" borderId="4" xfId="0" applyNumberFormat="1" applyFont="1" applyFill="1" applyBorder="1" applyAlignment="1">
      <alignment horizontal="justify" vertical="center"/>
    </xf>
    <xf numFmtId="0" fontId="3" fillId="0" borderId="0" xfId="0" applyFont="1" applyBorder="1" applyAlignment="1">
      <alignment horizontal="justify" vertical="center" wrapText="1"/>
    </xf>
    <xf numFmtId="0" fontId="18" fillId="0" borderId="0" xfId="0" applyFont="1" applyBorder="1" applyAlignment="1">
      <alignment horizontal="justify"/>
    </xf>
    <xf numFmtId="0" fontId="3" fillId="0" borderId="0" xfId="0" applyFont="1" applyBorder="1" applyAlignment="1">
      <alignment horizontal="justify"/>
    </xf>
    <xf numFmtId="1" fontId="2" fillId="6" borderId="35" xfId="0" applyNumberFormat="1" applyFont="1" applyFill="1" applyBorder="1" applyAlignment="1">
      <alignment horizontal="justify" vertical="center" wrapText="1"/>
    </xf>
    <xf numFmtId="1" fontId="3" fillId="0" borderId="33" xfId="0" applyNumberFormat="1" applyFont="1" applyBorder="1" applyAlignment="1">
      <alignment horizontal="justify"/>
    </xf>
    <xf numFmtId="0" fontId="3" fillId="0" borderId="34" xfId="0" applyFont="1" applyBorder="1" applyAlignment="1">
      <alignment horizontal="justify"/>
    </xf>
    <xf numFmtId="0" fontId="2" fillId="7" borderId="0" xfId="0" applyFont="1" applyFill="1" applyBorder="1" applyAlignment="1">
      <alignment horizontal="justify" vertical="center" wrapText="1"/>
    </xf>
    <xf numFmtId="1" fontId="2" fillId="7" borderId="29" xfId="0" applyNumberFormat="1" applyFont="1" applyFill="1" applyBorder="1" applyAlignment="1">
      <alignment horizontal="justify" vertical="center" wrapText="1"/>
    </xf>
    <xf numFmtId="0" fontId="2" fillId="7" borderId="30" xfId="0" applyFont="1" applyFill="1" applyBorder="1" applyAlignment="1">
      <alignment horizontal="justify" vertical="center" wrapText="1"/>
    </xf>
    <xf numFmtId="0" fontId="2" fillId="7" borderId="17" xfId="0" applyFont="1" applyFill="1" applyBorder="1" applyAlignment="1">
      <alignment horizontal="justify" vertical="center" wrapText="1"/>
    </xf>
    <xf numFmtId="0" fontId="3" fillId="0" borderId="17" xfId="0" applyFont="1" applyFill="1" applyBorder="1" applyAlignment="1">
      <alignment horizontal="justify"/>
    </xf>
    <xf numFmtId="0" fontId="3" fillId="0" borderId="34" xfId="0" applyFont="1" applyFill="1" applyBorder="1" applyAlignment="1">
      <alignment horizontal="center" wrapText="1"/>
    </xf>
    <xf numFmtId="0" fontId="14" fillId="0" borderId="45" xfId="10" applyFont="1" applyBorder="1" applyAlignment="1">
      <alignment horizontal="justify" vertical="center"/>
    </xf>
    <xf numFmtId="164" fontId="14" fillId="0" borderId="46" xfId="24" applyFont="1" applyBorder="1" applyAlignment="1">
      <alignment horizontal="center" vertical="center"/>
    </xf>
    <xf numFmtId="164" fontId="14" fillId="0" borderId="14" xfId="24" applyFont="1" applyBorder="1" applyAlignment="1">
      <alignment horizontal="center" vertical="center"/>
    </xf>
    <xf numFmtId="164" fontId="14" fillId="0" borderId="18" xfId="24" applyFont="1" applyBorder="1" applyAlignment="1">
      <alignment horizontal="center" vertical="center"/>
    </xf>
    <xf numFmtId="0" fontId="3" fillId="11" borderId="35" xfId="0" applyFont="1" applyFill="1" applyBorder="1"/>
    <xf numFmtId="0" fontId="3" fillId="12" borderId="35" xfId="0" applyFont="1" applyFill="1" applyBorder="1"/>
    <xf numFmtId="2" fontId="3" fillId="11" borderId="35" xfId="0" applyNumberFormat="1" applyFont="1" applyFill="1" applyBorder="1" applyAlignment="1">
      <alignment vertical="center" wrapText="1"/>
    </xf>
    <xf numFmtId="2" fontId="3" fillId="12" borderId="35" xfId="0" applyNumberFormat="1" applyFont="1" applyFill="1" applyBorder="1" applyAlignment="1">
      <alignment vertical="center" wrapText="1"/>
    </xf>
    <xf numFmtId="0" fontId="17" fillId="4" borderId="35" xfId="0" applyFont="1" applyFill="1" applyBorder="1" applyAlignment="1">
      <alignment horizontal="center" vertical="center"/>
    </xf>
    <xf numFmtId="172" fontId="3" fillId="11" borderId="35" xfId="0" applyNumberFormat="1" applyFont="1" applyFill="1" applyBorder="1" applyAlignment="1">
      <alignment horizontal="center"/>
    </xf>
    <xf numFmtId="172" fontId="3" fillId="12" borderId="35" xfId="0" applyNumberFormat="1" applyFont="1" applyFill="1" applyBorder="1" applyAlignment="1">
      <alignment horizontal="center"/>
    </xf>
    <xf numFmtId="172" fontId="3" fillId="11" borderId="35" xfId="0" applyNumberFormat="1" applyFont="1" applyFill="1" applyBorder="1" applyAlignment="1">
      <alignment horizontal="right" vertical="center"/>
    </xf>
    <xf numFmtId="172" fontId="3" fillId="12" borderId="35" xfId="0" applyNumberFormat="1" applyFont="1" applyFill="1" applyBorder="1" applyAlignment="1">
      <alignment horizontal="right" vertical="center"/>
    </xf>
    <xf numFmtId="1" fontId="2" fillId="3" borderId="18"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49" fontId="15" fillId="7" borderId="3" xfId="10" applyNumberFormat="1" applyFont="1" applyFill="1" applyBorder="1" applyAlignment="1">
      <alignment horizontal="justify" vertical="top" wrapText="1"/>
    </xf>
    <xf numFmtId="0" fontId="15" fillId="0" borderId="1" xfId="0" applyFont="1" applyBorder="1" applyAlignment="1">
      <alignment horizontal="justify" wrapText="1"/>
    </xf>
    <xf numFmtId="0" fontId="3" fillId="0" borderId="1" xfId="0" applyFont="1" applyFill="1" applyBorder="1" applyAlignment="1">
      <alignment horizontal="justify" vertical="justify"/>
    </xf>
    <xf numFmtId="0" fontId="15" fillId="0" borderId="1" xfId="0" applyFont="1" applyFill="1" applyBorder="1" applyAlignment="1">
      <alignment horizontal="justify" vertical="center"/>
    </xf>
    <xf numFmtId="0" fontId="15" fillId="0" borderId="1" xfId="0" applyFont="1" applyFill="1" applyBorder="1" applyAlignment="1">
      <alignment horizontal="justify" wrapText="1"/>
    </xf>
    <xf numFmtId="0" fontId="3" fillId="0" borderId="1" xfId="0" applyFont="1" applyFill="1" applyBorder="1" applyAlignment="1">
      <alignment horizontal="justify" wrapText="1"/>
    </xf>
    <xf numFmtId="0" fontId="15" fillId="0" borderId="1" xfId="0" applyFont="1" applyFill="1" applyBorder="1" applyAlignment="1">
      <alignment horizontal="justify"/>
    </xf>
    <xf numFmtId="0" fontId="3" fillId="0" borderId="1" xfId="0" applyFont="1" applyFill="1" applyBorder="1" applyAlignment="1">
      <alignment horizontal="justify"/>
    </xf>
    <xf numFmtId="0" fontId="3" fillId="7" borderId="31" xfId="0" applyFont="1" applyFill="1" applyBorder="1" applyAlignment="1">
      <alignment horizontal="justify" vertical="center" wrapText="1"/>
    </xf>
    <xf numFmtId="3" fontId="3" fillId="0" borderId="15" xfId="0" applyNumberFormat="1" applyFont="1" applyBorder="1" applyAlignment="1">
      <alignment vertical="center" wrapText="1"/>
    </xf>
    <xf numFmtId="3" fontId="3" fillId="0" borderId="18" xfId="0" applyNumberFormat="1" applyFont="1" applyBorder="1" applyAlignment="1">
      <alignment vertical="center" wrapText="1"/>
    </xf>
    <xf numFmtId="9" fontId="2" fillId="0" borderId="23" xfId="3" applyFont="1" applyBorder="1" applyAlignment="1">
      <alignment horizontal="center" vertical="center"/>
    </xf>
    <xf numFmtId="164" fontId="3" fillId="0" borderId="0" xfId="0" applyNumberFormat="1" applyFont="1"/>
    <xf numFmtId="0" fontId="3" fillId="0" borderId="29" xfId="0" applyFont="1" applyFill="1" applyBorder="1" applyAlignment="1">
      <alignment horizontal="justify" vertical="center" wrapText="1"/>
    </xf>
    <xf numFmtId="0" fontId="2" fillId="11" borderId="35" xfId="0" applyFont="1" applyFill="1" applyBorder="1" applyAlignment="1">
      <alignment horizontal="justify" vertical="center"/>
    </xf>
    <xf numFmtId="0" fontId="2" fillId="11" borderId="35" xfId="0" applyFont="1" applyFill="1" applyBorder="1" applyAlignment="1">
      <alignment horizontal="justify" vertical="center" wrapText="1"/>
    </xf>
    <xf numFmtId="0" fontId="3" fillId="11" borderId="35" xfId="0" applyFont="1" applyFill="1" applyBorder="1" applyAlignment="1">
      <alignment horizontal="justify" vertical="center"/>
    </xf>
    <xf numFmtId="173" fontId="3" fillId="11" borderId="35" xfId="6" applyNumberFormat="1" applyFont="1" applyFill="1" applyBorder="1" applyAlignment="1">
      <alignment horizontal="right" vertical="center"/>
    </xf>
    <xf numFmtId="164" fontId="3" fillId="11" borderId="35" xfId="24" applyFont="1" applyFill="1" applyBorder="1" applyAlignment="1">
      <alignment horizontal="justify" vertical="center"/>
    </xf>
    <xf numFmtId="164" fontId="3" fillId="11" borderId="35" xfId="24" applyFont="1" applyFill="1" applyBorder="1" applyAlignment="1">
      <alignment horizontal="right" vertical="center"/>
    </xf>
    <xf numFmtId="1" fontId="3" fillId="11" borderId="35" xfId="0" applyNumberFormat="1" applyFont="1" applyFill="1" applyBorder="1" applyAlignment="1">
      <alignment horizontal="center" vertical="center"/>
    </xf>
    <xf numFmtId="0" fontId="3" fillId="11" borderId="35" xfId="0" applyFont="1" applyFill="1" applyBorder="1" applyAlignment="1">
      <alignment horizontal="center" vertical="center"/>
    </xf>
    <xf numFmtId="0" fontId="3" fillId="11" borderId="30" xfId="0" applyFont="1" applyFill="1" applyBorder="1" applyAlignment="1">
      <alignment horizontal="justify" vertical="center" wrapText="1"/>
    </xf>
    <xf numFmtId="0" fontId="3" fillId="0" borderId="29" xfId="0" applyFont="1" applyBorder="1" applyAlignment="1">
      <alignment horizontal="justify" vertical="center"/>
    </xf>
    <xf numFmtId="0" fontId="2" fillId="12" borderId="35" xfId="0" applyFont="1" applyFill="1" applyBorder="1" applyAlignment="1">
      <alignment horizontal="justify" vertical="center"/>
    </xf>
    <xf numFmtId="0" fontId="2" fillId="12" borderId="35" xfId="0" applyFont="1" applyFill="1" applyBorder="1" applyAlignment="1">
      <alignment horizontal="justify" vertical="center" wrapText="1"/>
    </xf>
    <xf numFmtId="0" fontId="3" fillId="12" borderId="35" xfId="0" applyFont="1" applyFill="1" applyBorder="1" applyAlignment="1">
      <alignment horizontal="justify" vertical="center"/>
    </xf>
    <xf numFmtId="173" fontId="3" fillId="12" borderId="35" xfId="6" applyNumberFormat="1" applyFont="1" applyFill="1" applyBorder="1" applyAlignment="1">
      <alignment horizontal="center" vertical="center"/>
    </xf>
    <xf numFmtId="164" fontId="3" fillId="12" borderId="35" xfId="24" applyFont="1" applyFill="1" applyBorder="1" applyAlignment="1">
      <alignment horizontal="justify" vertical="center"/>
    </xf>
    <xf numFmtId="164" fontId="3" fillId="12" borderId="35" xfId="24" applyFont="1" applyFill="1" applyBorder="1" applyAlignment="1">
      <alignment horizontal="center" vertical="center"/>
    </xf>
    <xf numFmtId="1" fontId="3" fillId="12" borderId="35" xfId="0" applyNumberFormat="1" applyFont="1" applyFill="1" applyBorder="1" applyAlignment="1">
      <alignment horizontal="center" vertical="center"/>
    </xf>
    <xf numFmtId="0" fontId="3" fillId="12" borderId="30" xfId="0" applyFont="1" applyFill="1" applyBorder="1" applyAlignment="1">
      <alignment horizontal="justify" vertical="center" wrapText="1"/>
    </xf>
    <xf numFmtId="0" fontId="14" fillId="0" borderId="47" xfId="10" applyFont="1" applyBorder="1" applyAlignment="1">
      <alignment horizontal="justify" vertical="center"/>
    </xf>
    <xf numFmtId="164" fontId="14" fillId="0" borderId="48" xfId="24" applyFont="1" applyBorder="1" applyAlignment="1">
      <alignment horizontal="center" vertical="center"/>
    </xf>
    <xf numFmtId="0" fontId="14" fillId="13" borderId="47" xfId="10" applyFont="1" applyFill="1" applyBorder="1" applyAlignment="1">
      <alignment horizontal="justify" vertical="center"/>
    </xf>
    <xf numFmtId="164" fontId="3" fillId="0" borderId="50" xfId="24" applyFont="1" applyFill="1" applyBorder="1" applyAlignment="1">
      <alignment horizontal="center" vertical="center"/>
    </xf>
    <xf numFmtId="3" fontId="3" fillId="0" borderId="49" xfId="0" applyNumberFormat="1" applyFont="1" applyBorder="1" applyAlignment="1">
      <alignment horizontal="center" vertical="center"/>
    </xf>
    <xf numFmtId="164" fontId="3" fillId="0" borderId="49" xfId="24" applyFont="1" applyFill="1" applyBorder="1" applyAlignment="1">
      <alignment horizontal="center" vertical="center"/>
    </xf>
    <xf numFmtId="3" fontId="3" fillId="0" borderId="49" xfId="0" applyNumberFormat="1" applyFont="1" applyBorder="1" applyAlignment="1">
      <alignment vertical="center" wrapText="1"/>
    </xf>
    <xf numFmtId="164" fontId="15" fillId="0" borderId="49" xfId="24" applyFont="1" applyBorder="1" applyAlignment="1">
      <alignment horizontal="center" vertical="center"/>
    </xf>
    <xf numFmtId="1" fontId="3" fillId="0" borderId="51" xfId="0" applyNumberFormat="1" applyFont="1" applyBorder="1" applyAlignment="1">
      <alignment horizontal="justify"/>
    </xf>
    <xf numFmtId="0" fontId="3" fillId="0" borderId="53" xfId="0" applyFont="1" applyBorder="1" applyAlignment="1">
      <alignment horizontal="justify"/>
    </xf>
    <xf numFmtId="0" fontId="3" fillId="0" borderId="54" xfId="0" applyFont="1" applyBorder="1" applyAlignment="1">
      <alignment horizontal="justify"/>
    </xf>
    <xf numFmtId="164" fontId="3" fillId="0" borderId="49" xfId="24" applyFont="1" applyBorder="1" applyAlignment="1">
      <alignment horizontal="center" vertical="center"/>
    </xf>
    <xf numFmtId="0" fontId="2" fillId="7" borderId="23" xfId="3" applyNumberFormat="1" applyFont="1" applyFill="1" applyBorder="1" applyAlignment="1">
      <alignment horizontal="center" vertical="center"/>
    </xf>
    <xf numFmtId="0" fontId="2" fillId="0" borderId="55" xfId="0" applyFont="1" applyFill="1" applyBorder="1" applyAlignment="1">
      <alignment horizontal="center"/>
    </xf>
    <xf numFmtId="0" fontId="2" fillId="0" borderId="55" xfId="0" applyFont="1" applyFill="1" applyBorder="1"/>
    <xf numFmtId="0" fontId="20" fillId="0" borderId="1" xfId="0" applyFont="1" applyFill="1" applyBorder="1" applyAlignment="1">
      <alignment horizontal="justify" vertical="center" wrapText="1"/>
    </xf>
    <xf numFmtId="0" fontId="15" fillId="0" borderId="1" xfId="10" applyFont="1" applyFill="1" applyBorder="1" applyAlignment="1">
      <alignment vertical="center" wrapText="1"/>
    </xf>
    <xf numFmtId="14" fontId="3" fillId="7" borderId="1" xfId="0" applyNumberFormat="1" applyFont="1" applyFill="1" applyBorder="1" applyAlignment="1">
      <alignment horizontal="center" vertical="center" wrapText="1"/>
    </xf>
    <xf numFmtId="169" fontId="17" fillId="0" borderId="23" xfId="0" applyNumberFormat="1" applyFont="1" applyFill="1" applyBorder="1" applyAlignment="1">
      <alignment vertical="center"/>
    </xf>
    <xf numFmtId="0" fontId="15"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5" fillId="7" borderId="0" xfId="0" applyFont="1" applyFill="1" applyAlignment="1">
      <alignment horizontal="center" vertical="center" wrapText="1"/>
    </xf>
    <xf numFmtId="0" fontId="15" fillId="7" borderId="1" xfId="0" applyFont="1" applyFill="1" applyBorder="1" applyAlignment="1">
      <alignment horizontal="justify" vertical="center" wrapText="1"/>
    </xf>
    <xf numFmtId="0" fontId="3" fillId="7" borderId="1" xfId="0" applyFont="1" applyFill="1" applyBorder="1" applyAlignment="1">
      <alignment horizontal="justify" vertical="center" wrapText="1"/>
    </xf>
    <xf numFmtId="0" fontId="21" fillId="5" borderId="1" xfId="0" applyFont="1" applyFill="1" applyBorder="1" applyAlignment="1">
      <alignment horizontal="center" vertical="center" wrapText="1"/>
    </xf>
    <xf numFmtId="0" fontId="29" fillId="0" borderId="37" xfId="0" applyFont="1" applyBorder="1" applyAlignment="1">
      <alignment horizontal="center" vertical="center" wrapText="1"/>
    </xf>
    <xf numFmtId="172" fontId="24" fillId="0" borderId="37" xfId="0" applyNumberFormat="1" applyFont="1" applyBorder="1" applyAlignment="1">
      <alignment horizontal="center"/>
    </xf>
    <xf numFmtId="0" fontId="17" fillId="0" borderId="61" xfId="0" applyFont="1" applyBorder="1" applyAlignment="1">
      <alignment vertical="center"/>
    </xf>
    <xf numFmtId="0" fontId="17" fillId="0" borderId="62" xfId="0" applyFont="1" applyBorder="1" applyAlignment="1">
      <alignment vertical="center" wrapText="1"/>
    </xf>
    <xf numFmtId="0" fontId="24" fillId="7" borderId="0" xfId="0" applyFont="1" applyFill="1"/>
    <xf numFmtId="0" fontId="24" fillId="0" borderId="0" xfId="0" applyFont="1"/>
    <xf numFmtId="0" fontId="29" fillId="0" borderId="0" xfId="0" applyFont="1" applyAlignment="1">
      <alignment horizontal="center" vertical="center" wrapText="1"/>
    </xf>
    <xf numFmtId="172" fontId="24" fillId="0" borderId="0" xfId="0" applyNumberFormat="1" applyFont="1" applyAlignment="1">
      <alignment horizontal="center"/>
    </xf>
    <xf numFmtId="0" fontId="17" fillId="0" borderId="1" xfId="0" applyFont="1" applyBorder="1" applyAlignment="1">
      <alignment horizontal="left" vertical="center"/>
    </xf>
    <xf numFmtId="0" fontId="17" fillId="0" borderId="63" xfId="0" applyFont="1" applyBorder="1" applyAlignment="1">
      <alignment vertical="center" wrapText="1"/>
    </xf>
    <xf numFmtId="0" fontId="29" fillId="0" borderId="53" xfId="0" applyFont="1" applyBorder="1" applyAlignment="1">
      <alignment horizontal="center" vertical="center" wrapText="1"/>
    </xf>
    <xf numFmtId="3" fontId="17" fillId="0" borderId="63" xfId="0" applyNumberFormat="1" applyFont="1" applyBorder="1" applyAlignment="1">
      <alignment vertical="center" wrapText="1"/>
    </xf>
    <xf numFmtId="0" fontId="25" fillId="0" borderId="55" xfId="0" applyFont="1" applyBorder="1" applyAlignment="1">
      <alignment horizontal="center" vertical="center"/>
    </xf>
    <xf numFmtId="0" fontId="25" fillId="0" borderId="53" xfId="0" applyFont="1" applyBorder="1" applyAlignment="1">
      <alignment horizontal="center" vertical="center"/>
    </xf>
    <xf numFmtId="0" fontId="24" fillId="0" borderId="58" xfId="0" applyFont="1" applyBorder="1" applyAlignment="1">
      <alignment horizontal="center" vertical="center"/>
    </xf>
    <xf numFmtId="0" fontId="24" fillId="0" borderId="53" xfId="0" applyFont="1" applyBorder="1" applyAlignment="1">
      <alignment vertical="center"/>
    </xf>
    <xf numFmtId="0" fontId="25" fillId="0" borderId="53" xfId="0" applyFont="1" applyBorder="1" applyAlignment="1">
      <alignment horizontal="justify" vertical="center"/>
    </xf>
    <xf numFmtId="0" fontId="25" fillId="0" borderId="53" xfId="0" applyFont="1" applyBorder="1" applyAlignment="1">
      <alignment vertical="center"/>
    </xf>
    <xf numFmtId="0" fontId="25" fillId="0" borderId="53" xfId="0" applyFont="1" applyBorder="1" applyAlignment="1">
      <alignment horizontal="justify" vertical="center" wrapText="1"/>
    </xf>
    <xf numFmtId="171" fontId="25" fillId="0" borderId="53" xfId="0" applyNumberFormat="1" applyFont="1" applyBorder="1" applyAlignment="1">
      <alignment vertical="center"/>
    </xf>
    <xf numFmtId="0" fontId="26" fillId="0" borderId="53" xfId="0" applyFont="1" applyBorder="1" applyAlignment="1">
      <alignment horizontal="center" vertical="center"/>
    </xf>
    <xf numFmtId="0" fontId="25" fillId="0" borderId="65" xfId="0" applyFont="1" applyBorder="1" applyAlignment="1">
      <alignment horizontal="justify" vertical="center" wrapText="1"/>
    </xf>
    <xf numFmtId="0" fontId="25" fillId="0" borderId="64" xfId="0" applyFont="1" applyBorder="1" applyAlignment="1">
      <alignment horizontal="center" vertical="center"/>
    </xf>
    <xf numFmtId="0" fontId="25" fillId="7" borderId="0" xfId="0" applyFont="1" applyFill="1"/>
    <xf numFmtId="0" fontId="25" fillId="0" borderId="0" xfId="0" applyFont="1"/>
    <xf numFmtId="0" fontId="25" fillId="3"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171" fontId="25" fillId="3" borderId="57" xfId="0" applyNumberFormat="1" applyFont="1" applyFill="1" applyBorder="1" applyAlignment="1">
      <alignment horizontal="center" vertical="center" wrapText="1"/>
    </xf>
    <xf numFmtId="0" fontId="25" fillId="5" borderId="58" xfId="0" applyFont="1" applyFill="1" applyBorder="1" applyAlignment="1">
      <alignment horizontal="center" vertical="center" wrapText="1"/>
    </xf>
    <xf numFmtId="168" fontId="25" fillId="3" borderId="1" xfId="0" applyNumberFormat="1" applyFont="1" applyFill="1" applyBorder="1" applyAlignment="1">
      <alignment horizontal="center" vertical="center" wrapText="1"/>
    </xf>
    <xf numFmtId="1" fontId="17" fillId="6" borderId="68" xfId="0" applyNumberFormat="1" applyFont="1" applyFill="1" applyBorder="1" applyAlignment="1">
      <alignment horizontal="left" vertical="center" wrapText="1"/>
    </xf>
    <xf numFmtId="0" fontId="17" fillId="6" borderId="55" xfId="0" applyFont="1" applyFill="1" applyBorder="1" applyAlignment="1">
      <alignment vertical="center"/>
    </xf>
    <xf numFmtId="0" fontId="15" fillId="6" borderId="55" xfId="0" applyFont="1" applyFill="1" applyBorder="1" applyAlignment="1">
      <alignment vertical="center"/>
    </xf>
    <xf numFmtId="0" fontId="17" fillId="6" borderId="55" xfId="0" applyFont="1" applyFill="1" applyBorder="1" applyAlignment="1">
      <alignment horizontal="justify" vertical="center" wrapText="1"/>
    </xf>
    <xf numFmtId="0" fontId="17" fillId="6" borderId="55" xfId="0" applyFont="1" applyFill="1" applyBorder="1" applyAlignment="1">
      <alignment horizontal="justify" vertical="center"/>
    </xf>
    <xf numFmtId="0" fontId="15" fillId="6" borderId="55" xfId="0" applyFont="1" applyFill="1" applyBorder="1" applyAlignment="1">
      <alignment horizontal="center" vertical="center"/>
    </xf>
    <xf numFmtId="170" fontId="15" fillId="6" borderId="55" xfId="0" applyNumberFormat="1" applyFont="1" applyFill="1" applyBorder="1" applyAlignment="1">
      <alignment horizontal="center" vertical="center"/>
    </xf>
    <xf numFmtId="169" fontId="17" fillId="6" borderId="55" xfId="0" applyNumberFormat="1" applyFont="1" applyFill="1" applyBorder="1" applyAlignment="1">
      <alignment vertical="center"/>
    </xf>
    <xf numFmtId="0" fontId="13" fillId="6" borderId="55" xfId="0" applyFont="1" applyFill="1" applyBorder="1" applyAlignment="1">
      <alignment vertical="center"/>
    </xf>
    <xf numFmtId="172" fontId="17" fillId="6" borderId="55" xfId="0" applyNumberFormat="1" applyFont="1" applyFill="1" applyBorder="1" applyAlignment="1">
      <alignment vertical="center"/>
    </xf>
    <xf numFmtId="172" fontId="13" fillId="6" borderId="55" xfId="0" applyNumberFormat="1" applyFont="1" applyFill="1" applyBorder="1" applyAlignment="1">
      <alignment vertical="center"/>
    </xf>
    <xf numFmtId="0" fontId="13" fillId="6" borderId="55" xfId="0" applyFont="1" applyFill="1" applyBorder="1" applyAlignment="1">
      <alignment horizontal="justify" vertical="center"/>
    </xf>
    <xf numFmtId="0" fontId="17" fillId="6" borderId="69" xfId="0" applyFont="1" applyFill="1" applyBorder="1" applyAlignment="1">
      <alignment horizontal="justify" vertical="center"/>
    </xf>
    <xf numFmtId="1" fontId="17" fillId="8" borderId="4" xfId="0" applyNumberFormat="1" applyFont="1" applyFill="1" applyBorder="1" applyAlignment="1">
      <alignment horizontal="center" vertical="center"/>
    </xf>
    <xf numFmtId="0" fontId="17" fillId="8" borderId="55" xfId="0" applyFont="1" applyFill="1" applyBorder="1" applyAlignment="1">
      <alignment vertical="center"/>
    </xf>
    <xf numFmtId="0" fontId="15" fillId="8" borderId="55" xfId="0" applyFont="1" applyFill="1" applyBorder="1" applyAlignment="1">
      <alignment vertical="center"/>
    </xf>
    <xf numFmtId="0" fontId="17" fillId="8" borderId="55" xfId="0" applyFont="1" applyFill="1" applyBorder="1" applyAlignment="1">
      <alignment horizontal="justify" vertical="center" wrapText="1"/>
    </xf>
    <xf numFmtId="0" fontId="17" fillId="8" borderId="55" xfId="0" applyFont="1" applyFill="1" applyBorder="1" applyAlignment="1">
      <alignment horizontal="justify" vertical="center"/>
    </xf>
    <xf numFmtId="0" fontId="15" fillId="8" borderId="55" xfId="0" applyFont="1" applyFill="1" applyBorder="1" applyAlignment="1">
      <alignment horizontal="center" vertical="center"/>
    </xf>
    <xf numFmtId="170" fontId="15" fillId="8" borderId="55" xfId="0" applyNumberFormat="1" applyFont="1" applyFill="1" applyBorder="1" applyAlignment="1">
      <alignment horizontal="center" vertical="center"/>
    </xf>
    <xf numFmtId="169" fontId="17" fillId="8" borderId="55" xfId="0" applyNumberFormat="1" applyFont="1" applyFill="1" applyBorder="1" applyAlignment="1">
      <alignment vertical="center"/>
    </xf>
    <xf numFmtId="169" fontId="17" fillId="8" borderId="55" xfId="0" applyNumberFormat="1" applyFont="1" applyFill="1" applyBorder="1" applyAlignment="1">
      <alignment horizontal="center" vertical="center"/>
    </xf>
    <xf numFmtId="0" fontId="17" fillId="8" borderId="55" xfId="0" applyFont="1" applyFill="1" applyBorder="1" applyAlignment="1">
      <alignment horizontal="center" vertical="center"/>
    </xf>
    <xf numFmtId="0" fontId="13" fillId="8" borderId="55" xfId="0" applyFont="1" applyFill="1" applyBorder="1" applyAlignment="1">
      <alignment vertical="center"/>
    </xf>
    <xf numFmtId="172" fontId="17" fillId="8" borderId="55" xfId="0" applyNumberFormat="1" applyFont="1" applyFill="1" applyBorder="1" applyAlignment="1">
      <alignment vertical="center"/>
    </xf>
    <xf numFmtId="172" fontId="13" fillId="8" borderId="55" xfId="0" applyNumberFormat="1" applyFont="1" applyFill="1" applyBorder="1" applyAlignment="1">
      <alignment vertical="center"/>
    </xf>
    <xf numFmtId="0" fontId="13" fillId="8" borderId="55" xfId="0" applyFont="1" applyFill="1" applyBorder="1" applyAlignment="1">
      <alignment horizontal="justify" vertical="center"/>
    </xf>
    <xf numFmtId="0" fontId="17" fillId="8" borderId="69" xfId="0" applyFont="1" applyFill="1" applyBorder="1" applyAlignment="1">
      <alignment horizontal="justify" vertical="center"/>
    </xf>
    <xf numFmtId="0" fontId="15" fillId="7" borderId="0" xfId="0" applyFont="1" applyFill="1"/>
    <xf numFmtId="1" fontId="17" fillId="10" borderId="4" xfId="0" applyNumberFormat="1" applyFont="1" applyFill="1" applyBorder="1" applyAlignment="1">
      <alignment horizontal="left" vertical="center" wrapText="1" indent="1"/>
    </xf>
    <xf numFmtId="0" fontId="15" fillId="10" borderId="55" xfId="0" applyFont="1" applyFill="1" applyBorder="1" applyAlignment="1">
      <alignment vertical="center"/>
    </xf>
    <xf numFmtId="0" fontId="17" fillId="10" borderId="55" xfId="0" applyFont="1" applyFill="1" applyBorder="1" applyAlignment="1">
      <alignment horizontal="justify" vertical="center" wrapText="1"/>
    </xf>
    <xf numFmtId="0" fontId="17" fillId="10" borderId="55" xfId="0" applyFont="1" applyFill="1" applyBorder="1" applyAlignment="1">
      <alignment horizontal="justify" vertical="center"/>
    </xf>
    <xf numFmtId="0" fontId="17" fillId="10" borderId="55" xfId="0" applyFont="1" applyFill="1" applyBorder="1" applyAlignment="1">
      <alignment vertical="center"/>
    </xf>
    <xf numFmtId="170" fontId="15" fillId="10" borderId="55" xfId="0" applyNumberFormat="1" applyFont="1" applyFill="1" applyBorder="1" applyAlignment="1">
      <alignment horizontal="center" vertical="center"/>
    </xf>
    <xf numFmtId="169" fontId="17" fillId="10" borderId="55" xfId="0" applyNumberFormat="1" applyFont="1" applyFill="1" applyBorder="1" applyAlignment="1">
      <alignment vertical="center"/>
    </xf>
    <xf numFmtId="169" fontId="17" fillId="10" borderId="55" xfId="0" applyNumberFormat="1" applyFont="1" applyFill="1" applyBorder="1" applyAlignment="1">
      <alignment horizontal="center" vertical="center"/>
    </xf>
    <xf numFmtId="0" fontId="17" fillId="10" borderId="55" xfId="0" applyFont="1" applyFill="1" applyBorder="1" applyAlignment="1">
      <alignment horizontal="center" vertical="center"/>
    </xf>
    <xf numFmtId="0" fontId="13" fillId="10" borderId="55" xfId="0" applyFont="1" applyFill="1" applyBorder="1" applyAlignment="1">
      <alignment vertical="center"/>
    </xf>
    <xf numFmtId="172" fontId="17" fillId="10" borderId="55" xfId="0" applyNumberFormat="1" applyFont="1" applyFill="1" applyBorder="1" applyAlignment="1">
      <alignment vertical="center"/>
    </xf>
    <xf numFmtId="172" fontId="13" fillId="10" borderId="55" xfId="0" applyNumberFormat="1" applyFont="1" applyFill="1" applyBorder="1" applyAlignment="1">
      <alignment vertical="center"/>
    </xf>
    <xf numFmtId="0" fontId="13" fillId="10" borderId="55" xfId="0" applyFont="1" applyFill="1" applyBorder="1" applyAlignment="1">
      <alignment horizontal="justify" vertical="center"/>
    </xf>
    <xf numFmtId="0" fontId="17" fillId="10" borderId="69" xfId="0" applyFont="1" applyFill="1" applyBorder="1" applyAlignment="1">
      <alignment horizontal="justify" vertical="center"/>
    </xf>
    <xf numFmtId="0" fontId="15" fillId="7" borderId="52" xfId="0" applyFont="1" applyFill="1" applyBorder="1"/>
    <xf numFmtId="0" fontId="20" fillId="0" borderId="67" xfId="0" applyFont="1" applyFill="1" applyBorder="1" applyAlignment="1">
      <alignment horizontal="justify" vertical="center" wrapText="1"/>
    </xf>
    <xf numFmtId="173" fontId="15" fillId="0" borderId="1" xfId="8" applyFont="1" applyBorder="1" applyAlignment="1">
      <alignment horizontal="center" vertical="center" wrapText="1"/>
    </xf>
    <xf numFmtId="3" fontId="15" fillId="0" borderId="1" xfId="4" applyNumberFormat="1" applyFont="1" applyBorder="1" applyAlignment="1">
      <alignment horizontal="center" vertical="center" wrapText="1"/>
    </xf>
    <xf numFmtId="3" fontId="3" fillId="7" borderId="1" xfId="4" applyNumberFormat="1" applyFont="1" applyFill="1" applyBorder="1" applyAlignment="1">
      <alignment horizontal="center" vertical="top" wrapText="1"/>
    </xf>
    <xf numFmtId="0" fontId="15" fillId="7" borderId="16" xfId="0" applyFont="1" applyFill="1" applyBorder="1"/>
    <xf numFmtId="0" fontId="15" fillId="7" borderId="17" xfId="0" applyFont="1" applyFill="1" applyBorder="1"/>
    <xf numFmtId="3" fontId="15" fillId="7" borderId="1" xfId="4" applyNumberFormat="1" applyFont="1" applyFill="1" applyBorder="1" applyAlignment="1">
      <alignment horizontal="center" vertical="center" wrapText="1"/>
    </xf>
    <xf numFmtId="167" fontId="15" fillId="7" borderId="1" xfId="4" applyFont="1" applyFill="1" applyBorder="1" applyAlignment="1">
      <alignment horizontal="justify" vertical="center" wrapText="1"/>
    </xf>
    <xf numFmtId="180" fontId="3" fillId="7" borderId="1" xfId="4" applyNumberFormat="1" applyFont="1" applyFill="1" applyBorder="1" applyAlignment="1">
      <alignment horizontal="center" vertical="center" wrapText="1"/>
    </xf>
    <xf numFmtId="173" fontId="15" fillId="7" borderId="1" xfId="8" applyFont="1" applyFill="1" applyBorder="1" applyAlignment="1">
      <alignment horizontal="center" vertical="center" wrapText="1"/>
    </xf>
    <xf numFmtId="3" fontId="28" fillId="0" borderId="15" xfId="0" applyNumberFormat="1" applyFont="1" applyBorder="1" applyAlignment="1">
      <alignment horizontal="center" vertical="center"/>
    </xf>
    <xf numFmtId="0" fontId="3" fillId="0" borderId="67" xfId="0" applyFont="1" applyFill="1" applyBorder="1" applyAlignment="1">
      <alignment horizontal="justify" vertical="center" wrapText="1"/>
    </xf>
    <xf numFmtId="180" fontId="3" fillId="0" borderId="1" xfId="4" applyNumberFormat="1" applyFont="1" applyFill="1" applyBorder="1" applyAlignment="1">
      <alignment horizontal="center" vertical="center" wrapText="1"/>
    </xf>
    <xf numFmtId="3" fontId="3" fillId="0" borderId="1" xfId="4" applyNumberFormat="1" applyFont="1" applyFill="1" applyBorder="1" applyAlignment="1">
      <alignment horizontal="center" vertical="top" wrapText="1"/>
    </xf>
    <xf numFmtId="0" fontId="20" fillId="7" borderId="67" xfId="0" applyFont="1" applyFill="1" applyBorder="1" applyAlignment="1">
      <alignment horizontal="justify" vertical="center" wrapText="1"/>
    </xf>
    <xf numFmtId="0" fontId="3" fillId="7" borderId="67" xfId="0" applyFont="1" applyFill="1" applyBorder="1" applyAlignment="1">
      <alignment horizontal="justify" vertical="center" wrapText="1"/>
    </xf>
    <xf numFmtId="1" fontId="17" fillId="10" borderId="1" xfId="0" applyNumberFormat="1" applyFont="1" applyFill="1" applyBorder="1" applyAlignment="1">
      <alignment horizontal="left" vertical="center" wrapText="1" indent="1"/>
    </xf>
    <xf numFmtId="0" fontId="15" fillId="10" borderId="1" xfId="0" applyFont="1" applyFill="1" applyBorder="1" applyAlignment="1">
      <alignment vertical="center"/>
    </xf>
    <xf numFmtId="0" fontId="17" fillId="10" borderId="3" xfId="0" applyFont="1" applyFill="1" applyBorder="1" applyAlignment="1">
      <alignment vertical="center"/>
    </xf>
    <xf numFmtId="0" fontId="17" fillId="10" borderId="66" xfId="0" applyFont="1" applyFill="1" applyBorder="1" applyAlignment="1">
      <alignment vertical="center"/>
    </xf>
    <xf numFmtId="0" fontId="20" fillId="0" borderId="1" xfId="0" applyFont="1" applyFill="1" applyBorder="1" applyAlignment="1">
      <alignment horizontal="justify" vertical="top" wrapText="1"/>
    </xf>
    <xf numFmtId="180" fontId="3" fillId="0" borderId="1" xfId="4" applyNumberFormat="1" applyFont="1" applyFill="1" applyBorder="1" applyAlignment="1">
      <alignment horizontal="center" vertical="center"/>
    </xf>
    <xf numFmtId="173" fontId="15" fillId="0" borderId="1" xfId="8" applyNumberFormat="1" applyFont="1" applyBorder="1" applyAlignment="1">
      <alignment horizontal="center" vertical="center" wrapText="1"/>
    </xf>
    <xf numFmtId="173" fontId="33" fillId="0" borderId="1" xfId="8" applyFont="1" applyBorder="1" applyAlignment="1">
      <alignment horizontal="center" vertical="center" wrapText="1"/>
    </xf>
    <xf numFmtId="0" fontId="33" fillId="0" borderId="1" xfId="0" applyFont="1" applyBorder="1" applyAlignment="1">
      <alignment horizontal="center" vertical="center" wrapText="1"/>
    </xf>
    <xf numFmtId="167" fontId="3" fillId="0" borderId="1" xfId="4" applyFont="1" applyFill="1" applyBorder="1" applyAlignment="1">
      <alignment horizontal="center" vertical="center" wrapText="1"/>
    </xf>
    <xf numFmtId="3" fontId="28" fillId="0" borderId="16" xfId="0" applyNumberFormat="1" applyFont="1" applyBorder="1" applyAlignment="1">
      <alignment horizontal="center" wrapText="1"/>
    </xf>
    <xf numFmtId="0" fontId="20" fillId="0" borderId="1" xfId="0" applyFont="1" applyFill="1" applyBorder="1" applyAlignment="1">
      <alignment horizontal="left" vertical="center" wrapText="1"/>
    </xf>
    <xf numFmtId="0" fontId="33" fillId="0" borderId="1" xfId="0" applyFont="1" applyBorder="1" applyAlignment="1">
      <alignment horizontal="center" vertical="top" wrapText="1"/>
    </xf>
    <xf numFmtId="173" fontId="3" fillId="0" borderId="1" xfId="4" applyNumberFormat="1" applyFont="1" applyFill="1" applyBorder="1" applyAlignment="1">
      <alignment horizontal="center" vertical="center"/>
    </xf>
    <xf numFmtId="0" fontId="15" fillId="7" borderId="58" xfId="0" applyFont="1" applyFill="1" applyBorder="1"/>
    <xf numFmtId="0" fontId="15" fillId="7" borderId="59" xfId="0" applyFont="1" applyFill="1" applyBorder="1"/>
    <xf numFmtId="173" fontId="3" fillId="0" borderId="1" xfId="4" applyNumberFormat="1" applyFont="1" applyFill="1" applyBorder="1" applyAlignment="1">
      <alignment horizontal="center" vertical="center" wrapText="1"/>
    </xf>
    <xf numFmtId="3" fontId="28" fillId="0" borderId="58" xfId="0" applyNumberFormat="1" applyFont="1" applyBorder="1" applyAlignment="1">
      <alignment horizontal="center" wrapText="1"/>
    </xf>
    <xf numFmtId="1" fontId="17" fillId="8" borderId="1" xfId="0" applyNumberFormat="1" applyFont="1" applyFill="1" applyBorder="1" applyAlignment="1">
      <alignment horizontal="center" vertical="center"/>
    </xf>
    <xf numFmtId="0" fontId="17" fillId="8" borderId="1" xfId="0" applyFont="1" applyFill="1" applyBorder="1" applyAlignment="1">
      <alignment vertical="center"/>
    </xf>
    <xf numFmtId="0" fontId="15" fillId="8" borderId="0" xfId="0" applyFont="1" applyFill="1" applyAlignment="1">
      <alignment vertical="center"/>
    </xf>
    <xf numFmtId="0" fontId="17" fillId="8" borderId="0" xfId="0" applyFont="1" applyFill="1" applyAlignment="1">
      <alignment horizontal="justify" vertical="center" wrapText="1"/>
    </xf>
    <xf numFmtId="0" fontId="17" fillId="8" borderId="0" xfId="0" applyFont="1" applyFill="1" applyAlignment="1">
      <alignment horizontal="justify" vertical="center"/>
    </xf>
    <xf numFmtId="0" fontId="17" fillId="8" borderId="0" xfId="0" applyFont="1" applyFill="1" applyAlignment="1">
      <alignment vertical="center"/>
    </xf>
    <xf numFmtId="170" fontId="15" fillId="8" borderId="0" xfId="0" applyNumberFormat="1" applyFont="1" applyFill="1" applyAlignment="1">
      <alignment horizontal="center" vertical="center"/>
    </xf>
    <xf numFmtId="173" fontId="17" fillId="8" borderId="0" xfId="8" applyFont="1" applyFill="1" applyAlignment="1">
      <alignment vertical="center"/>
    </xf>
    <xf numFmtId="173" fontId="17" fillId="8" borderId="57" xfId="8" applyFont="1" applyFill="1" applyBorder="1" applyAlignment="1">
      <alignment horizontal="center" vertical="center"/>
    </xf>
    <xf numFmtId="169" fontId="17" fillId="8" borderId="57" xfId="0" applyNumberFormat="1" applyFont="1" applyFill="1" applyBorder="1" applyAlignment="1">
      <alignment horizontal="justify" vertical="center"/>
    </xf>
    <xf numFmtId="169" fontId="13" fillId="8" borderId="55" xfId="0" applyNumberFormat="1" applyFont="1" applyFill="1" applyBorder="1" applyAlignment="1">
      <alignment horizontal="center" vertical="center"/>
    </xf>
    <xf numFmtId="173" fontId="17" fillId="8" borderId="55" xfId="8" applyFont="1" applyFill="1" applyBorder="1" applyAlignment="1">
      <alignment horizontal="justify" vertical="center"/>
    </xf>
    <xf numFmtId="173" fontId="17" fillId="10" borderId="55" xfId="8" applyFont="1" applyFill="1" applyBorder="1" applyAlignment="1">
      <alignment vertical="center"/>
    </xf>
    <xf numFmtId="173" fontId="17" fillId="10" borderId="1" xfId="8" applyFont="1" applyFill="1" applyBorder="1" applyAlignment="1">
      <alignment horizontal="center" vertical="center"/>
    </xf>
    <xf numFmtId="169" fontId="17" fillId="10" borderId="1" xfId="0" applyNumberFormat="1" applyFont="1" applyFill="1" applyBorder="1" applyAlignment="1">
      <alignment horizontal="justify" vertical="center"/>
    </xf>
    <xf numFmtId="169" fontId="17" fillId="10" borderId="4" xfId="0" applyNumberFormat="1" applyFont="1" applyFill="1" applyBorder="1" applyAlignment="1">
      <alignment horizontal="center" vertical="center"/>
    </xf>
    <xf numFmtId="169" fontId="13" fillId="10" borderId="4" xfId="0" applyNumberFormat="1" applyFont="1" applyFill="1" applyBorder="1" applyAlignment="1">
      <alignment horizontal="center" vertical="center"/>
    </xf>
    <xf numFmtId="173" fontId="17" fillId="10" borderId="4" xfId="8" applyFont="1" applyFill="1" applyBorder="1" applyAlignment="1">
      <alignment horizontal="center" vertical="center"/>
    </xf>
    <xf numFmtId="169" fontId="17" fillId="10" borderId="66" xfId="0" applyNumberFormat="1" applyFont="1" applyFill="1" applyBorder="1" applyAlignment="1">
      <alignment horizontal="center" vertical="center"/>
    </xf>
    <xf numFmtId="173" fontId="15" fillId="7" borderId="57" xfId="8" applyFont="1" applyFill="1" applyBorder="1" applyAlignment="1">
      <alignment horizontal="center" vertical="center" wrapText="1"/>
    </xf>
    <xf numFmtId="173" fontId="15" fillId="0" borderId="1" xfId="8" applyFont="1" applyBorder="1" applyAlignment="1">
      <alignment horizontal="center" vertical="center"/>
    </xf>
    <xf numFmtId="180" fontId="3" fillId="0" borderId="3" xfId="4" applyNumberFormat="1" applyFont="1" applyFill="1" applyBorder="1" applyAlignment="1">
      <alignment horizontal="center" vertical="center" wrapText="1"/>
    </xf>
    <xf numFmtId="4" fontId="3" fillId="0" borderId="3" xfId="4" applyNumberFormat="1" applyFont="1" applyFill="1" applyBorder="1" applyAlignment="1">
      <alignment horizontal="center" vertical="center" wrapText="1"/>
    </xf>
    <xf numFmtId="167" fontId="3" fillId="0" borderId="1" xfId="4" applyFont="1" applyFill="1" applyBorder="1" applyAlignment="1">
      <alignment horizontal="center" vertical="center"/>
    </xf>
    <xf numFmtId="0" fontId="15" fillId="0" borderId="1" xfId="0" applyFont="1" applyFill="1" applyBorder="1" applyAlignment="1">
      <alignment horizontal="left" vertical="center" wrapText="1"/>
    </xf>
    <xf numFmtId="3" fontId="15" fillId="0" borderId="0" xfId="0" applyNumberFormat="1" applyFont="1" applyAlignment="1">
      <alignment horizontal="center" vertical="center" wrapText="1"/>
    </xf>
    <xf numFmtId="0" fontId="20" fillId="0" borderId="1" xfId="0" applyFont="1" applyFill="1" applyBorder="1" applyAlignment="1">
      <alignment horizontal="left" vertical="top" wrapText="1"/>
    </xf>
    <xf numFmtId="0" fontId="15" fillId="0" borderId="1" xfId="0" applyFont="1" applyFill="1" applyBorder="1" applyAlignment="1">
      <alignment wrapText="1"/>
    </xf>
    <xf numFmtId="3" fontId="3" fillId="0" borderId="3" xfId="4" applyNumberFormat="1" applyFont="1" applyFill="1" applyBorder="1" applyAlignment="1">
      <alignment horizontal="center" vertical="center" wrapText="1"/>
    </xf>
    <xf numFmtId="0" fontId="17" fillId="10" borderId="53" xfId="0" applyFont="1" applyFill="1" applyBorder="1" applyAlignment="1">
      <alignment vertical="center"/>
    </xf>
    <xf numFmtId="0" fontId="15" fillId="10" borderId="0" xfId="0" applyFont="1" applyFill="1" applyAlignment="1">
      <alignment vertical="center"/>
    </xf>
    <xf numFmtId="0" fontId="17" fillId="10" borderId="0" xfId="0" applyFont="1" applyFill="1" applyAlignment="1">
      <alignment horizontal="justify" vertical="center" wrapText="1"/>
    </xf>
    <xf numFmtId="0" fontId="17" fillId="10" borderId="0" xfId="0" applyFont="1" applyFill="1" applyAlignment="1">
      <alignment horizontal="justify" vertical="center"/>
    </xf>
    <xf numFmtId="0" fontId="15" fillId="10" borderId="53" xfId="0" applyFont="1" applyFill="1" applyBorder="1" applyAlignment="1">
      <alignment vertical="center"/>
    </xf>
    <xf numFmtId="170" fontId="15" fillId="10" borderId="0" xfId="0" applyNumberFormat="1" applyFont="1" applyFill="1" applyAlignment="1">
      <alignment horizontal="center" vertical="center"/>
    </xf>
    <xf numFmtId="173" fontId="17" fillId="10" borderId="0" xfId="8" applyFont="1" applyFill="1" applyAlignment="1">
      <alignment vertical="center"/>
    </xf>
    <xf numFmtId="173" fontId="17" fillId="10" borderId="1" xfId="8" applyFont="1" applyFill="1" applyBorder="1" applyAlignment="1">
      <alignment horizontal="center" vertical="center" wrapText="1"/>
    </xf>
    <xf numFmtId="169" fontId="2" fillId="10" borderId="1" xfId="0" applyNumberFormat="1" applyFont="1" applyFill="1" applyBorder="1" applyAlignment="1">
      <alignment horizontal="justify" vertical="center"/>
    </xf>
    <xf numFmtId="4" fontId="3" fillId="0" borderId="1" xfId="4" applyNumberFormat="1" applyFont="1" applyFill="1" applyBorder="1" applyAlignment="1">
      <alignment horizontal="center" vertical="center"/>
    </xf>
    <xf numFmtId="3" fontId="18" fillId="0" borderId="16" xfId="0" applyNumberFormat="1" applyFont="1" applyBorder="1" applyAlignment="1">
      <alignment horizontal="center" vertical="center"/>
    </xf>
    <xf numFmtId="167" fontId="3" fillId="0" borderId="31" xfId="4" applyFont="1" applyFill="1" applyBorder="1" applyAlignment="1">
      <alignment horizontal="center" vertical="center" wrapText="1"/>
    </xf>
    <xf numFmtId="3" fontId="28" fillId="0" borderId="16" xfId="0" applyNumberFormat="1" applyFont="1" applyBorder="1" applyAlignment="1">
      <alignment horizontal="center" vertical="center"/>
    </xf>
    <xf numFmtId="167" fontId="3" fillId="7" borderId="74" xfId="4" applyFont="1" applyFill="1" applyBorder="1" applyAlignment="1">
      <alignment horizontal="center" vertical="center" wrapText="1"/>
    </xf>
    <xf numFmtId="0" fontId="13" fillId="10" borderId="1" xfId="0" applyFont="1" applyFill="1" applyBorder="1" applyAlignment="1">
      <alignment vertical="center"/>
    </xf>
    <xf numFmtId="172" fontId="17" fillId="10" borderId="1" xfId="0" applyNumberFormat="1" applyFont="1" applyFill="1" applyBorder="1" applyAlignment="1">
      <alignment vertical="center"/>
    </xf>
    <xf numFmtId="172" fontId="13" fillId="10" borderId="1" xfId="0" applyNumberFormat="1" applyFont="1" applyFill="1" applyBorder="1" applyAlignment="1">
      <alignment vertical="center"/>
    </xf>
    <xf numFmtId="173" fontId="17" fillId="10" borderId="1" xfId="8" applyFont="1" applyFill="1" applyBorder="1" applyAlignment="1">
      <alignment vertical="center"/>
    </xf>
    <xf numFmtId="0" fontId="17" fillId="8" borderId="3" xfId="0" applyFont="1" applyFill="1" applyBorder="1" applyAlignment="1">
      <alignment vertical="center"/>
    </xf>
    <xf numFmtId="0" fontId="17" fillId="8" borderId="5" xfId="0" applyFont="1" applyFill="1" applyBorder="1" applyAlignment="1">
      <alignment vertical="center"/>
    </xf>
    <xf numFmtId="169" fontId="17" fillId="10" borderId="1" xfId="0" applyNumberFormat="1" applyFont="1" applyFill="1" applyBorder="1" applyAlignment="1">
      <alignment horizontal="center" vertical="center"/>
    </xf>
    <xf numFmtId="169" fontId="13" fillId="10" borderId="1" xfId="0" applyNumberFormat="1" applyFont="1" applyFill="1" applyBorder="1" applyAlignment="1">
      <alignment horizontal="center" vertical="center"/>
    </xf>
    <xf numFmtId="0" fontId="13" fillId="10" borderId="1" xfId="0" applyFont="1" applyFill="1" applyBorder="1" applyAlignment="1">
      <alignment horizontal="justify" vertical="center"/>
    </xf>
    <xf numFmtId="173" fontId="17" fillId="10" borderId="1" xfId="8" applyFont="1" applyFill="1" applyBorder="1" applyAlignment="1">
      <alignment horizontal="justify" vertical="center"/>
    </xf>
    <xf numFmtId="181" fontId="3" fillId="0" borderId="1" xfId="4" applyNumberFormat="1" applyFont="1" applyFill="1" applyBorder="1" applyAlignment="1">
      <alignment horizontal="center" vertical="center"/>
    </xf>
    <xf numFmtId="1" fontId="15" fillId="0" borderId="1" xfId="4" applyNumberFormat="1" applyFont="1" applyBorder="1" applyAlignment="1">
      <alignment horizontal="center" vertical="center" wrapText="1"/>
    </xf>
    <xf numFmtId="3" fontId="3" fillId="0" borderId="1" xfId="4" applyNumberFormat="1" applyFont="1" applyFill="1" applyBorder="1" applyAlignment="1">
      <alignment horizontal="center" vertical="center"/>
    </xf>
    <xf numFmtId="3" fontId="18" fillId="0" borderId="76" xfId="0" applyNumberFormat="1" applyFont="1" applyBorder="1" applyAlignment="1">
      <alignment horizontal="center" vertical="center"/>
    </xf>
    <xf numFmtId="3" fontId="15" fillId="7" borderId="76" xfId="4" applyNumberFormat="1" applyFont="1" applyFill="1" applyBorder="1" applyAlignment="1">
      <alignment horizontal="center" vertical="center"/>
    </xf>
    <xf numFmtId="3" fontId="15" fillId="0" borderId="76" xfId="4" applyNumberFormat="1" applyFont="1" applyBorder="1" applyAlignment="1">
      <alignment horizontal="center" vertical="center"/>
    </xf>
    <xf numFmtId="167" fontId="15" fillId="0" borderId="76" xfId="4" applyFont="1" applyBorder="1" applyAlignment="1">
      <alignment horizontal="justify" vertical="center" wrapText="1"/>
    </xf>
    <xf numFmtId="4" fontId="15" fillId="0" borderId="76" xfId="4" applyNumberFormat="1" applyFont="1" applyBorder="1" applyAlignment="1">
      <alignment horizontal="center" vertical="center"/>
    </xf>
    <xf numFmtId="180" fontId="3" fillId="7" borderId="1" xfId="4" applyNumberFormat="1" applyFont="1" applyFill="1" applyBorder="1" applyAlignment="1">
      <alignment horizontal="center" vertical="center"/>
    </xf>
    <xf numFmtId="167" fontId="15" fillId="0" borderId="1" xfId="4" applyFont="1" applyBorder="1" applyAlignment="1">
      <alignment horizontal="justify" vertical="center" wrapText="1"/>
    </xf>
    <xf numFmtId="9" fontId="15" fillId="7" borderId="1" xfId="3" applyFont="1" applyFill="1" applyBorder="1" applyAlignment="1">
      <alignment horizontal="center" vertical="center"/>
    </xf>
    <xf numFmtId="181" fontId="3" fillId="7" borderId="1" xfId="4" applyNumberFormat="1" applyFont="1" applyFill="1" applyBorder="1" applyAlignment="1">
      <alignment horizontal="center" vertical="center"/>
    </xf>
    <xf numFmtId="3" fontId="3" fillId="7" borderId="1" xfId="4" applyNumberFormat="1" applyFont="1" applyFill="1" applyBorder="1" applyAlignment="1">
      <alignment horizontal="center" vertical="center"/>
    </xf>
    <xf numFmtId="0" fontId="15" fillId="10" borderId="4" xfId="0" applyFont="1" applyFill="1" applyBorder="1" applyAlignment="1">
      <alignment horizontal="justify" vertical="center"/>
    </xf>
    <xf numFmtId="0" fontId="13" fillId="10" borderId="4" xfId="0" applyFont="1" applyFill="1" applyBorder="1" applyAlignment="1">
      <alignment horizontal="justify" vertical="center"/>
    </xf>
    <xf numFmtId="173" fontId="17" fillId="10" borderId="4" xfId="8" applyFont="1" applyFill="1" applyBorder="1" applyAlignment="1">
      <alignment horizontal="justify" vertical="center"/>
    </xf>
    <xf numFmtId="0" fontId="17" fillId="10" borderId="66" xfId="0" applyFont="1" applyFill="1" applyBorder="1" applyAlignment="1">
      <alignment horizontal="justify" vertical="center"/>
    </xf>
    <xf numFmtId="3" fontId="15" fillId="7" borderId="1" xfId="4" applyNumberFormat="1" applyFont="1" applyFill="1" applyBorder="1" applyAlignment="1">
      <alignment horizontal="center" vertical="center"/>
    </xf>
    <xf numFmtId="9" fontId="15" fillId="0" borderId="1" xfId="3" applyFont="1" applyBorder="1" applyAlignment="1">
      <alignment horizontal="center" vertical="center"/>
    </xf>
    <xf numFmtId="173" fontId="15" fillId="0" borderId="1" xfId="8" applyFont="1" applyBorder="1" applyAlignment="1">
      <alignment vertical="center"/>
    </xf>
    <xf numFmtId="1" fontId="15" fillId="0" borderId="1" xfId="4" applyNumberFormat="1" applyFont="1" applyBorder="1" applyAlignment="1">
      <alignment horizontal="center" vertical="center"/>
    </xf>
    <xf numFmtId="3" fontId="15" fillId="0" borderId="1" xfId="4" applyNumberFormat="1" applyFont="1" applyBorder="1" applyAlignment="1">
      <alignment horizontal="center" vertical="center"/>
    </xf>
    <xf numFmtId="1" fontId="17" fillId="8" borderId="1" xfId="0" applyNumberFormat="1" applyFont="1" applyFill="1" applyBorder="1" applyAlignment="1">
      <alignment vertical="center"/>
    </xf>
    <xf numFmtId="1" fontId="17" fillId="8" borderId="55" xfId="0" applyNumberFormat="1" applyFont="1" applyFill="1" applyBorder="1" applyAlignment="1">
      <alignment vertical="center"/>
    </xf>
    <xf numFmtId="173" fontId="17" fillId="8" borderId="1" xfId="8" applyFont="1" applyFill="1" applyBorder="1" applyAlignment="1">
      <alignment horizontal="center" vertical="center"/>
    </xf>
    <xf numFmtId="0" fontId="17" fillId="8" borderId="1" xfId="0" applyFont="1" applyFill="1" applyBorder="1" applyAlignment="1">
      <alignment horizontal="justify" vertical="center"/>
    </xf>
    <xf numFmtId="167" fontId="15" fillId="7" borderId="76" xfId="4" applyFont="1" applyFill="1" applyBorder="1" applyAlignment="1">
      <alignment horizontal="justify" vertical="center" wrapText="1"/>
    </xf>
    <xf numFmtId="0" fontId="3" fillId="0" borderId="1" xfId="0" applyFont="1" applyFill="1" applyBorder="1" applyAlignment="1">
      <alignment horizontal="left" vertical="center" wrapText="1"/>
    </xf>
    <xf numFmtId="3" fontId="3" fillId="0" borderId="76" xfId="4" applyNumberFormat="1" applyFont="1" applyFill="1" applyBorder="1" applyAlignment="1">
      <alignment horizontal="center" vertical="center"/>
    </xf>
    <xf numFmtId="173" fontId="15" fillId="7" borderId="1" xfId="8" applyFont="1" applyFill="1" applyBorder="1" applyAlignment="1">
      <alignment horizontal="center" vertical="center"/>
    </xf>
    <xf numFmtId="1" fontId="17" fillId="8" borderId="3" xfId="0" applyNumberFormat="1" applyFont="1" applyFill="1" applyBorder="1" applyAlignment="1">
      <alignment vertical="center"/>
    </xf>
    <xf numFmtId="1" fontId="17" fillId="8" borderId="3" xfId="0" applyNumberFormat="1" applyFont="1" applyFill="1" applyBorder="1" applyAlignment="1">
      <alignment horizontal="center" vertical="center"/>
    </xf>
    <xf numFmtId="1" fontId="17" fillId="8" borderId="4" xfId="0" applyNumberFormat="1" applyFont="1" applyFill="1" applyBorder="1" applyAlignment="1">
      <alignment horizontal="justify" vertical="center"/>
    </xf>
    <xf numFmtId="1" fontId="13" fillId="8" borderId="4" xfId="0" applyNumberFormat="1" applyFont="1" applyFill="1" applyBorder="1" applyAlignment="1">
      <alignment horizontal="center" vertical="center"/>
    </xf>
    <xf numFmtId="1" fontId="17" fillId="8" borderId="66" xfId="0" applyNumberFormat="1" applyFont="1" applyFill="1" applyBorder="1" applyAlignment="1">
      <alignment horizontal="center" vertical="center"/>
    </xf>
    <xf numFmtId="1" fontId="17" fillId="10" borderId="53" xfId="0" applyNumberFormat="1" applyFont="1" applyFill="1" applyBorder="1" applyAlignment="1">
      <alignment horizontal="left" vertical="center" wrapText="1" indent="1"/>
    </xf>
    <xf numFmtId="0" fontId="17" fillId="10" borderId="57" xfId="0" applyFont="1" applyFill="1" applyBorder="1" applyAlignment="1">
      <alignment vertical="center"/>
    </xf>
    <xf numFmtId="0" fontId="15" fillId="10" borderId="53" xfId="0" applyFont="1" applyFill="1" applyBorder="1" applyAlignment="1">
      <alignment horizontal="center" vertical="center"/>
    </xf>
    <xf numFmtId="0" fontId="17" fillId="10" borderId="53" xfId="0" applyFont="1" applyFill="1" applyBorder="1" applyAlignment="1">
      <alignment horizontal="justify" vertical="center"/>
    </xf>
    <xf numFmtId="173" fontId="17" fillId="10" borderId="57" xfId="8" applyFont="1" applyFill="1" applyBorder="1" applyAlignment="1">
      <alignment horizontal="center" vertical="center"/>
    </xf>
    <xf numFmtId="169" fontId="17" fillId="10" borderId="57" xfId="0" applyNumberFormat="1" applyFont="1" applyFill="1" applyBorder="1" applyAlignment="1">
      <alignment horizontal="justify" vertical="center"/>
    </xf>
    <xf numFmtId="169" fontId="17" fillId="10" borderId="53" xfId="0" applyNumberFormat="1" applyFont="1" applyFill="1" applyBorder="1" applyAlignment="1">
      <alignment horizontal="center" vertical="center"/>
    </xf>
    <xf numFmtId="169" fontId="13" fillId="10" borderId="53" xfId="0" applyNumberFormat="1" applyFont="1" applyFill="1" applyBorder="1" applyAlignment="1">
      <alignment horizontal="center" vertical="center"/>
    </xf>
    <xf numFmtId="173" fontId="17" fillId="10" borderId="53" xfId="8" applyFont="1" applyFill="1" applyBorder="1" applyAlignment="1">
      <alignment horizontal="center" vertical="center"/>
    </xf>
    <xf numFmtId="169" fontId="17" fillId="10" borderId="65" xfId="0" applyNumberFormat="1" applyFont="1" applyFill="1" applyBorder="1" applyAlignment="1">
      <alignment horizontal="center" vertical="center"/>
    </xf>
    <xf numFmtId="0" fontId="3" fillId="7" borderId="67" xfId="0" applyFont="1" applyFill="1" applyBorder="1" applyAlignment="1">
      <alignment horizontal="left" vertical="center" wrapText="1" readingOrder="2"/>
    </xf>
    <xf numFmtId="4" fontId="3" fillId="7" borderId="76" xfId="4" applyNumberFormat="1" applyFont="1" applyFill="1" applyBorder="1" applyAlignment="1">
      <alignment horizontal="center" vertical="center"/>
    </xf>
    <xf numFmtId="39" fontId="15" fillId="7" borderId="1" xfId="8" applyNumberFormat="1" applyFont="1" applyFill="1" applyBorder="1" applyAlignment="1">
      <alignment horizontal="center" vertical="center"/>
    </xf>
    <xf numFmtId="49" fontId="15" fillId="0" borderId="76" xfId="4" applyNumberFormat="1" applyFont="1" applyBorder="1" applyAlignment="1">
      <alignment horizontal="center" vertical="center" wrapText="1"/>
    </xf>
    <xf numFmtId="3" fontId="3" fillId="7" borderId="76" xfId="4" applyNumberFormat="1" applyFont="1" applyFill="1" applyBorder="1" applyAlignment="1">
      <alignment horizontal="center" vertical="center" wrapText="1"/>
    </xf>
    <xf numFmtId="4" fontId="3" fillId="7" borderId="1" xfId="4" applyNumberFormat="1" applyFont="1" applyFill="1" applyBorder="1" applyAlignment="1">
      <alignment horizontal="center" vertical="center"/>
    </xf>
    <xf numFmtId="39" fontId="15" fillId="0" borderId="1" xfId="8" applyNumberFormat="1" applyFont="1" applyBorder="1" applyAlignment="1">
      <alignment horizontal="center" vertical="center"/>
    </xf>
    <xf numFmtId="0" fontId="3" fillId="7" borderId="70" xfId="0" applyFont="1" applyFill="1" applyBorder="1" applyAlignment="1">
      <alignment horizontal="left" vertical="center" wrapText="1"/>
    </xf>
    <xf numFmtId="0" fontId="3" fillId="7" borderId="70" xfId="0" applyFont="1" applyFill="1" applyBorder="1" applyAlignment="1">
      <alignment vertical="center" wrapText="1"/>
    </xf>
    <xf numFmtId="180" fontId="3" fillId="7" borderId="76" xfId="4" applyNumberFormat="1" applyFont="1" applyFill="1" applyBorder="1" applyAlignment="1">
      <alignment horizontal="center" vertical="center"/>
    </xf>
    <xf numFmtId="4" fontId="3" fillId="7" borderId="16" xfId="4" applyNumberFormat="1" applyFont="1" applyFill="1" applyBorder="1" applyAlignment="1">
      <alignment horizontal="center" vertical="center"/>
    </xf>
    <xf numFmtId="39" fontId="15" fillId="0" borderId="76" xfId="8" applyNumberFormat="1" applyFont="1" applyBorder="1" applyAlignment="1">
      <alignment horizontal="center" vertical="center"/>
    </xf>
    <xf numFmtId="3" fontId="3" fillId="7" borderId="15" xfId="4" applyNumberFormat="1" applyFont="1" applyFill="1" applyBorder="1" applyAlignment="1">
      <alignment horizontal="center" vertical="center"/>
    </xf>
    <xf numFmtId="0" fontId="17" fillId="6" borderId="1" xfId="0" applyFont="1" applyFill="1" applyBorder="1" applyAlignment="1">
      <alignment vertical="center"/>
    </xf>
    <xf numFmtId="1" fontId="17" fillId="10" borderId="55" xfId="0" applyNumberFormat="1" applyFont="1" applyFill="1" applyBorder="1" applyAlignment="1">
      <alignment horizontal="left" vertical="center" wrapText="1" indent="1"/>
    </xf>
    <xf numFmtId="0" fontId="17" fillId="10" borderId="4" xfId="0" applyFont="1" applyFill="1" applyBorder="1" applyAlignment="1">
      <alignment vertical="center" wrapText="1"/>
    </xf>
    <xf numFmtId="0" fontId="17" fillId="10" borderId="66" xfId="0" applyFont="1" applyFill="1" applyBorder="1" applyAlignment="1">
      <alignment vertical="center" wrapText="1"/>
    </xf>
    <xf numFmtId="0" fontId="33" fillId="7" borderId="55" xfId="0" applyFont="1" applyFill="1" applyBorder="1"/>
    <xf numFmtId="0" fontId="33" fillId="7" borderId="52" xfId="0" applyFont="1" applyFill="1" applyBorder="1"/>
    <xf numFmtId="0" fontId="3" fillId="0" borderId="67" xfId="0" applyFont="1" applyFill="1" applyBorder="1" applyAlignment="1">
      <alignment horizontal="left" vertical="center" wrapText="1"/>
    </xf>
    <xf numFmtId="181" fontId="3" fillId="0" borderId="76" xfId="4" applyNumberFormat="1" applyFont="1" applyFill="1" applyBorder="1" applyAlignment="1">
      <alignment horizontal="center" vertical="center"/>
    </xf>
    <xf numFmtId="1" fontId="15" fillId="0" borderId="76" xfId="4" applyNumberFormat="1" applyFont="1" applyBorder="1" applyAlignment="1">
      <alignment horizontal="center" vertical="center"/>
    </xf>
    <xf numFmtId="0" fontId="15" fillId="0" borderId="1" xfId="0" applyFont="1" applyBorder="1" applyAlignment="1">
      <alignment horizontal="center" vertical="center"/>
    </xf>
    <xf numFmtId="0" fontId="33" fillId="7" borderId="17" xfId="0" applyFont="1" applyFill="1" applyBorder="1"/>
    <xf numFmtId="0" fontId="33" fillId="7" borderId="0" xfId="0" applyFont="1" applyFill="1"/>
    <xf numFmtId="0" fontId="20" fillId="0" borderId="67" xfId="0" applyFont="1" applyFill="1" applyBorder="1" applyAlignment="1">
      <alignment horizontal="left" vertical="center" wrapText="1"/>
    </xf>
    <xf numFmtId="182" fontId="3" fillId="0" borderId="1" xfId="4" applyNumberFormat="1" applyFont="1" applyFill="1" applyBorder="1" applyAlignment="1">
      <alignment horizontal="center" vertical="center"/>
    </xf>
    <xf numFmtId="0" fontId="3" fillId="0" borderId="70" xfId="0" applyFont="1" applyFill="1" applyBorder="1" applyAlignment="1">
      <alignment horizontal="justify" vertical="center" wrapText="1"/>
    </xf>
    <xf numFmtId="180" fontId="3" fillId="0" borderId="76" xfId="4" applyNumberFormat="1" applyFont="1" applyFill="1" applyBorder="1" applyAlignment="1">
      <alignment horizontal="center" vertical="center"/>
    </xf>
    <xf numFmtId="182" fontId="3" fillId="0" borderId="16" xfId="4" applyNumberFormat="1" applyFont="1" applyFill="1" applyBorder="1" applyAlignment="1">
      <alignment horizontal="center" vertical="center"/>
    </xf>
    <xf numFmtId="173" fontId="15" fillId="0" borderId="76" xfId="8" applyFont="1" applyBorder="1" applyAlignment="1">
      <alignment horizontal="center" vertical="center"/>
    </xf>
    <xf numFmtId="1" fontId="25" fillId="7" borderId="20" xfId="4" applyNumberFormat="1" applyFont="1" applyFill="1" applyBorder="1" applyAlignment="1">
      <alignment horizontal="center" vertical="center" wrapText="1"/>
    </xf>
    <xf numFmtId="1" fontId="25" fillId="7" borderId="21" xfId="4" applyNumberFormat="1" applyFont="1" applyFill="1" applyBorder="1" applyAlignment="1">
      <alignment horizontal="center" vertical="center" wrapText="1"/>
    </xf>
    <xf numFmtId="0" fontId="17" fillId="0" borderId="21" xfId="0" applyFont="1" applyBorder="1" applyAlignment="1">
      <alignment horizontal="center"/>
    </xf>
    <xf numFmtId="0" fontId="23" fillId="7" borderId="21" xfId="0" applyFont="1" applyFill="1" applyBorder="1"/>
    <xf numFmtId="3" fontId="17" fillId="0" borderId="21" xfId="4" applyNumberFormat="1" applyFont="1" applyBorder="1" applyAlignment="1">
      <alignment horizontal="center" vertical="center"/>
    </xf>
    <xf numFmtId="167" fontId="17" fillId="7" borderId="21" xfId="4" applyFont="1" applyFill="1" applyBorder="1" applyAlignment="1">
      <alignment horizontal="justify" vertical="center" wrapText="1"/>
    </xf>
    <xf numFmtId="3" fontId="17" fillId="7" borderId="21" xfId="4" applyNumberFormat="1" applyFont="1" applyFill="1" applyBorder="1" applyAlignment="1">
      <alignment horizontal="center" vertical="center"/>
    </xf>
    <xf numFmtId="167" fontId="17" fillId="7" borderId="21" xfId="4" applyFont="1" applyFill="1" applyBorder="1" applyAlignment="1">
      <alignment horizontal="center" vertical="center"/>
    </xf>
    <xf numFmtId="49" fontId="17" fillId="0" borderId="21" xfId="4" applyNumberFormat="1" applyFont="1" applyBorder="1" applyAlignment="1">
      <alignment horizontal="center" vertical="center" wrapText="1"/>
    </xf>
    <xf numFmtId="3" fontId="17" fillId="7" borderId="22" xfId="4" applyNumberFormat="1" applyFont="1" applyFill="1" applyBorder="1" applyAlignment="1">
      <alignment horizontal="center" vertical="center"/>
    </xf>
    <xf numFmtId="173" fontId="21" fillId="7" borderId="23" xfId="8" applyFont="1" applyFill="1" applyBorder="1" applyAlignment="1">
      <alignment horizontal="center" vertical="center"/>
    </xf>
    <xf numFmtId="167" fontId="17" fillId="7" borderId="20" xfId="4" applyFont="1" applyFill="1" applyBorder="1" applyAlignment="1">
      <alignment horizontal="justify" vertical="center" wrapText="1"/>
    </xf>
    <xf numFmtId="0" fontId="25" fillId="7" borderId="22" xfId="0" applyFont="1" applyFill="1" applyBorder="1" applyAlignment="1">
      <alignment horizontal="justify" vertical="center" wrapText="1"/>
    </xf>
    <xf numFmtId="173" fontId="17" fillId="7" borderId="23" xfId="8" applyFont="1" applyFill="1" applyBorder="1" applyAlignment="1">
      <alignment horizontal="center" vertical="center"/>
    </xf>
    <xf numFmtId="3" fontId="17" fillId="7" borderId="20" xfId="4" applyNumberFormat="1" applyFont="1" applyFill="1" applyBorder="1" applyAlignment="1">
      <alignment horizontal="center" vertical="center"/>
    </xf>
    <xf numFmtId="0" fontId="23" fillId="0" borderId="21" xfId="0" applyFont="1" applyBorder="1" applyAlignment="1">
      <alignment vertical="center"/>
    </xf>
    <xf numFmtId="0" fontId="34" fillId="0" borderId="21" xfId="0" applyFont="1" applyBorder="1" applyAlignment="1">
      <alignment vertical="center"/>
    </xf>
    <xf numFmtId="0" fontId="23" fillId="0" borderId="22" xfId="0" applyFont="1" applyBorder="1" applyAlignment="1">
      <alignment vertical="center"/>
    </xf>
    <xf numFmtId="173" fontId="23" fillId="0" borderId="23" xfId="8" applyFont="1" applyBorder="1" applyAlignment="1">
      <alignment vertical="center"/>
    </xf>
    <xf numFmtId="173" fontId="23" fillId="7" borderId="23" xfId="8" applyFont="1" applyFill="1" applyBorder="1" applyAlignment="1">
      <alignment vertical="center"/>
    </xf>
    <xf numFmtId="0" fontId="23" fillId="0" borderId="20" xfId="0" applyFont="1" applyBorder="1" applyAlignment="1">
      <alignment vertical="center"/>
    </xf>
    <xf numFmtId="14" fontId="17" fillId="0" borderId="21" xfId="0" applyNumberFormat="1" applyFont="1" applyBorder="1" applyAlignment="1">
      <alignment vertical="center"/>
    </xf>
    <xf numFmtId="0" fontId="23" fillId="0" borderId="22" xfId="0" applyFont="1" applyBorder="1" applyAlignment="1">
      <alignment horizontal="left" vertical="center"/>
    </xf>
    <xf numFmtId="0" fontId="17" fillId="7" borderId="0" xfId="0" applyFont="1" applyFill="1"/>
    <xf numFmtId="0" fontId="17" fillId="0" borderId="0" xfId="0" applyFont="1"/>
    <xf numFmtId="1" fontId="24" fillId="0" borderId="0" xfId="0" applyNumberFormat="1" applyFont="1"/>
    <xf numFmtId="0" fontId="24" fillId="7" borderId="0" xfId="0" applyFont="1" applyFill="1" applyAlignment="1">
      <alignment horizontal="justify" vertical="center" wrapText="1"/>
    </xf>
    <xf numFmtId="0" fontId="24" fillId="7" borderId="0" xfId="0" applyFont="1" applyFill="1" applyAlignment="1">
      <alignment horizontal="justify"/>
    </xf>
    <xf numFmtId="0" fontId="24" fillId="7" borderId="0" xfId="0" applyFont="1" applyFill="1" applyAlignment="1">
      <alignment horizontal="center"/>
    </xf>
    <xf numFmtId="0" fontId="24" fillId="7" borderId="0" xfId="0" applyFont="1" applyFill="1" applyAlignment="1">
      <alignment horizontal="justify" vertical="center"/>
    </xf>
    <xf numFmtId="170" fontId="24" fillId="7" borderId="0" xfId="0" applyNumberFormat="1" applyFont="1" applyFill="1" applyAlignment="1">
      <alignment horizontal="center" vertical="center"/>
    </xf>
    <xf numFmtId="169" fontId="24" fillId="7" borderId="0" xfId="0" applyNumberFormat="1" applyFont="1" applyFill="1" applyAlignment="1">
      <alignment vertical="center"/>
    </xf>
    <xf numFmtId="171" fontId="24" fillId="7" borderId="0" xfId="0" applyNumberFormat="1" applyFont="1" applyFill="1" applyAlignment="1">
      <alignment horizontal="center" vertical="center"/>
    </xf>
    <xf numFmtId="173" fontId="17" fillId="7" borderId="0" xfId="8" applyFont="1" applyFill="1" applyAlignment="1">
      <alignment horizontal="center" vertical="center"/>
    </xf>
    <xf numFmtId="0" fontId="24" fillId="7" borderId="0" xfId="0" applyFont="1" applyFill="1" applyAlignment="1">
      <alignment horizontal="center" vertical="center"/>
    </xf>
    <xf numFmtId="0" fontId="32" fillId="0" borderId="0" xfId="0" applyFont="1"/>
    <xf numFmtId="172" fontId="24" fillId="0" borderId="0" xfId="0" applyNumberFormat="1" applyFont="1" applyAlignment="1">
      <alignment horizontal="right" vertical="center"/>
    </xf>
    <xf numFmtId="0" fontId="24" fillId="0" borderId="0" xfId="0" applyFont="1" applyAlignment="1">
      <alignment horizontal="justify" vertical="center" wrapText="1"/>
    </xf>
    <xf numFmtId="0" fontId="35" fillId="0" borderId="34" xfId="0" applyFont="1" applyBorder="1"/>
    <xf numFmtId="0" fontId="36" fillId="0" borderId="34" xfId="0" applyFont="1" applyBorder="1"/>
    <xf numFmtId="0" fontId="35" fillId="0" borderId="0" xfId="0" applyFont="1"/>
    <xf numFmtId="1" fontId="24" fillId="7" borderId="0" xfId="0" applyNumberFormat="1" applyFont="1" applyFill="1" applyAlignment="1">
      <alignment horizontal="center" vertical="center"/>
    </xf>
    <xf numFmtId="0" fontId="37" fillId="0" borderId="0" xfId="0" applyFont="1"/>
    <xf numFmtId="173" fontId="17" fillId="0" borderId="0" xfId="8" applyFont="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171" fontId="24" fillId="0" borderId="0" xfId="0" applyNumberFormat="1" applyFont="1" applyAlignment="1">
      <alignment horizontal="center" vertical="center"/>
    </xf>
    <xf numFmtId="43" fontId="24" fillId="0" borderId="0" xfId="0" applyNumberFormat="1" applyFont="1"/>
    <xf numFmtId="1" fontId="24" fillId="0" borderId="0" xfId="0" applyNumberFormat="1" applyFont="1" applyAlignment="1">
      <alignment horizontal="center" vertical="center"/>
    </xf>
    <xf numFmtId="43" fontId="24" fillId="0" borderId="0" xfId="0" applyNumberFormat="1" applyFont="1" applyAlignment="1">
      <alignment horizontal="center" vertical="center"/>
    </xf>
    <xf numFmtId="0" fontId="24" fillId="0" borderId="0" xfId="0" applyFont="1" applyAlignment="1"/>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9" fontId="3" fillId="0" borderId="1" xfId="3" applyFont="1" applyBorder="1" applyAlignment="1">
      <alignment horizontal="center" vertical="center"/>
    </xf>
    <xf numFmtId="0" fontId="3" fillId="0" borderId="5" xfId="0" applyFont="1" applyBorder="1" applyAlignment="1">
      <alignment horizontal="justify" vertical="center"/>
    </xf>
    <xf numFmtId="0" fontId="15" fillId="0" borderId="1" xfId="0" applyFont="1" applyFill="1" applyBorder="1" applyAlignment="1">
      <alignment horizontal="justify" vertical="center" wrapText="1"/>
    </xf>
    <xf numFmtId="0" fontId="2" fillId="0" borderId="1" xfId="0" applyFont="1" applyBorder="1" applyAlignment="1">
      <alignment horizontal="center" vertical="center"/>
    </xf>
    <xf numFmtId="0" fontId="3" fillId="7" borderId="16"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9" fontId="3" fillId="0" borderId="1" xfId="3" applyFont="1" applyFill="1" applyBorder="1" applyAlignment="1">
      <alignment horizontal="center" vertical="center" wrapText="1"/>
    </xf>
    <xf numFmtId="0" fontId="17"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5" fillId="7" borderId="1" xfId="0" applyFont="1" applyFill="1" applyBorder="1" applyAlignment="1">
      <alignment horizontal="justify" vertical="center" wrapText="1"/>
    </xf>
    <xf numFmtId="0" fontId="15" fillId="7" borderId="1" xfId="0" applyFont="1" applyFill="1" applyBorder="1" applyAlignment="1">
      <alignment horizontal="center" vertical="center" wrapText="1"/>
    </xf>
    <xf numFmtId="0" fontId="15" fillId="7" borderId="15"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5" fillId="0" borderId="1" xfId="0" applyFont="1" applyBorder="1" applyAlignment="1">
      <alignment horizontal="center" vertical="center"/>
    </xf>
    <xf numFmtId="0" fontId="17"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7" borderId="1" xfId="0" applyFont="1" applyFill="1" applyBorder="1" applyAlignment="1">
      <alignment vertical="center" wrapText="1"/>
    </xf>
    <xf numFmtId="0" fontId="3" fillId="7" borderId="1" xfId="0" applyFont="1" applyFill="1" applyBorder="1" applyAlignment="1">
      <alignment horizontal="justify" vertical="center" wrapText="1"/>
    </xf>
    <xf numFmtId="0" fontId="3" fillId="7" borderId="58" xfId="0" applyFont="1" applyFill="1" applyBorder="1" applyAlignment="1">
      <alignment horizontal="center" vertical="center" wrapText="1"/>
    </xf>
    <xf numFmtId="0" fontId="3" fillId="7" borderId="59" xfId="0"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7" borderId="1" xfId="0" applyFont="1" applyFill="1" applyBorder="1" applyAlignment="1">
      <alignment horizontal="justify" vertical="center"/>
    </xf>
    <xf numFmtId="0" fontId="15" fillId="7" borderId="15" xfId="0" applyFont="1" applyFill="1" applyBorder="1" applyAlignment="1">
      <alignment horizontal="center" vertical="center" wrapText="1"/>
    </xf>
    <xf numFmtId="9" fontId="3" fillId="0" borderId="1" xfId="0" applyNumberFormat="1" applyFont="1" applyBorder="1" applyAlignment="1">
      <alignment horizontal="center" vertical="center"/>
    </xf>
    <xf numFmtId="0" fontId="17" fillId="0" borderId="35"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14" fontId="17" fillId="14" borderId="14" xfId="0" applyNumberFormat="1" applyFont="1" applyFill="1" applyBorder="1" applyAlignment="1">
      <alignment horizontal="center" vertical="center" wrapText="1"/>
    </xf>
    <xf numFmtId="49" fontId="15" fillId="7" borderId="8" xfId="0" applyNumberFormat="1" applyFont="1" applyFill="1" applyBorder="1" applyAlignment="1">
      <alignment horizontal="center" vertical="center" wrapText="1"/>
    </xf>
    <xf numFmtId="41" fontId="15" fillId="0" borderId="8" xfId="2" applyFont="1" applyBorder="1" applyAlignment="1">
      <alignment horizontal="center" vertical="center" wrapText="1"/>
    </xf>
    <xf numFmtId="14" fontId="19" fillId="0" borderId="8" xfId="0" applyNumberFormat="1" applyFont="1" applyBorder="1" applyAlignment="1">
      <alignment horizontal="center" vertical="center" wrapText="1"/>
    </xf>
    <xf numFmtId="14" fontId="19" fillId="0" borderId="18" xfId="0" applyNumberFormat="1" applyFont="1" applyBorder="1" applyAlignment="1">
      <alignment horizontal="center" vertical="center" wrapText="1"/>
    </xf>
    <xf numFmtId="14" fontId="19" fillId="0" borderId="15" xfId="0" applyNumberFormat="1" applyFont="1" applyBorder="1" applyAlignment="1">
      <alignment horizontal="center" vertical="center" wrapText="1"/>
    </xf>
    <xf numFmtId="178" fontId="15" fillId="7" borderId="8" xfId="0" applyNumberFormat="1" applyFont="1" applyFill="1" applyBorder="1" applyAlignment="1">
      <alignment horizontal="center" vertical="center" wrapText="1"/>
    </xf>
    <xf numFmtId="0" fontId="15" fillId="7" borderId="29" xfId="0" applyFont="1" applyFill="1" applyBorder="1"/>
    <xf numFmtId="3" fontId="15" fillId="7" borderId="76" xfId="4" applyNumberFormat="1" applyFont="1" applyFill="1" applyBorder="1" applyAlignment="1">
      <alignment horizontal="center" vertical="center" wrapText="1"/>
    </xf>
    <xf numFmtId="9" fontId="15" fillId="7" borderId="76" xfId="3" applyNumberFormat="1" applyFont="1" applyFill="1" applyBorder="1" applyAlignment="1">
      <alignment horizontal="center" vertical="center" wrapText="1"/>
    </xf>
    <xf numFmtId="180" fontId="3" fillId="7" borderId="76" xfId="4" applyNumberFormat="1" applyFont="1" applyFill="1" applyBorder="1" applyAlignment="1">
      <alignment horizontal="center" vertical="center" wrapText="1"/>
    </xf>
    <xf numFmtId="4" fontId="3" fillId="0" borderId="76" xfId="4" applyNumberFormat="1" applyFont="1" applyFill="1" applyBorder="1" applyAlignment="1">
      <alignment horizontal="center" vertical="center" wrapText="1"/>
    </xf>
    <xf numFmtId="167" fontId="3" fillId="0" borderId="76" xfId="4" applyFont="1" applyFill="1" applyBorder="1" applyAlignment="1">
      <alignment horizontal="center" vertical="center"/>
    </xf>
    <xf numFmtId="3" fontId="15" fillId="0" borderId="76" xfId="4" applyNumberFormat="1" applyFont="1" applyBorder="1" applyAlignment="1">
      <alignment horizontal="center" vertical="center" wrapText="1"/>
    </xf>
    <xf numFmtId="167" fontId="3" fillId="0" borderId="76" xfId="4" applyFont="1" applyFill="1" applyBorder="1" applyAlignment="1">
      <alignment horizontal="center" vertical="center" wrapText="1"/>
    </xf>
    <xf numFmtId="3" fontId="18" fillId="0" borderId="29" xfId="0" applyNumberFormat="1" applyFont="1" applyBorder="1" applyAlignment="1">
      <alignment horizontal="center" vertical="center"/>
    </xf>
    <xf numFmtId="167" fontId="3" fillId="0" borderId="76" xfId="4" applyFont="1" applyBorder="1" applyAlignment="1">
      <alignment horizontal="center" vertical="center" wrapText="1"/>
    </xf>
    <xf numFmtId="0" fontId="20" fillId="7" borderId="76" xfId="0" applyFont="1" applyFill="1" applyBorder="1" applyAlignment="1">
      <alignment horizontal="justify" vertical="center" wrapText="1"/>
    </xf>
    <xf numFmtId="173" fontId="15" fillId="0" borderId="76" xfId="8" applyFont="1" applyBorder="1" applyAlignment="1">
      <alignment horizontal="center" vertical="center" wrapText="1"/>
    </xf>
    <xf numFmtId="0" fontId="6" fillId="0" borderId="61" xfId="0" applyFont="1" applyBorder="1" applyAlignment="1">
      <alignment vertical="center"/>
    </xf>
    <xf numFmtId="0" fontId="6" fillId="0" borderId="62" xfId="0" applyFont="1" applyBorder="1" applyAlignment="1">
      <alignment vertical="center"/>
    </xf>
    <xf numFmtId="0" fontId="6" fillId="0" borderId="1" xfId="0" applyFont="1" applyBorder="1" applyAlignment="1">
      <alignment horizontal="left" vertical="center"/>
    </xf>
    <xf numFmtId="166" fontId="6" fillId="0" borderId="63" xfId="0" applyNumberFormat="1" applyFont="1" applyBorder="1" applyAlignment="1">
      <alignment horizontal="left" vertical="center"/>
    </xf>
    <xf numFmtId="0" fontId="6" fillId="0" borderId="1" xfId="0" applyFont="1" applyBorder="1" applyAlignment="1">
      <alignment vertical="center"/>
    </xf>
    <xf numFmtId="17" fontId="6" fillId="0" borderId="63" xfId="0" applyNumberFormat="1" applyFont="1" applyBorder="1" applyAlignment="1">
      <alignment horizontal="left" vertical="center"/>
    </xf>
    <xf numFmtId="3" fontId="9" fillId="2" borderId="63" xfId="0" applyNumberFormat="1" applyFont="1" applyFill="1" applyBorder="1" applyAlignment="1">
      <alignment horizontal="left" vertical="center" wrapText="1"/>
    </xf>
    <xf numFmtId="0" fontId="12" fillId="0" borderId="0" xfId="0" applyFont="1" applyAlignment="1">
      <alignment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38" fillId="0" borderId="4" xfId="0" applyFont="1" applyFill="1" applyBorder="1" applyAlignment="1">
      <alignment horizontal="center" vertical="center"/>
    </xf>
    <xf numFmtId="0" fontId="21"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0" borderId="0" xfId="0" applyFont="1" applyAlignment="1">
      <alignment horizontal="center" vertical="center"/>
    </xf>
    <xf numFmtId="171" fontId="21" fillId="5" borderId="1" xfId="6" applyFont="1" applyFill="1" applyBorder="1" applyAlignment="1">
      <alignment horizontal="center" vertical="center" wrapText="1"/>
    </xf>
    <xf numFmtId="0" fontId="21" fillId="14" borderId="1" xfId="0" applyFont="1" applyFill="1" applyBorder="1" applyAlignment="1">
      <alignment horizontal="center" vertical="center" wrapText="1"/>
    </xf>
    <xf numFmtId="0" fontId="6" fillId="7" borderId="70" xfId="0" applyFont="1" applyFill="1" applyBorder="1" applyAlignment="1">
      <alignment horizontal="center" vertical="center" wrapText="1"/>
    </xf>
    <xf numFmtId="0" fontId="6" fillId="7" borderId="55" xfId="0" applyFont="1" applyFill="1" applyBorder="1" applyAlignment="1">
      <alignment horizontal="center" vertical="center" wrapText="1"/>
    </xf>
    <xf numFmtId="0" fontId="6" fillId="7" borderId="52" xfId="0" applyFont="1" applyFill="1" applyBorder="1"/>
    <xf numFmtId="0" fontId="6" fillId="15" borderId="52" xfId="0" applyFont="1" applyFill="1" applyBorder="1" applyAlignment="1">
      <alignment horizontal="center" vertical="center" wrapText="1"/>
    </xf>
    <xf numFmtId="0" fontId="6" fillId="15" borderId="4" xfId="0" applyFont="1" applyFill="1" applyBorder="1" applyAlignment="1">
      <alignment horizontal="justify" vertical="center" wrapText="1"/>
    </xf>
    <xf numFmtId="0" fontId="6" fillId="15" borderId="4" xfId="0" applyFont="1" applyFill="1" applyBorder="1" applyAlignment="1">
      <alignment vertical="center" wrapText="1"/>
    </xf>
    <xf numFmtId="0" fontId="6" fillId="15" borderId="4" xfId="0" applyFont="1" applyFill="1" applyBorder="1" applyAlignment="1">
      <alignment horizontal="center" vertical="center" wrapText="1"/>
    </xf>
    <xf numFmtId="194" fontId="6" fillId="15" borderId="4" xfId="0" applyNumberFormat="1" applyFont="1" applyFill="1" applyBorder="1" applyAlignment="1">
      <alignment horizontal="center" vertical="center" wrapText="1"/>
    </xf>
    <xf numFmtId="171" fontId="6" fillId="15" borderId="4" xfId="6" applyFont="1" applyFill="1" applyBorder="1" applyAlignment="1">
      <alignment horizontal="right" vertical="center" wrapText="1"/>
    </xf>
    <xf numFmtId="171" fontId="21" fillId="15" borderId="4" xfId="6" applyFont="1" applyFill="1" applyBorder="1" applyAlignment="1">
      <alignment horizontal="right" vertical="center" wrapText="1"/>
    </xf>
    <xf numFmtId="1" fontId="6" fillId="15" borderId="4" xfId="0" applyNumberFormat="1" applyFont="1" applyFill="1" applyBorder="1" applyAlignment="1">
      <alignment horizontal="center" vertical="center" wrapText="1"/>
    </xf>
    <xf numFmtId="0" fontId="38" fillId="15" borderId="4" xfId="0" applyFont="1" applyFill="1" applyBorder="1" applyAlignment="1">
      <alignment vertical="center" wrapText="1"/>
    </xf>
    <xf numFmtId="0" fontId="6" fillId="0" borderId="0" xfId="0" applyFont="1"/>
    <xf numFmtId="0" fontId="12" fillId="7" borderId="71"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17" xfId="0" applyFont="1" applyFill="1" applyBorder="1" applyAlignment="1">
      <alignment horizontal="center" vertical="center" wrapText="1"/>
    </xf>
    <xf numFmtId="0" fontId="12" fillId="7" borderId="76" xfId="0" applyFont="1" applyFill="1" applyBorder="1" applyAlignment="1">
      <alignment horizontal="center" vertical="center" wrapText="1"/>
    </xf>
    <xf numFmtId="0" fontId="12" fillId="7" borderId="55" xfId="0" applyFont="1" applyFill="1" applyBorder="1"/>
    <xf numFmtId="0" fontId="12" fillId="7" borderId="52" xfId="0" applyFont="1" applyFill="1" applyBorder="1"/>
    <xf numFmtId="0" fontId="6" fillId="10" borderId="1" xfId="0" applyFont="1" applyFill="1" applyBorder="1" applyAlignment="1">
      <alignment horizontal="center" vertical="center" wrapText="1"/>
    </xf>
    <xf numFmtId="0" fontId="12" fillId="10" borderId="4" xfId="0" applyFont="1" applyFill="1" applyBorder="1" applyAlignment="1">
      <alignment horizontal="justify" vertical="center" wrapText="1"/>
    </xf>
    <xf numFmtId="0" fontId="12" fillId="10" borderId="4" xfId="0" applyFont="1" applyFill="1" applyBorder="1" applyAlignment="1">
      <alignment vertical="center" wrapText="1"/>
    </xf>
    <xf numFmtId="0" fontId="12" fillId="10" borderId="4" xfId="0" applyFont="1" applyFill="1" applyBorder="1" applyAlignment="1">
      <alignment horizontal="center" vertical="center" wrapText="1"/>
    </xf>
    <xf numFmtId="194" fontId="12" fillId="10" borderId="4" xfId="0" applyNumberFormat="1" applyFont="1" applyFill="1" applyBorder="1" applyAlignment="1">
      <alignment horizontal="center" vertical="center" wrapText="1"/>
    </xf>
    <xf numFmtId="171" fontId="12" fillId="10" borderId="4" xfId="6" applyFont="1" applyFill="1" applyBorder="1" applyAlignment="1">
      <alignment horizontal="right" vertical="center" wrapText="1"/>
    </xf>
    <xf numFmtId="171" fontId="19" fillId="10" borderId="4" xfId="6" applyFont="1" applyFill="1" applyBorder="1" applyAlignment="1">
      <alignment horizontal="right" vertical="center" wrapText="1"/>
    </xf>
    <xf numFmtId="1" fontId="12" fillId="10" borderId="4" xfId="0" applyNumberFormat="1" applyFont="1" applyFill="1" applyBorder="1" applyAlignment="1">
      <alignment horizontal="center" vertical="center" wrapText="1"/>
    </xf>
    <xf numFmtId="0" fontId="39" fillId="10" borderId="4" xfId="0" applyFont="1" applyFill="1" applyBorder="1" applyAlignment="1">
      <alignment vertical="center" wrapText="1"/>
    </xf>
    <xf numFmtId="0" fontId="12" fillId="7" borderId="71" xfId="0" applyFont="1" applyFill="1" applyBorder="1" applyAlignment="1">
      <alignment vertical="center" wrapText="1"/>
    </xf>
    <xf numFmtId="0" fontId="12" fillId="7" borderId="0" xfId="0" applyFont="1" applyFill="1" applyAlignment="1">
      <alignment vertical="center" textRotation="90" wrapText="1"/>
    </xf>
    <xf numFmtId="0" fontId="12" fillId="7" borderId="17" xfId="0" applyFont="1" applyFill="1" applyBorder="1" applyAlignment="1">
      <alignment vertical="center" textRotation="90" wrapText="1"/>
    </xf>
    <xf numFmtId="0" fontId="12" fillId="7" borderId="15" xfId="0" applyFont="1" applyFill="1" applyBorder="1" applyAlignment="1">
      <alignment vertical="center" wrapText="1"/>
    </xf>
    <xf numFmtId="0" fontId="19" fillId="7" borderId="0" xfId="0" applyFont="1" applyFill="1" applyAlignment="1">
      <alignment vertical="center" textRotation="90" wrapText="1"/>
    </xf>
    <xf numFmtId="0" fontId="19" fillId="7" borderId="17" xfId="0" applyFont="1" applyFill="1" applyBorder="1" applyAlignment="1">
      <alignment vertical="center" textRotation="90" wrapText="1"/>
    </xf>
    <xf numFmtId="195" fontId="19" fillId="7" borderId="76" xfId="0" applyNumberFormat="1" applyFont="1" applyFill="1" applyBorder="1" applyAlignment="1">
      <alignment horizontal="center" vertical="center" wrapText="1"/>
    </xf>
    <xf numFmtId="0" fontId="19" fillId="7" borderId="76" xfId="0" applyFont="1" applyFill="1" applyBorder="1" applyAlignment="1">
      <alignment horizontal="center" vertical="center" wrapText="1"/>
    </xf>
    <xf numFmtId="3" fontId="19" fillId="7" borderId="76" xfId="0" applyNumberFormat="1" applyFont="1" applyFill="1" applyBorder="1" applyAlignment="1">
      <alignment horizontal="center" vertical="center" wrapText="1"/>
    </xf>
    <xf numFmtId="168" fontId="19" fillId="7" borderId="29" xfId="0" applyNumberFormat="1" applyFont="1" applyFill="1" applyBorder="1" applyAlignment="1">
      <alignment horizontal="center" vertical="center" wrapText="1"/>
    </xf>
    <xf numFmtId="168" fontId="19" fillId="7" borderId="76" xfId="0" applyNumberFormat="1" applyFont="1" applyFill="1" applyBorder="1" applyAlignment="1">
      <alignment horizontal="center" vertical="center" wrapText="1"/>
    </xf>
    <xf numFmtId="0" fontId="12" fillId="7" borderId="0" xfId="0" applyFont="1" applyFill="1"/>
    <xf numFmtId="195" fontId="19" fillId="7" borderId="15" xfId="0" applyNumberFormat="1" applyFont="1" applyFill="1" applyBorder="1" applyAlignment="1">
      <alignment horizontal="center" vertical="center" wrapText="1"/>
    </xf>
    <xf numFmtId="0" fontId="19" fillId="7" borderId="15" xfId="0" applyFont="1" applyFill="1" applyBorder="1" applyAlignment="1">
      <alignment horizontal="center" vertical="center" wrapText="1"/>
    </xf>
    <xf numFmtId="3" fontId="19" fillId="7" borderId="15" xfId="0" applyNumberFormat="1" applyFont="1" applyFill="1" applyBorder="1" applyAlignment="1">
      <alignment horizontal="center" vertical="center" wrapText="1"/>
    </xf>
    <xf numFmtId="168" fontId="19" fillId="7" borderId="16" xfId="0" applyNumberFormat="1" applyFont="1" applyFill="1" applyBorder="1" applyAlignment="1">
      <alignment horizontal="center" vertical="center" wrapText="1"/>
    </xf>
    <xf numFmtId="168" fontId="19" fillId="7" borderId="15" xfId="0" applyNumberFormat="1" applyFont="1" applyFill="1" applyBorder="1" applyAlignment="1">
      <alignment horizontal="center" vertical="center" wrapText="1"/>
    </xf>
    <xf numFmtId="0" fontId="19" fillId="7" borderId="31" xfId="0" applyFont="1" applyFill="1" applyBorder="1" applyAlignment="1">
      <alignment horizontal="justify" vertical="center" wrapText="1"/>
    </xf>
    <xf numFmtId="164" fontId="19" fillId="7" borderId="3" xfId="24" applyFont="1" applyFill="1" applyBorder="1" applyAlignment="1">
      <alignment vertical="center" wrapText="1"/>
    </xf>
    <xf numFmtId="164" fontId="19" fillId="7" borderId="1" xfId="24" applyFont="1" applyFill="1" applyBorder="1" applyAlignment="1">
      <alignment vertical="center" wrapText="1"/>
    </xf>
    <xf numFmtId="1" fontId="19" fillId="7" borderId="52" xfId="26" applyNumberFormat="1" applyFont="1" applyFill="1" applyBorder="1" applyAlignment="1">
      <alignment horizontal="center" vertical="center" wrapText="1"/>
    </xf>
    <xf numFmtId="0" fontId="19" fillId="7" borderId="83" xfId="21" applyFont="1" applyFill="1" applyBorder="1" applyAlignment="1">
      <alignment horizontal="left" vertical="center" wrapText="1"/>
    </xf>
    <xf numFmtId="0" fontId="19" fillId="7" borderId="57" xfId="0" applyFont="1" applyFill="1" applyBorder="1" applyAlignment="1">
      <alignment horizontal="center" vertical="center" wrapText="1"/>
    </xf>
    <xf numFmtId="3" fontId="19" fillId="7" borderId="57" xfId="0" applyNumberFormat="1" applyFont="1" applyFill="1" applyBorder="1" applyAlignment="1">
      <alignment horizontal="center" vertical="center" wrapText="1"/>
    </xf>
    <xf numFmtId="168" fontId="19" fillId="7" borderId="58" xfId="0" applyNumberFormat="1" applyFont="1" applyFill="1" applyBorder="1" applyAlignment="1">
      <alignment horizontal="center" vertical="center" wrapText="1"/>
    </xf>
    <xf numFmtId="0" fontId="19" fillId="7" borderId="58" xfId="0" applyNumberFormat="1" applyFont="1" applyFill="1" applyBorder="1" applyAlignment="1">
      <alignment horizontal="center" vertical="center" wrapText="1"/>
    </xf>
    <xf numFmtId="168" fontId="19" fillId="7" borderId="57" xfId="0" applyNumberFormat="1" applyFont="1" applyFill="1" applyBorder="1" applyAlignment="1">
      <alignment horizontal="center" vertical="center" wrapText="1"/>
    </xf>
    <xf numFmtId="164" fontId="19" fillId="7" borderId="76" xfId="24" applyFont="1" applyFill="1" applyBorder="1" applyAlignment="1">
      <alignment horizontal="right" vertical="center" wrapText="1"/>
    </xf>
    <xf numFmtId="164" fontId="19" fillId="7" borderId="1" xfId="24" applyFont="1" applyFill="1" applyBorder="1" applyAlignment="1">
      <alignment horizontal="right" vertical="center" wrapText="1"/>
    </xf>
    <xf numFmtId="1" fontId="19" fillId="7" borderId="52" xfId="0" applyNumberFormat="1" applyFont="1" applyFill="1" applyBorder="1" applyAlignment="1">
      <alignment horizontal="center" vertical="center" wrapText="1"/>
    </xf>
    <xf numFmtId="0" fontId="19" fillId="7" borderId="76" xfId="0" applyFont="1" applyFill="1" applyBorder="1" applyAlignment="1">
      <alignment horizontal="left" vertical="center" wrapText="1"/>
    </xf>
    <xf numFmtId="0" fontId="19" fillId="0" borderId="57" xfId="0" applyFont="1" applyBorder="1" applyAlignment="1">
      <alignment horizontal="justify" vertical="center" wrapText="1"/>
    </xf>
    <xf numFmtId="1" fontId="19" fillId="7" borderId="84" xfId="0" applyNumberFormat="1" applyFont="1" applyFill="1" applyBorder="1" applyAlignment="1">
      <alignment horizontal="center" vertical="center" wrapText="1"/>
    </xf>
    <xf numFmtId="0" fontId="19" fillId="7" borderId="85" xfId="0" applyFont="1" applyFill="1" applyBorder="1" applyAlignment="1">
      <alignment horizontal="left" vertical="center" wrapText="1"/>
    </xf>
    <xf numFmtId="1" fontId="19" fillId="7" borderId="86" xfId="0" applyNumberFormat="1" applyFont="1" applyFill="1" applyBorder="1" applyAlignment="1">
      <alignment horizontal="center" vertical="center" wrapText="1"/>
    </xf>
    <xf numFmtId="0" fontId="19" fillId="7" borderId="82" xfId="0" applyFont="1" applyFill="1" applyBorder="1" applyAlignment="1">
      <alignment horizontal="left" vertical="center" wrapText="1"/>
    </xf>
    <xf numFmtId="0" fontId="19" fillId="7" borderId="57" xfId="0" applyFont="1" applyFill="1" applyBorder="1" applyAlignment="1">
      <alignment horizontal="justify" vertical="center" wrapText="1"/>
    </xf>
    <xf numFmtId="1" fontId="12" fillId="0" borderId="76" xfId="0" applyNumberFormat="1" applyFont="1" applyFill="1" applyBorder="1" applyAlignment="1">
      <alignment horizontal="center" vertical="center" wrapText="1"/>
    </xf>
    <xf numFmtId="0" fontId="12" fillId="0" borderId="76" xfId="0" applyFont="1" applyFill="1" applyBorder="1" applyAlignment="1">
      <alignment vertical="center" wrapText="1"/>
    </xf>
    <xf numFmtId="0" fontId="19" fillId="7" borderId="32" xfId="0" applyFont="1" applyFill="1" applyBorder="1" applyAlignment="1">
      <alignment horizontal="center" vertical="center"/>
    </xf>
    <xf numFmtId="0" fontId="19" fillId="7" borderId="31" xfId="0" applyFont="1" applyFill="1" applyBorder="1" applyAlignment="1">
      <alignment horizontal="justify" vertical="center"/>
    </xf>
    <xf numFmtId="0" fontId="19" fillId="10" borderId="1" xfId="0" applyFont="1" applyFill="1" applyBorder="1" applyAlignment="1">
      <alignment horizontal="center" vertical="center" wrapText="1"/>
    </xf>
    <xf numFmtId="0" fontId="19" fillId="10" borderId="4" xfId="0" applyFont="1" applyFill="1" applyBorder="1" applyAlignment="1">
      <alignment horizontal="justify" vertical="center" wrapText="1"/>
    </xf>
    <xf numFmtId="0" fontId="19" fillId="10" borderId="4" xfId="0" applyFont="1" applyFill="1" applyBorder="1" applyAlignment="1">
      <alignment vertical="center" wrapText="1"/>
    </xf>
    <xf numFmtId="0" fontId="19" fillId="10" borderId="4" xfId="0" applyFont="1" applyFill="1" applyBorder="1" applyAlignment="1">
      <alignment horizontal="center" vertical="center" wrapText="1"/>
    </xf>
    <xf numFmtId="194" fontId="19" fillId="10" borderId="4" xfId="0" applyNumberFormat="1" applyFont="1" applyFill="1" applyBorder="1" applyAlignment="1">
      <alignment horizontal="center" vertical="center" wrapText="1"/>
    </xf>
    <xf numFmtId="164" fontId="19" fillId="10" borderId="53" xfId="24" applyFont="1" applyFill="1" applyBorder="1" applyAlignment="1">
      <alignment horizontal="right" vertical="center" wrapText="1"/>
    </xf>
    <xf numFmtId="1" fontId="19" fillId="10" borderId="53" xfId="0" applyNumberFormat="1" applyFont="1" applyFill="1" applyBorder="1" applyAlignment="1">
      <alignment horizontal="center" vertical="center" wrapText="1"/>
    </xf>
    <xf numFmtId="0" fontId="19" fillId="10" borderId="53" xfId="0" applyFont="1" applyFill="1" applyBorder="1" applyAlignment="1">
      <alignment horizontal="justify" vertical="center" wrapText="1"/>
    </xf>
    <xf numFmtId="173" fontId="19" fillId="10" borderId="4" xfId="8" applyFont="1" applyFill="1" applyBorder="1" applyAlignment="1">
      <alignment vertical="center" wrapText="1"/>
    </xf>
    <xf numFmtId="0" fontId="19" fillId="10" borderId="3" xfId="0" applyFont="1" applyFill="1" applyBorder="1" applyAlignment="1">
      <alignment horizontal="center" vertical="center" wrapText="1"/>
    </xf>
    <xf numFmtId="0" fontId="19" fillId="10" borderId="63" xfId="0" applyFont="1" applyFill="1" applyBorder="1" applyAlignment="1">
      <alignment vertical="center" wrapText="1"/>
    </xf>
    <xf numFmtId="0" fontId="19" fillId="7" borderId="17" xfId="0" applyFont="1" applyFill="1" applyBorder="1" applyAlignment="1">
      <alignment vertical="center" wrapText="1"/>
    </xf>
    <xf numFmtId="0" fontId="19" fillId="7" borderId="1" xfId="0" applyFont="1" applyFill="1" applyBorder="1" applyAlignment="1">
      <alignment horizontal="justify" vertical="center" wrapText="1"/>
    </xf>
    <xf numFmtId="164" fontId="19" fillId="7" borderId="1" xfId="24" applyFont="1" applyFill="1" applyBorder="1" applyAlignment="1">
      <alignment horizontal="center" vertical="center" wrapText="1"/>
    </xf>
    <xf numFmtId="164" fontId="19" fillId="10" borderId="4" xfId="24" applyFont="1" applyFill="1" applyBorder="1" applyAlignment="1">
      <alignment horizontal="right" vertical="center" wrapText="1"/>
    </xf>
    <xf numFmtId="1" fontId="19" fillId="10" borderId="4"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4" fontId="19" fillId="7" borderId="57" xfId="24" applyFont="1" applyFill="1" applyBorder="1" applyAlignment="1">
      <alignment horizontal="right" vertical="center" wrapText="1"/>
    </xf>
    <xf numFmtId="0" fontId="19" fillId="15" borderId="4" xfId="0" applyFont="1" applyFill="1" applyBorder="1" applyAlignment="1">
      <alignment horizontal="justify" vertical="center" wrapText="1"/>
    </xf>
    <xf numFmtId="0" fontId="19" fillId="15" borderId="4" xfId="0" applyFont="1" applyFill="1" applyBorder="1" applyAlignment="1">
      <alignment vertical="center" wrapText="1"/>
    </xf>
    <xf numFmtId="0" fontId="19" fillId="15" borderId="4" xfId="0" applyFont="1" applyFill="1" applyBorder="1" applyAlignment="1">
      <alignment horizontal="center" vertical="center" wrapText="1"/>
    </xf>
    <xf numFmtId="194" fontId="19" fillId="15" borderId="4" xfId="0" applyNumberFormat="1" applyFont="1" applyFill="1" applyBorder="1" applyAlignment="1">
      <alignment horizontal="center" vertical="center" wrapText="1"/>
    </xf>
    <xf numFmtId="164" fontId="19" fillId="15" borderId="4" xfId="24" applyFont="1" applyFill="1" applyBorder="1" applyAlignment="1">
      <alignment horizontal="right" vertical="center" wrapText="1"/>
    </xf>
    <xf numFmtId="1" fontId="19" fillId="15" borderId="4" xfId="0" applyNumberFormat="1" applyFont="1" applyFill="1" applyBorder="1" applyAlignment="1">
      <alignment horizontal="center" vertical="center" wrapText="1"/>
    </xf>
    <xf numFmtId="173" fontId="19" fillId="15" borderId="4" xfId="8" applyFont="1" applyFill="1" applyBorder="1" applyAlignment="1">
      <alignment vertical="center" wrapText="1"/>
    </xf>
    <xf numFmtId="0" fontId="19" fillId="15" borderId="3" xfId="0" applyFont="1" applyFill="1" applyBorder="1" applyAlignment="1">
      <alignment horizontal="center" vertical="center" wrapText="1"/>
    </xf>
    <xf numFmtId="0" fontId="19" fillId="15" borderId="63" xfId="0" applyFont="1" applyFill="1" applyBorder="1" applyAlignment="1">
      <alignment vertical="center" wrapText="1"/>
    </xf>
    <xf numFmtId="0" fontId="6" fillId="7" borderId="71"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76" xfId="0" applyFont="1" applyFill="1" applyBorder="1" applyAlignment="1">
      <alignment horizontal="center" vertical="center" wrapText="1"/>
    </xf>
    <xf numFmtId="0" fontId="19" fillId="7" borderId="55" xfId="0" applyFont="1" applyFill="1" applyBorder="1"/>
    <xf numFmtId="0" fontId="19" fillId="7" borderId="52" xfId="0" applyFont="1" applyFill="1" applyBorder="1"/>
    <xf numFmtId="0" fontId="19" fillId="7" borderId="3" xfId="0" applyFont="1" applyFill="1" applyBorder="1" applyAlignment="1">
      <alignment horizontal="justify" vertical="center" wrapText="1"/>
    </xf>
    <xf numFmtId="0" fontId="19" fillId="7" borderId="29" xfId="0" applyFont="1" applyFill="1" applyBorder="1" applyAlignment="1">
      <alignment vertical="center" wrapText="1"/>
    </xf>
    <xf numFmtId="0" fontId="12" fillId="0" borderId="57" xfId="0" applyFont="1" applyFill="1" applyBorder="1" applyAlignment="1">
      <alignment vertical="center" wrapText="1"/>
    </xf>
    <xf numFmtId="0" fontId="12" fillId="7" borderId="15" xfId="0" applyFont="1" applyFill="1" applyBorder="1" applyAlignment="1">
      <alignment horizontal="center" vertical="center" wrapText="1"/>
    </xf>
    <xf numFmtId="164" fontId="19" fillId="10" borderId="4" xfId="24" applyFont="1" applyFill="1" applyBorder="1" applyAlignment="1">
      <alignment horizontal="justify" vertical="center" wrapText="1"/>
    </xf>
    <xf numFmtId="164" fontId="19" fillId="7" borderId="15" xfId="24" applyFont="1" applyFill="1" applyBorder="1" applyAlignment="1">
      <alignment horizontal="right" vertical="center" wrapText="1"/>
    </xf>
    <xf numFmtId="1" fontId="12" fillId="0" borderId="57" xfId="0" applyNumberFormat="1" applyFont="1" applyFill="1" applyBorder="1" applyAlignment="1">
      <alignment horizontal="center" vertical="center" wrapText="1"/>
    </xf>
    <xf numFmtId="164" fontId="19" fillId="7" borderId="31" xfId="24" applyFont="1" applyFill="1" applyBorder="1" applyAlignment="1">
      <alignment vertical="center"/>
    </xf>
    <xf numFmtId="0" fontId="19" fillId="7" borderId="17" xfId="0" applyFont="1" applyFill="1" applyBorder="1" applyAlignment="1">
      <alignment horizontal="center" vertical="center" wrapText="1"/>
    </xf>
    <xf numFmtId="0" fontId="19" fillId="7" borderId="15" xfId="0" applyFont="1" applyFill="1" applyBorder="1" applyAlignment="1">
      <alignment horizontal="justify"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9" fillId="0" borderId="21" xfId="0" applyFont="1" applyBorder="1" applyAlignment="1">
      <alignment horizontal="center" vertical="center" wrapText="1"/>
    </xf>
    <xf numFmtId="195" fontId="19" fillId="0" borderId="21" xfId="0" applyNumberFormat="1" applyFont="1" applyBorder="1" applyAlignment="1">
      <alignment horizontal="center" vertical="center" wrapText="1"/>
    </xf>
    <xf numFmtId="0" fontId="19" fillId="0" borderId="21" xfId="0" applyFont="1" applyBorder="1" applyAlignment="1">
      <alignment horizontal="justify" vertical="center" wrapText="1"/>
    </xf>
    <xf numFmtId="0" fontId="19" fillId="0" borderId="21" xfId="0" applyFont="1" applyBorder="1"/>
    <xf numFmtId="10" fontId="19" fillId="0" borderId="21" xfId="0" applyNumberFormat="1" applyFont="1" applyBorder="1" applyAlignment="1">
      <alignment horizontal="center" vertical="center" wrapText="1"/>
    </xf>
    <xf numFmtId="194" fontId="21" fillId="0" borderId="23" xfId="0" applyNumberFormat="1" applyFont="1" applyBorder="1" applyAlignment="1">
      <alignment horizontal="center" vertical="center" wrapText="1"/>
    </xf>
    <xf numFmtId="0" fontId="19" fillId="0" borderId="22" xfId="0" applyFont="1" applyBorder="1" applyAlignment="1">
      <alignment horizontal="justify" vertical="center" wrapText="1"/>
    </xf>
    <xf numFmtId="164" fontId="21" fillId="0" borderId="23" xfId="24" applyFont="1" applyBorder="1" applyAlignment="1">
      <alignment horizontal="right" vertical="center" wrapText="1"/>
    </xf>
    <xf numFmtId="1" fontId="19" fillId="0" borderId="20" xfId="0" applyNumberFormat="1" applyFont="1" applyBorder="1" applyAlignment="1">
      <alignment horizontal="center" vertical="center" wrapText="1"/>
    </xf>
    <xf numFmtId="0" fontId="19" fillId="0" borderId="21" xfId="0" applyFont="1" applyBorder="1" applyAlignment="1">
      <alignment horizontal="center" vertical="center" textRotation="180" wrapText="1"/>
    </xf>
    <xf numFmtId="49" fontId="19" fillId="0" borderId="21" xfId="0" applyNumberFormat="1" applyFont="1" applyBorder="1" applyAlignment="1">
      <alignment horizontal="center" vertical="center" textRotation="180" wrapText="1"/>
    </xf>
    <xf numFmtId="0" fontId="19" fillId="0" borderId="22" xfId="0" applyFont="1" applyBorder="1" applyAlignment="1">
      <alignment horizontal="center" vertical="center" textRotation="180" wrapText="1"/>
    </xf>
    <xf numFmtId="0" fontId="21" fillId="0" borderId="23" xfId="8" applyNumberFormat="1" applyFont="1" applyBorder="1" applyAlignment="1">
      <alignment horizontal="center" vertical="center" wrapText="1"/>
    </xf>
    <xf numFmtId="173" fontId="21" fillId="0" borderId="21" xfId="8" applyFont="1" applyBorder="1" applyAlignment="1">
      <alignment horizontal="center" vertical="center" wrapText="1"/>
    </xf>
    <xf numFmtId="173" fontId="21" fillId="0" borderId="23" xfId="8" applyFont="1" applyBorder="1" applyAlignment="1">
      <alignment horizontal="center" vertical="center" wrapText="1"/>
    </xf>
    <xf numFmtId="168" fontId="19" fillId="0" borderId="20" xfId="0" applyNumberFormat="1" applyFont="1" applyBorder="1" applyAlignment="1">
      <alignment horizontal="center" vertical="center" wrapText="1"/>
    </xf>
    <xf numFmtId="168" fontId="19" fillId="0" borderId="21" xfId="0" applyNumberFormat="1" applyFont="1" applyBorder="1" applyAlignment="1">
      <alignment horizontal="center" vertical="center" wrapText="1"/>
    </xf>
    <xf numFmtId="3" fontId="19" fillId="0" borderId="21" xfId="0" applyNumberFormat="1" applyFont="1" applyBorder="1" applyAlignment="1">
      <alignment horizontal="center" vertical="center" wrapText="1"/>
    </xf>
    <xf numFmtId="3" fontId="19" fillId="0" borderId="22" xfId="0" applyNumberFormat="1" applyFont="1" applyBorder="1" applyAlignment="1">
      <alignment horizontal="left" vertical="center" wrapText="1"/>
    </xf>
    <xf numFmtId="1" fontId="12" fillId="0" borderId="0" xfId="0" applyNumberFormat="1" applyFont="1"/>
    <xf numFmtId="0" fontId="19" fillId="0" borderId="0" xfId="0" applyFont="1"/>
    <xf numFmtId="0" fontId="19" fillId="7" borderId="0" xfId="0" applyFont="1" applyFill="1" applyAlignment="1">
      <alignment horizontal="justify" vertical="center"/>
    </xf>
    <xf numFmtId="0" fontId="19" fillId="7" borderId="0" xfId="0" applyFont="1" applyFill="1"/>
    <xf numFmtId="0" fontId="19" fillId="7" borderId="0" xfId="0" applyFont="1" applyFill="1" applyAlignment="1">
      <alignment horizontal="center"/>
    </xf>
    <xf numFmtId="170" fontId="19" fillId="7" borderId="0" xfId="0" applyNumberFormat="1" applyFont="1" applyFill="1" applyAlignment="1">
      <alignment horizontal="center" vertical="center"/>
    </xf>
    <xf numFmtId="194" fontId="19" fillId="7" borderId="0" xfId="0" applyNumberFormat="1" applyFont="1" applyFill="1" applyAlignment="1">
      <alignment horizontal="center" vertical="center"/>
    </xf>
    <xf numFmtId="171" fontId="19" fillId="7" borderId="0" xfId="0" applyNumberFormat="1" applyFont="1" applyFill="1" applyAlignment="1">
      <alignment horizontal="center" vertical="center"/>
    </xf>
    <xf numFmtId="169" fontId="19" fillId="7" borderId="0" xfId="0" applyNumberFormat="1" applyFont="1" applyFill="1" applyAlignment="1">
      <alignment horizontal="center" vertical="center"/>
    </xf>
    <xf numFmtId="1" fontId="19" fillId="7" borderId="0" xfId="0" applyNumberFormat="1" applyFont="1" applyFill="1" applyAlignment="1">
      <alignment horizontal="center" vertical="center"/>
    </xf>
    <xf numFmtId="0" fontId="19" fillId="7" borderId="0" xfId="0" applyFont="1" applyFill="1" applyAlignment="1">
      <alignment horizontal="center" vertical="center"/>
    </xf>
    <xf numFmtId="172" fontId="39" fillId="0" borderId="0" xfId="0" applyNumberFormat="1" applyFont="1" applyAlignment="1">
      <alignment horizontal="right" vertical="center"/>
    </xf>
    <xf numFmtId="165" fontId="39" fillId="0" borderId="0" xfId="0" applyNumberFormat="1" applyFont="1" applyAlignment="1">
      <alignment horizontal="center"/>
    </xf>
    <xf numFmtId="165" fontId="19" fillId="0" borderId="0" xfId="0" applyNumberFormat="1" applyFont="1" applyAlignment="1">
      <alignment horizontal="center"/>
    </xf>
    <xf numFmtId="172" fontId="19" fillId="0" borderId="0" xfId="0" applyNumberFormat="1" applyFont="1" applyAlignment="1">
      <alignment horizontal="center"/>
    </xf>
    <xf numFmtId="0" fontId="19" fillId="0" borderId="0" xfId="0" applyFont="1" applyAlignment="1">
      <alignment horizontal="center" vertical="center"/>
    </xf>
    <xf numFmtId="0" fontId="40" fillId="0" borderId="0" xfId="0" applyFont="1"/>
    <xf numFmtId="0" fontId="41" fillId="0" borderId="0" xfId="0" applyFont="1"/>
    <xf numFmtId="0" fontId="41" fillId="0" borderId="0" xfId="0" applyFont="1" applyAlignment="1">
      <alignment horizontal="center"/>
    </xf>
    <xf numFmtId="194" fontId="41" fillId="0" borderId="0" xfId="0" applyNumberFormat="1" applyFont="1" applyAlignment="1">
      <alignment horizontal="center" vertical="center"/>
    </xf>
    <xf numFmtId="171" fontId="41" fillId="0" borderId="0" xfId="0" applyNumberFormat="1" applyFont="1"/>
    <xf numFmtId="43" fontId="41" fillId="0" borderId="0" xfId="0" applyNumberFormat="1" applyFont="1"/>
    <xf numFmtId="0" fontId="42" fillId="0" borderId="0" xfId="0" applyFont="1"/>
    <xf numFmtId="165" fontId="42" fillId="0" borderId="0" xfId="0" applyNumberFormat="1" applyFont="1"/>
    <xf numFmtId="165" fontId="41" fillId="0" borderId="0" xfId="0" applyNumberFormat="1" applyFont="1"/>
    <xf numFmtId="0" fontId="43" fillId="0" borderId="0" xfId="0" applyFont="1"/>
    <xf numFmtId="0" fontId="12" fillId="7" borderId="0" xfId="0" applyFont="1" applyFill="1" applyAlignment="1">
      <alignment horizontal="justify" vertical="center"/>
    </xf>
    <xf numFmtId="0" fontId="12" fillId="7" borderId="0" xfId="0" applyFont="1" applyFill="1" applyAlignment="1">
      <alignment horizontal="center"/>
    </xf>
    <xf numFmtId="170" fontId="12" fillId="7" borderId="0" xfId="0" applyNumberFormat="1" applyFont="1" applyFill="1" applyAlignment="1">
      <alignment horizontal="center" vertical="center"/>
    </xf>
    <xf numFmtId="194" fontId="12" fillId="7" borderId="0" xfId="0" applyNumberFormat="1" applyFont="1" applyFill="1" applyAlignment="1">
      <alignment horizontal="center" vertical="center"/>
    </xf>
    <xf numFmtId="171" fontId="12" fillId="7" borderId="0" xfId="0" applyNumberFormat="1" applyFont="1" applyFill="1" applyAlignment="1">
      <alignment horizontal="center" vertical="center"/>
    </xf>
    <xf numFmtId="169" fontId="12" fillId="7" borderId="0" xfId="0" applyNumberFormat="1" applyFont="1" applyFill="1" applyAlignment="1">
      <alignment horizontal="center" vertical="center"/>
    </xf>
    <xf numFmtId="1" fontId="12" fillId="7" borderId="0" xfId="0" applyNumberFormat="1" applyFont="1" applyFill="1" applyAlignment="1">
      <alignment horizontal="center" vertical="center"/>
    </xf>
    <xf numFmtId="0" fontId="12" fillId="7" borderId="0" xfId="0" applyFont="1" applyFill="1" applyAlignment="1">
      <alignment horizontal="center" vertical="center"/>
    </xf>
    <xf numFmtId="0" fontId="39" fillId="0" borderId="0" xfId="0" applyFont="1"/>
    <xf numFmtId="172" fontId="12" fillId="0" borderId="0" xfId="0" applyNumberFormat="1" applyFont="1" applyAlignment="1">
      <alignment horizontal="center"/>
    </xf>
    <xf numFmtId="0" fontId="12" fillId="0" borderId="0" xfId="0" applyFont="1" applyAlignment="1">
      <alignment horizontal="center" vertical="center"/>
    </xf>
    <xf numFmtId="0" fontId="12" fillId="0" borderId="0" xfId="0" applyFont="1" applyAlignment="1">
      <alignment horizontal="justify" vertical="center" wrapText="1"/>
    </xf>
    <xf numFmtId="0" fontId="12" fillId="0" borderId="0" xfId="0" applyFont="1" applyAlignment="1">
      <alignment horizontal="center"/>
    </xf>
    <xf numFmtId="194" fontId="12" fillId="0" borderId="0" xfId="0" applyNumberFormat="1" applyFont="1" applyAlignment="1">
      <alignment horizontal="center" vertical="center"/>
    </xf>
    <xf numFmtId="171" fontId="12" fillId="0" borderId="0" xfId="0" applyNumberFormat="1" applyFont="1" applyAlignment="1">
      <alignment horizontal="right"/>
    </xf>
    <xf numFmtId="41" fontId="12" fillId="0" borderId="0" xfId="0" applyNumberFormat="1" applyFont="1" applyAlignment="1">
      <alignment horizontal="right"/>
    </xf>
    <xf numFmtId="41" fontId="19" fillId="0" borderId="0" xfId="0" applyNumberFormat="1" applyFont="1" applyAlignment="1">
      <alignment horizontal="right"/>
    </xf>
    <xf numFmtId="0" fontId="12" fillId="0" borderId="0" xfId="0" applyFont="1" applyAlignment="1">
      <alignment horizontal="center" vertical="center" wrapText="1"/>
    </xf>
    <xf numFmtId="0" fontId="39" fillId="0" borderId="0" xfId="0" applyFont="1" applyAlignment="1">
      <alignment vertical="center"/>
    </xf>
    <xf numFmtId="165" fontId="39" fillId="0" borderId="0" xfId="0" applyNumberFormat="1" applyFont="1" applyAlignment="1">
      <alignment vertical="center"/>
    </xf>
    <xf numFmtId="165" fontId="19" fillId="0" borderId="0" xfId="0" applyNumberFormat="1" applyFont="1" applyAlignment="1">
      <alignment vertical="center"/>
    </xf>
    <xf numFmtId="0" fontId="12" fillId="0" borderId="0" xfId="0" applyFont="1" applyAlignment="1">
      <alignment vertical="center"/>
    </xf>
    <xf numFmtId="0" fontId="15" fillId="0" borderId="1" xfId="0" applyFont="1" applyFill="1" applyBorder="1" applyAlignment="1">
      <alignment horizontal="justify" vertical="center" wrapText="1"/>
    </xf>
    <xf numFmtId="0" fontId="17" fillId="0" borderId="1" xfId="0" applyFont="1" applyBorder="1" applyAlignment="1">
      <alignment horizontal="center" vertical="center"/>
    </xf>
    <xf numFmtId="0" fontId="15" fillId="7" borderId="1" xfId="0" applyFont="1" applyFill="1" applyBorder="1" applyAlignment="1">
      <alignment horizontal="center" vertical="center" wrapText="1"/>
    </xf>
    <xf numFmtId="0" fontId="17" fillId="8" borderId="4" xfId="0" applyFont="1" applyFill="1" applyBorder="1" applyAlignment="1">
      <alignment horizontal="left" vertical="center"/>
    </xf>
    <xf numFmtId="0" fontId="15" fillId="7" borderId="16" xfId="0" applyFont="1" applyFill="1" applyBorder="1" applyAlignment="1">
      <alignment horizontal="center" vertical="center" wrapText="1"/>
    </xf>
    <xf numFmtId="0" fontId="15" fillId="7" borderId="0" xfId="0" applyFont="1" applyFill="1" applyAlignment="1">
      <alignment horizontal="center" vertical="center" wrapText="1"/>
    </xf>
    <xf numFmtId="0" fontId="15" fillId="7" borderId="1" xfId="0" applyFont="1" applyFill="1" applyBorder="1" applyAlignment="1">
      <alignment horizontal="justify" vertical="center" wrapText="1"/>
    </xf>
    <xf numFmtId="0" fontId="15" fillId="0" borderId="1" xfId="0" applyFont="1" applyBorder="1" applyAlignment="1">
      <alignment horizontal="center" vertical="center"/>
    </xf>
    <xf numFmtId="0" fontId="25" fillId="3" borderId="1" xfId="0" applyFont="1" applyFill="1" applyBorder="1" applyAlignment="1">
      <alignment horizontal="center" vertical="center" wrapText="1"/>
    </xf>
    <xf numFmtId="0" fontId="25" fillId="0" borderId="4"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14" fontId="2" fillId="0" borderId="0" xfId="0" applyNumberFormat="1" applyFont="1" applyBorder="1" applyAlignment="1">
      <alignment horizontal="center" vertical="center" wrapText="1"/>
    </xf>
    <xf numFmtId="14" fontId="3" fillId="0" borderId="0" xfId="0" applyNumberFormat="1" applyFont="1"/>
    <xf numFmtId="14" fontId="2" fillId="0" borderId="1" xfId="0" applyNumberFormat="1" applyFont="1" applyBorder="1"/>
    <xf numFmtId="14" fontId="2" fillId="0" borderId="1" xfId="0" applyNumberFormat="1" applyFont="1" applyBorder="1" applyAlignment="1">
      <alignment horizontal="left"/>
    </xf>
    <xf numFmtId="14" fontId="2" fillId="0" borderId="53" xfId="0" applyNumberFormat="1" applyFont="1" applyBorder="1" applyAlignment="1">
      <alignment horizontal="center" vertical="center" wrapText="1"/>
    </xf>
    <xf numFmtId="14" fontId="3" fillId="0" borderId="0" xfId="0" applyNumberFormat="1" applyFont="1" applyAlignment="1">
      <alignment wrapText="1"/>
    </xf>
    <xf numFmtId="14" fontId="2" fillId="0" borderId="1" xfId="0" applyNumberFormat="1" applyFont="1" applyBorder="1" applyAlignment="1">
      <alignment vertical="center"/>
    </xf>
    <xf numFmtId="0" fontId="2" fillId="0" borderId="76" xfId="0" applyFont="1" applyBorder="1" applyAlignment="1">
      <alignment horizontal="center" vertical="center"/>
    </xf>
    <xf numFmtId="0" fontId="2" fillId="0" borderId="50" xfId="0" applyFont="1" applyBorder="1" applyAlignment="1">
      <alignment horizontal="center" vertical="center"/>
    </xf>
    <xf numFmtId="0" fontId="2" fillId="0" borderId="55" xfId="0" applyFont="1" applyBorder="1" applyAlignment="1">
      <alignment horizontal="center" vertical="center"/>
    </xf>
    <xf numFmtId="9" fontId="2" fillId="0" borderId="55" xfId="3" applyFont="1" applyBorder="1" applyAlignment="1">
      <alignment horizontal="center" vertical="center"/>
    </xf>
    <xf numFmtId="0" fontId="2" fillId="0" borderId="55" xfId="0" applyFont="1" applyBorder="1" applyAlignment="1">
      <alignment vertical="center"/>
    </xf>
    <xf numFmtId="0" fontId="21" fillId="3" borderId="1" xfId="0" applyFont="1" applyFill="1" applyBorder="1" applyAlignment="1">
      <alignment horizontal="right" vertical="center" wrapText="1"/>
    </xf>
    <xf numFmtId="169" fontId="21" fillId="3" borderId="1" xfId="0" applyNumberFormat="1" applyFont="1" applyFill="1" applyBorder="1" applyAlignment="1">
      <alignment horizontal="right" vertical="center" wrapText="1"/>
    </xf>
    <xf numFmtId="14" fontId="6" fillId="3" borderId="1" xfId="0" applyNumberFormat="1"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 fontId="2" fillId="6" borderId="1" xfId="0" applyNumberFormat="1" applyFont="1" applyFill="1" applyBorder="1" applyAlignment="1">
      <alignment vertical="center"/>
    </xf>
    <xf numFmtId="1" fontId="2" fillId="6" borderId="1" xfId="0" applyNumberFormat="1" applyFont="1" applyFill="1" applyBorder="1" applyAlignment="1">
      <alignment horizontal="justify" vertical="center" wrapText="1"/>
    </xf>
    <xf numFmtId="1" fontId="2" fillId="6" borderId="1" xfId="0" applyNumberFormat="1" applyFont="1" applyFill="1" applyBorder="1" applyAlignment="1">
      <alignment vertical="center" wrapText="1"/>
    </xf>
    <xf numFmtId="10" fontId="2" fillId="6" borderId="1" xfId="0" applyNumberFormat="1" applyFont="1" applyFill="1" applyBorder="1" applyAlignment="1">
      <alignment vertical="center" wrapText="1"/>
    </xf>
    <xf numFmtId="1" fontId="17" fillId="6" borderId="1" xfId="0" applyNumberFormat="1" applyFont="1" applyFill="1" applyBorder="1" applyAlignment="1">
      <alignment horizontal="right" vertical="center" wrapText="1"/>
    </xf>
    <xf numFmtId="169" fontId="17" fillId="6" borderId="1" xfId="0" applyNumberFormat="1" applyFont="1" applyFill="1" applyBorder="1" applyAlignment="1">
      <alignment horizontal="right" vertical="center" wrapText="1"/>
    </xf>
    <xf numFmtId="1" fontId="3" fillId="6" borderId="1" xfId="0" applyNumberFormat="1" applyFont="1" applyFill="1" applyBorder="1" applyAlignment="1">
      <alignment vertical="center" wrapText="1"/>
    </xf>
    <xf numFmtId="9" fontId="2" fillId="6" borderId="1" xfId="3" applyFont="1" applyFill="1" applyBorder="1" applyAlignment="1">
      <alignment horizontal="center" vertical="center" wrapText="1"/>
    </xf>
    <xf numFmtId="14" fontId="2" fillId="6" borderId="1" xfId="0" applyNumberFormat="1" applyFont="1" applyFill="1" applyBorder="1" applyAlignment="1">
      <alignment vertical="center" wrapText="1"/>
    </xf>
    <xf numFmtId="0" fontId="3" fillId="0" borderId="0" xfId="0" applyFont="1" applyAlignment="1">
      <alignment vertical="center"/>
    </xf>
    <xf numFmtId="1" fontId="2" fillId="8" borderId="5" xfId="0" applyNumberFormat="1" applyFont="1" applyFill="1" applyBorder="1" applyAlignment="1">
      <alignment horizontal="center" vertical="center"/>
    </xf>
    <xf numFmtId="0" fontId="2" fillId="8" borderId="1" xfId="0" applyFont="1" applyFill="1" applyBorder="1" applyAlignment="1">
      <alignment vertical="center" wrapText="1"/>
    </xf>
    <xf numFmtId="0" fontId="2" fillId="8" borderId="1" xfId="0" applyFont="1" applyFill="1" applyBorder="1" applyAlignment="1">
      <alignment horizontal="justify" vertical="center" wrapText="1"/>
    </xf>
    <xf numFmtId="0" fontId="17" fillId="8" borderId="1" xfId="0" applyFont="1" applyFill="1" applyBorder="1" applyAlignment="1">
      <alignment horizontal="right" vertical="center" wrapText="1"/>
    </xf>
    <xf numFmtId="169" fontId="17" fillId="8" borderId="1" xfId="0" applyNumberFormat="1" applyFont="1" applyFill="1" applyBorder="1" applyAlignment="1">
      <alignment horizontal="right" vertical="center" wrapText="1"/>
    </xf>
    <xf numFmtId="9" fontId="2" fillId="8" borderId="1" xfId="3" applyFont="1" applyFill="1" applyBorder="1" applyAlignment="1">
      <alignment horizontal="center" vertical="center" wrapText="1"/>
    </xf>
    <xf numFmtId="14" fontId="2" fillId="8" borderId="1" xfId="0" applyNumberFormat="1" applyFont="1" applyFill="1" applyBorder="1" applyAlignment="1">
      <alignment vertical="center" wrapText="1"/>
    </xf>
    <xf numFmtId="0" fontId="2" fillId="10" borderId="57" xfId="0" applyFont="1" applyFill="1" applyBorder="1" applyAlignment="1">
      <alignment vertical="center"/>
    </xf>
    <xf numFmtId="0" fontId="2" fillId="9" borderId="1" xfId="0" applyFont="1" applyFill="1" applyBorder="1" applyAlignment="1">
      <alignment vertical="center" wrapText="1"/>
    </xf>
    <xf numFmtId="0" fontId="2"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7" fillId="9" borderId="1" xfId="0" applyFont="1" applyFill="1" applyBorder="1" applyAlignment="1">
      <alignment horizontal="right" vertical="center" wrapText="1"/>
    </xf>
    <xf numFmtId="169" fontId="17" fillId="9" borderId="1" xfId="0" applyNumberFormat="1" applyFont="1" applyFill="1" applyBorder="1" applyAlignment="1">
      <alignment horizontal="right" vertical="center" wrapText="1"/>
    </xf>
    <xf numFmtId="9" fontId="2" fillId="9" borderId="1" xfId="3" applyFont="1" applyFill="1" applyBorder="1" applyAlignment="1">
      <alignment horizontal="center" vertical="center" wrapText="1"/>
    </xf>
    <xf numFmtId="14" fontId="2" fillId="9" borderId="1" xfId="0" applyNumberFormat="1" applyFont="1" applyFill="1" applyBorder="1" applyAlignment="1">
      <alignment vertical="center" wrapText="1"/>
    </xf>
    <xf numFmtId="3" fontId="15" fillId="0" borderId="1" xfId="0" applyNumberFormat="1" applyFont="1" applyBorder="1" applyAlignment="1">
      <alignment horizontal="center" vertical="center" wrapText="1"/>
    </xf>
    <xf numFmtId="0" fontId="20" fillId="7" borderId="1" xfId="0" applyFont="1" applyFill="1" applyBorder="1" applyAlignment="1">
      <alignment horizontal="justify" vertical="center"/>
    </xf>
    <xf numFmtId="169" fontId="15" fillId="7" borderId="1" xfId="0" applyNumberFormat="1" applyFont="1" applyFill="1" applyBorder="1" applyAlignment="1">
      <alignment horizontal="right" vertical="center" wrapText="1"/>
    </xf>
    <xf numFmtId="169" fontId="15" fillId="0" borderId="1" xfId="0" applyNumberFormat="1" applyFont="1" applyFill="1" applyBorder="1" applyAlignment="1">
      <alignment horizontal="right" vertical="center" wrapText="1"/>
    </xf>
    <xf numFmtId="0" fontId="3" fillId="7" borderId="17" xfId="0" applyFont="1" applyFill="1" applyBorder="1" applyAlignment="1">
      <alignment vertical="center"/>
    </xf>
    <xf numFmtId="0" fontId="2" fillId="10" borderId="5" xfId="0" applyFont="1" applyFill="1" applyBorder="1" applyAlignment="1">
      <alignment horizontal="center" vertical="center" wrapText="1"/>
    </xf>
    <xf numFmtId="0" fontId="2" fillId="10" borderId="1" xfId="0" applyFont="1" applyFill="1" applyBorder="1" applyAlignment="1">
      <alignment horizontal="left" vertical="center"/>
    </xf>
    <xf numFmtId="0" fontId="3" fillId="10" borderId="1" xfId="0" applyFont="1" applyFill="1" applyBorder="1" applyAlignment="1">
      <alignment horizontal="justify" vertical="center"/>
    </xf>
    <xf numFmtId="0" fontId="3" fillId="10" borderId="1" xfId="0" applyFont="1" applyFill="1" applyBorder="1" applyAlignment="1">
      <alignment vertical="center" wrapText="1"/>
    </xf>
    <xf numFmtId="10" fontId="3" fillId="10" borderId="1" xfId="0" applyNumberFormat="1" applyFont="1" applyFill="1" applyBorder="1" applyAlignment="1">
      <alignment vertical="center" wrapText="1"/>
    </xf>
    <xf numFmtId="169" fontId="3" fillId="10" borderId="1" xfId="0" applyNumberFormat="1" applyFont="1" applyFill="1" applyBorder="1" applyAlignment="1">
      <alignment vertical="center" wrapText="1"/>
    </xf>
    <xf numFmtId="0" fontId="3" fillId="10" borderId="1" xfId="0" applyFont="1" applyFill="1" applyBorder="1" applyAlignment="1">
      <alignment horizontal="justify" vertical="center" wrapText="1"/>
    </xf>
    <xf numFmtId="169" fontId="3" fillId="10" borderId="1" xfId="0" applyNumberFormat="1" applyFont="1" applyFill="1" applyBorder="1" applyAlignment="1">
      <alignment horizontal="justify" vertical="center" wrapText="1"/>
    </xf>
    <xf numFmtId="1" fontId="15" fillId="10" borderId="1" xfId="0" applyNumberFormat="1" applyFont="1" applyFill="1" applyBorder="1" applyAlignment="1">
      <alignment horizontal="right" vertical="center" wrapText="1"/>
    </xf>
    <xf numFmtId="169" fontId="15" fillId="10" borderId="1" xfId="0" applyNumberFormat="1" applyFont="1" applyFill="1" applyBorder="1" applyAlignment="1">
      <alignment horizontal="right" vertical="center" wrapText="1"/>
    </xf>
    <xf numFmtId="169" fontId="17" fillId="10" borderId="1" xfId="0" applyNumberFormat="1" applyFont="1" applyFill="1" applyBorder="1" applyAlignment="1">
      <alignment horizontal="right" vertical="center" textRotation="180" wrapText="1" readingOrder="2"/>
    </xf>
    <xf numFmtId="1" fontId="2" fillId="10" borderId="1" xfId="0" applyNumberFormat="1" applyFont="1" applyFill="1" applyBorder="1" applyAlignment="1">
      <alignment vertical="center" textRotation="180" wrapText="1"/>
    </xf>
    <xf numFmtId="1" fontId="3" fillId="10" borderId="1" xfId="0" applyNumberFormat="1" applyFont="1" applyFill="1" applyBorder="1" applyAlignment="1">
      <alignment vertical="center" textRotation="180" wrapText="1"/>
    </xf>
    <xf numFmtId="1" fontId="3" fillId="10" borderId="1" xfId="0" applyNumberFormat="1" applyFont="1" applyFill="1" applyBorder="1" applyAlignment="1">
      <alignment horizontal="center" vertical="center" textRotation="180" wrapText="1"/>
    </xf>
    <xf numFmtId="1" fontId="2" fillId="10" borderId="1" xfId="0" applyNumberFormat="1" applyFont="1" applyFill="1" applyBorder="1" applyAlignment="1">
      <alignment horizontal="center" vertical="center" textRotation="180" wrapText="1"/>
    </xf>
    <xf numFmtId="172" fontId="3" fillId="10" borderId="1" xfId="0" applyNumberFormat="1" applyFont="1" applyFill="1" applyBorder="1" applyAlignment="1">
      <alignment vertical="center" wrapText="1"/>
    </xf>
    <xf numFmtId="3" fontId="3" fillId="10" borderId="1" xfId="0" applyNumberFormat="1" applyFont="1" applyFill="1" applyBorder="1" applyAlignment="1">
      <alignment vertical="center" wrapText="1"/>
    </xf>
    <xf numFmtId="169" fontId="3" fillId="10" borderId="1" xfId="0" applyNumberFormat="1" applyFont="1" applyFill="1" applyBorder="1" applyAlignment="1">
      <alignment horizontal="center" vertical="center" wrapText="1"/>
    </xf>
    <xf numFmtId="1" fontId="3" fillId="10" borderId="1" xfId="0" applyNumberFormat="1" applyFont="1" applyFill="1" applyBorder="1" applyAlignment="1">
      <alignment horizontal="center" vertical="center" wrapText="1"/>
    </xf>
    <xf numFmtId="1" fontId="2" fillId="10" borderId="1" xfId="0" applyNumberFormat="1" applyFont="1" applyFill="1" applyBorder="1" applyAlignment="1">
      <alignment vertical="center" textRotation="180" wrapText="1" readingOrder="2"/>
    </xf>
    <xf numFmtId="9" fontId="3" fillId="10" borderId="1" xfId="3" applyFont="1" applyFill="1" applyBorder="1" applyAlignment="1">
      <alignment horizontal="center" vertical="center" wrapText="1"/>
    </xf>
    <xf numFmtId="14" fontId="2" fillId="10" borderId="1" xfId="0" applyNumberFormat="1" applyFont="1" applyFill="1" applyBorder="1" applyAlignment="1">
      <alignment vertical="center" textRotation="180" wrapText="1" readingOrder="2"/>
    </xf>
    <xf numFmtId="14" fontId="2" fillId="10" borderId="1" xfId="0" applyNumberFormat="1" applyFont="1" applyFill="1" applyBorder="1" applyAlignment="1">
      <alignment vertical="center" textRotation="180" wrapText="1"/>
    </xf>
    <xf numFmtId="0" fontId="3" fillId="7" borderId="0" xfId="0" applyFont="1" applyFill="1" applyAlignment="1">
      <alignment vertical="center"/>
    </xf>
    <xf numFmtId="0" fontId="3" fillId="7"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169" fontId="3" fillId="7" borderId="1" xfId="0" applyNumberFormat="1" applyFont="1" applyFill="1" applyBorder="1" applyAlignment="1">
      <alignment horizontal="center" vertical="center" wrapText="1"/>
    </xf>
    <xf numFmtId="169" fontId="24" fillId="0" borderId="57" xfId="8" applyNumberFormat="1" applyFont="1" applyBorder="1" applyAlignment="1">
      <alignment horizontal="right" vertical="center" wrapText="1"/>
    </xf>
    <xf numFmtId="186" fontId="15" fillId="0" borderId="1" xfId="19" applyNumberFormat="1" applyFont="1" applyFill="1" applyBorder="1" applyAlignment="1">
      <alignment horizontal="center" vertical="center"/>
    </xf>
    <xf numFmtId="0" fontId="15" fillId="0" borderId="1" xfId="0" applyNumberFormat="1" applyFont="1" applyBorder="1" applyAlignment="1">
      <alignment vertical="center"/>
    </xf>
    <xf numFmtId="169" fontId="3" fillId="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xf>
    <xf numFmtId="0" fontId="3" fillId="0" borderId="1" xfId="0" applyFont="1" applyFill="1" applyBorder="1"/>
    <xf numFmtId="187" fontId="15" fillId="7" borderId="1" xfId="0" applyNumberFormat="1" applyFont="1" applyFill="1" applyBorder="1" applyAlignment="1">
      <alignment horizontal="right" vertical="center"/>
    </xf>
    <xf numFmtId="3" fontId="15" fillId="7" borderId="1" xfId="0" applyNumberFormat="1" applyFont="1" applyFill="1" applyBorder="1" applyAlignment="1">
      <alignment horizontal="center" vertical="center" wrapText="1"/>
    </xf>
    <xf numFmtId="9" fontId="3" fillId="7" borderId="1" xfId="0" applyNumberFormat="1" applyFont="1" applyFill="1" applyBorder="1" applyAlignment="1">
      <alignment horizontal="center" vertical="center"/>
    </xf>
    <xf numFmtId="0" fontId="20" fillId="0" borderId="1" xfId="0" applyFont="1" applyBorder="1" applyAlignment="1">
      <alignment horizontal="justify" vertical="center" wrapText="1" readingOrder="2"/>
    </xf>
    <xf numFmtId="169" fontId="15" fillId="7" borderId="1" xfId="0" applyNumberFormat="1" applyFont="1" applyFill="1" applyBorder="1" applyAlignment="1">
      <alignment horizontal="right" vertical="center"/>
    </xf>
    <xf numFmtId="0" fontId="3" fillId="0" borderId="76" xfId="0" applyFont="1" applyBorder="1" applyAlignment="1">
      <alignment horizontal="center" vertical="center"/>
    </xf>
    <xf numFmtId="0" fontId="3" fillId="7" borderId="76" xfId="0" applyFont="1" applyFill="1" applyBorder="1" applyAlignment="1">
      <alignment horizontal="justify" vertical="center"/>
    </xf>
    <xf numFmtId="0" fontId="3" fillId="6" borderId="1" xfId="0" applyFont="1" applyFill="1" applyBorder="1" applyAlignment="1">
      <alignment vertical="center"/>
    </xf>
    <xf numFmtId="169" fontId="2" fillId="6" borderId="1" xfId="0" applyNumberFormat="1" applyFont="1" applyFill="1" applyBorder="1" applyAlignment="1">
      <alignment vertical="center" wrapText="1"/>
    </xf>
    <xf numFmtId="0" fontId="3" fillId="6" borderId="1" xfId="0" applyFont="1" applyFill="1" applyBorder="1" applyAlignment="1">
      <alignment horizontal="center" vertical="center"/>
    </xf>
    <xf numFmtId="0" fontId="3" fillId="0" borderId="50" xfId="0" applyFont="1" applyBorder="1"/>
    <xf numFmtId="0" fontId="3" fillId="0" borderId="55" xfId="0" applyFont="1" applyBorder="1"/>
    <xf numFmtId="0" fontId="3" fillId="0" borderId="52" xfId="0" applyFont="1" applyBorder="1"/>
    <xf numFmtId="0" fontId="2" fillId="8" borderId="53" xfId="0" applyFont="1" applyFill="1" applyBorder="1" applyAlignment="1">
      <alignment vertical="center"/>
    </xf>
    <xf numFmtId="0" fontId="3" fillId="8" borderId="53" xfId="0" applyFont="1" applyFill="1" applyBorder="1" applyAlignment="1">
      <alignment horizontal="center" vertical="center"/>
    </xf>
    <xf numFmtId="0" fontId="3" fillId="8" borderId="4" xfId="0" applyFont="1" applyFill="1" applyBorder="1" applyAlignment="1">
      <alignment horizontal="justify" vertical="center"/>
    </xf>
    <xf numFmtId="169" fontId="2" fillId="8" borderId="1" xfId="0" applyNumberFormat="1" applyFont="1" applyFill="1" applyBorder="1" applyAlignment="1">
      <alignment vertical="center" wrapText="1"/>
    </xf>
    <xf numFmtId="0" fontId="3" fillId="8" borderId="1" xfId="0" applyFont="1" applyFill="1" applyBorder="1" applyAlignment="1">
      <alignment horizontal="center" vertical="center"/>
    </xf>
    <xf numFmtId="0" fontId="2" fillId="7" borderId="52" xfId="0" applyFont="1" applyFill="1" applyBorder="1" applyAlignment="1">
      <alignment horizontal="center" vertical="center" wrapText="1"/>
    </xf>
    <xf numFmtId="0" fontId="2" fillId="10" borderId="5" xfId="0" applyFont="1" applyFill="1" applyBorder="1" applyAlignment="1">
      <alignment horizontal="left" vertical="center"/>
    </xf>
    <xf numFmtId="1" fontId="3" fillId="10" borderId="1" xfId="0" applyNumberFormat="1" applyFont="1" applyFill="1" applyBorder="1" applyAlignment="1">
      <alignment horizontal="justify" vertical="center" wrapText="1"/>
    </xf>
    <xf numFmtId="0" fontId="15" fillId="10" borderId="1" xfId="0" applyFont="1" applyFill="1" applyBorder="1" applyAlignment="1">
      <alignment horizontal="right" vertical="center" wrapText="1"/>
    </xf>
    <xf numFmtId="169" fontId="17" fillId="10" borderId="1" xfId="0" applyNumberFormat="1" applyFont="1" applyFill="1" applyBorder="1" applyAlignment="1">
      <alignment horizontal="right" vertical="center" textRotation="180" wrapText="1"/>
    </xf>
    <xf numFmtId="0" fontId="15" fillId="17" borderId="1" xfId="0" applyFont="1" applyFill="1" applyBorder="1" applyAlignment="1">
      <alignment horizontal="justify" vertical="center" wrapText="1"/>
    </xf>
    <xf numFmtId="169" fontId="15" fillId="0" borderId="1" xfId="0" applyNumberFormat="1" applyFont="1" applyBorder="1" applyAlignment="1">
      <alignment horizontal="right" vertical="center"/>
    </xf>
    <xf numFmtId="1" fontId="3" fillId="0" borderId="1" xfId="0" applyNumberFormat="1" applyFont="1" applyBorder="1" applyAlignment="1">
      <alignment horizontal="center" vertical="center"/>
    </xf>
    <xf numFmtId="1" fontId="3" fillId="7" borderId="1" xfId="0" applyNumberFormat="1" applyFont="1" applyFill="1" applyBorder="1" applyAlignment="1">
      <alignment horizontal="center" vertical="center"/>
    </xf>
    <xf numFmtId="0" fontId="3" fillId="0" borderId="1" xfId="0" applyFont="1" applyBorder="1"/>
    <xf numFmtId="0" fontId="2" fillId="7" borderId="17" xfId="0" applyFont="1" applyFill="1" applyBorder="1" applyAlignment="1">
      <alignment horizontal="left" vertical="center"/>
    </xf>
    <xf numFmtId="0" fontId="2" fillId="10" borderId="5" xfId="0" applyFont="1" applyFill="1" applyBorder="1" applyAlignment="1">
      <alignment horizontal="center" vertical="center"/>
    </xf>
    <xf numFmtId="0" fontId="2" fillId="10" borderId="0" xfId="0" applyFont="1" applyFill="1" applyAlignment="1">
      <alignment horizontal="justify" vertical="center"/>
    </xf>
    <xf numFmtId="1" fontId="17" fillId="10" borderId="1" xfId="0" applyNumberFormat="1" applyFont="1" applyFill="1" applyBorder="1" applyAlignment="1">
      <alignment horizontal="right" vertical="center" textRotation="180" wrapText="1" readingOrder="2"/>
    </xf>
    <xf numFmtId="169" fontId="15" fillId="0" borderId="1" xfId="0" applyNumberFormat="1" applyFont="1" applyFill="1" applyBorder="1" applyAlignment="1">
      <alignment horizontal="right" vertical="center"/>
    </xf>
    <xf numFmtId="0" fontId="15" fillId="0" borderId="1" xfId="0" applyFont="1" applyFill="1" applyBorder="1" applyAlignment="1">
      <alignment horizontal="center" vertical="center"/>
    </xf>
    <xf numFmtId="9" fontId="15" fillId="0" borderId="1" xfId="0" applyNumberFormat="1" applyFont="1" applyFill="1" applyBorder="1" applyAlignment="1">
      <alignment horizontal="center" vertical="center"/>
    </xf>
    <xf numFmtId="169" fontId="15" fillId="0" borderId="57" xfId="0" applyNumberFormat="1" applyFont="1" applyFill="1" applyBorder="1" applyAlignment="1">
      <alignment horizontal="center" vertical="center" wrapText="1"/>
    </xf>
    <xf numFmtId="0" fontId="3" fillId="10" borderId="1" xfId="0" applyFont="1" applyFill="1" applyBorder="1" applyAlignment="1">
      <alignment vertical="center"/>
    </xf>
    <xf numFmtId="169" fontId="3" fillId="7" borderId="1" xfId="0" applyNumberFormat="1" applyFont="1" applyFill="1" applyBorder="1" applyAlignment="1">
      <alignment horizontal="center" vertical="center"/>
    </xf>
    <xf numFmtId="186" fontId="3" fillId="0" borderId="1" xfId="0" applyNumberFormat="1" applyFont="1" applyBorder="1" applyAlignment="1">
      <alignment horizontal="center" vertical="center"/>
    </xf>
    <xf numFmtId="169" fontId="3" fillId="0" borderId="1" xfId="0" applyNumberFormat="1" applyFont="1" applyBorder="1" applyAlignment="1">
      <alignment horizontal="center" vertical="center"/>
    </xf>
    <xf numFmtId="14" fontId="3" fillId="7" borderId="1" xfId="0" applyNumberFormat="1" applyFont="1" applyFill="1" applyBorder="1" applyAlignment="1">
      <alignment vertical="center"/>
    </xf>
    <xf numFmtId="1" fontId="15" fillId="0" borderId="1" xfId="0" applyNumberFormat="1" applyFont="1" applyBorder="1" applyAlignment="1">
      <alignment horizontal="center" vertical="center" wrapText="1"/>
    </xf>
    <xf numFmtId="0" fontId="3" fillId="0" borderId="58" xfId="0" applyFont="1" applyBorder="1"/>
    <xf numFmtId="0" fontId="3" fillId="0" borderId="53" xfId="0" applyFont="1" applyBorder="1"/>
    <xf numFmtId="0" fontId="3" fillId="0" borderId="59" xfId="0" applyFont="1" applyBorder="1"/>
    <xf numFmtId="0" fontId="2" fillId="19" borderId="5" xfId="0" applyFont="1" applyFill="1" applyBorder="1" applyAlignment="1">
      <alignment horizontal="center" vertical="center"/>
    </xf>
    <xf numFmtId="0" fontId="2" fillId="19" borderId="1" xfId="0" applyFont="1" applyFill="1" applyBorder="1" applyAlignment="1">
      <alignment vertical="center"/>
    </xf>
    <xf numFmtId="0" fontId="2" fillId="19" borderId="1" xfId="0" applyFont="1" applyFill="1" applyBorder="1" applyAlignment="1">
      <alignment horizontal="center" vertical="center"/>
    </xf>
    <xf numFmtId="0" fontId="3" fillId="19" borderId="1" xfId="0" applyFont="1" applyFill="1" applyBorder="1" applyAlignment="1">
      <alignment horizontal="center" vertical="center"/>
    </xf>
    <xf numFmtId="0" fontId="2" fillId="7" borderId="52" xfId="0" applyFont="1" applyFill="1" applyBorder="1" applyAlignment="1">
      <alignment horizontal="left" vertical="center"/>
    </xf>
    <xf numFmtId="0" fontId="3" fillId="0" borderId="3" xfId="0" applyFont="1" applyBorder="1"/>
    <xf numFmtId="0" fontId="3" fillId="0" borderId="4" xfId="0" applyFont="1" applyBorder="1"/>
    <xf numFmtId="0" fontId="3" fillId="0" borderId="4" xfId="0" applyFont="1" applyBorder="1" applyAlignment="1">
      <alignment horizontal="justify" vertical="center"/>
    </xf>
    <xf numFmtId="0" fontId="3" fillId="0" borderId="4" xfId="0" applyFont="1" applyBorder="1" applyAlignment="1">
      <alignment horizontal="center" vertical="center"/>
    </xf>
    <xf numFmtId="169" fontId="17" fillId="0" borderId="1" xfId="0" applyNumberFormat="1" applyFont="1" applyBorder="1" applyAlignment="1">
      <alignment horizontal="right" vertical="center"/>
    </xf>
    <xf numFmtId="169" fontId="17" fillId="7" borderId="1" xfId="0" applyNumberFormat="1" applyFont="1" applyFill="1" applyBorder="1" applyAlignment="1">
      <alignment horizontal="right" vertical="center"/>
    </xf>
    <xf numFmtId="0" fontId="3" fillId="0" borderId="5" xfId="0" applyFont="1" applyBorder="1" applyAlignment="1"/>
    <xf numFmtId="9" fontId="3" fillId="0" borderId="3" xfId="3" applyFont="1" applyBorder="1" applyAlignment="1">
      <alignment horizontal="center" vertical="center"/>
    </xf>
    <xf numFmtId="0" fontId="3" fillId="0" borderId="4" xfId="0" applyFont="1" applyBorder="1" applyAlignment="1"/>
    <xf numFmtId="0" fontId="3" fillId="0" borderId="4" xfId="0" applyFont="1" applyBorder="1" applyAlignment="1">
      <alignment vertical="center"/>
    </xf>
    <xf numFmtId="14" fontId="3" fillId="0" borderId="4" xfId="0" applyNumberFormat="1" applyFont="1" applyBorder="1"/>
    <xf numFmtId="0" fontId="3" fillId="0" borderId="5" xfId="0" applyFont="1" applyBorder="1"/>
    <xf numFmtId="169" fontId="18" fillId="0" borderId="0" xfId="0" applyNumberFormat="1" applyFont="1" applyAlignment="1">
      <alignment horizontal="center" vertical="center"/>
    </xf>
    <xf numFmtId="0" fontId="3" fillId="0" borderId="0" xfId="0" applyFont="1" applyAlignment="1"/>
    <xf numFmtId="9" fontId="3" fillId="0" borderId="0" xfId="3" applyFont="1" applyAlignment="1">
      <alignment horizontal="center" vertical="center"/>
    </xf>
    <xf numFmtId="0" fontId="17" fillId="0" borderId="0" xfId="0" applyFont="1" applyBorder="1" applyAlignment="1">
      <alignment horizontal="center" vertical="center" wrapText="1"/>
    </xf>
    <xf numFmtId="0" fontId="17" fillId="0" borderId="1" xfId="0" applyFont="1" applyBorder="1" applyAlignment="1">
      <alignment horizontal="left"/>
    </xf>
    <xf numFmtId="0" fontId="17" fillId="0" borderId="53" xfId="0" applyFont="1" applyBorder="1" applyAlignment="1">
      <alignment horizontal="center" vertical="center" wrapText="1"/>
    </xf>
    <xf numFmtId="0" fontId="15" fillId="0" borderId="0" xfId="0" applyFont="1" applyAlignment="1">
      <alignment wrapText="1"/>
    </xf>
    <xf numFmtId="0" fontId="44" fillId="0" borderId="0" xfId="0" applyFont="1"/>
    <xf numFmtId="168" fontId="21" fillId="3"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168" fontId="17" fillId="3" borderId="1" xfId="0" applyNumberFormat="1" applyFont="1" applyFill="1" applyBorder="1" applyAlignment="1">
      <alignment horizontal="center" vertical="center" wrapText="1"/>
    </xf>
    <xf numFmtId="168" fontId="17" fillId="3" borderId="1" xfId="0" applyNumberFormat="1" applyFont="1" applyFill="1" applyBorder="1" applyAlignment="1">
      <alignment vertical="center" wrapText="1"/>
    </xf>
    <xf numFmtId="0" fontId="17" fillId="6" borderId="1" xfId="0" applyFont="1" applyFill="1" applyBorder="1" applyAlignment="1">
      <alignment horizontal="center" vertical="center" wrapText="1"/>
    </xf>
    <xf numFmtId="0" fontId="17" fillId="6" borderId="3" xfId="0" applyFont="1" applyFill="1" applyBorder="1" applyAlignment="1">
      <alignment horizontal="left" vertical="center"/>
    </xf>
    <xf numFmtId="0" fontId="17" fillId="6" borderId="4" xfId="0" applyFont="1" applyFill="1" applyBorder="1" applyAlignment="1">
      <alignment horizontal="left" vertical="center"/>
    </xf>
    <xf numFmtId="0" fontId="17" fillId="8" borderId="4" xfId="0" applyFont="1" applyFill="1" applyBorder="1" applyAlignment="1">
      <alignment vertical="center" wrapText="1"/>
    </xf>
    <xf numFmtId="0" fontId="17" fillId="8" borderId="5" xfId="0" applyFont="1" applyFill="1" applyBorder="1" applyAlignment="1">
      <alignment vertical="center" wrapText="1"/>
    </xf>
    <xf numFmtId="0" fontId="17" fillId="9" borderId="3" xfId="0" applyFont="1" applyFill="1" applyBorder="1" applyAlignment="1">
      <alignment horizontal="center" vertical="center" wrapText="1"/>
    </xf>
    <xf numFmtId="0" fontId="17" fillId="9" borderId="4" xfId="0" applyFont="1" applyFill="1" applyBorder="1" applyAlignment="1">
      <alignment vertical="center" wrapText="1"/>
    </xf>
    <xf numFmtId="0" fontId="17" fillId="9" borderId="5" xfId="0" applyFont="1" applyFill="1" applyBorder="1" applyAlignment="1">
      <alignment vertical="center" wrapText="1"/>
    </xf>
    <xf numFmtId="192" fontId="15" fillId="0" borderId="1" xfId="0" applyNumberFormat="1" applyFont="1" applyFill="1" applyBorder="1" applyAlignment="1">
      <alignment horizontal="center" vertical="center" wrapText="1"/>
    </xf>
    <xf numFmtId="0" fontId="15" fillId="0" borderId="0" xfId="0" applyFont="1" applyFill="1"/>
    <xf numFmtId="192" fontId="15" fillId="0" borderId="56" xfId="0" applyNumberFormat="1" applyFont="1" applyFill="1" applyBorder="1" applyAlignment="1">
      <alignment horizontal="center" vertical="center" wrapText="1"/>
    </xf>
    <xf numFmtId="0" fontId="15" fillId="0" borderId="56" xfId="0" applyFont="1" applyFill="1" applyBorder="1" applyAlignment="1">
      <alignment horizontal="justify" vertical="center" wrapText="1"/>
    </xf>
    <xf numFmtId="192" fontId="15" fillId="0" borderId="57" xfId="8" applyNumberFormat="1" applyFont="1" applyFill="1" applyBorder="1" applyAlignment="1">
      <alignment vertical="center" wrapText="1"/>
    </xf>
    <xf numFmtId="192" fontId="15" fillId="7" borderId="1" xfId="0" applyNumberFormat="1" applyFont="1" applyFill="1" applyBorder="1" applyAlignment="1">
      <alignment horizontal="center" vertical="center" wrapText="1"/>
    </xf>
    <xf numFmtId="192" fontId="15" fillId="0" borderId="1" xfId="8" applyNumberFormat="1" applyFont="1" applyFill="1" applyBorder="1" applyAlignment="1">
      <alignment vertical="center" wrapText="1"/>
    </xf>
    <xf numFmtId="9" fontId="15" fillId="7" borderId="56" xfId="0" applyNumberFormat="1" applyFont="1" applyFill="1" applyBorder="1" applyAlignment="1">
      <alignment horizontal="center" vertical="center" wrapText="1"/>
    </xf>
    <xf numFmtId="0" fontId="15" fillId="7" borderId="1" xfId="0" applyFont="1" applyFill="1" applyBorder="1" applyAlignment="1">
      <alignment horizontal="left" vertical="center" wrapText="1"/>
    </xf>
    <xf numFmtId="9" fontId="15" fillId="7" borderId="1" xfId="0" applyNumberFormat="1" applyFont="1" applyFill="1" applyBorder="1" applyAlignment="1">
      <alignment horizontal="center" vertical="center" wrapText="1"/>
    </xf>
    <xf numFmtId="0" fontId="15" fillId="7" borderId="57" xfId="0" applyFont="1" applyFill="1" applyBorder="1" applyAlignment="1">
      <alignment horizontal="center" vertical="center" wrapText="1"/>
    </xf>
    <xf numFmtId="0" fontId="15" fillId="7" borderId="56" xfId="0" applyFont="1" applyFill="1" applyBorder="1" applyAlignment="1">
      <alignment horizontal="justify" vertical="center" wrapText="1"/>
    </xf>
    <xf numFmtId="0" fontId="15" fillId="7" borderId="56" xfId="0" applyFont="1" applyFill="1" applyBorder="1" applyAlignment="1">
      <alignment vertical="center" wrapText="1"/>
    </xf>
    <xf numFmtId="0" fontId="15" fillId="7" borderId="58" xfId="0" applyFont="1" applyFill="1" applyBorder="1" applyAlignment="1">
      <alignment horizontal="center" vertical="center" wrapText="1"/>
    </xf>
    <xf numFmtId="10" fontId="15" fillId="7" borderId="1" xfId="0" applyNumberFormat="1" applyFont="1" applyFill="1" applyBorder="1" applyAlignment="1">
      <alignment horizontal="center" vertical="center" wrapText="1"/>
    </xf>
    <xf numFmtId="0" fontId="15" fillId="7" borderId="1" xfId="0" applyFont="1" applyFill="1" applyBorder="1" applyAlignment="1">
      <alignment vertical="center" wrapText="1"/>
    </xf>
    <xf numFmtId="14" fontId="15" fillId="7" borderId="56" xfId="0" applyNumberFormat="1" applyFont="1" applyFill="1" applyBorder="1" applyAlignment="1">
      <alignment horizontal="center" vertical="center" wrapText="1"/>
    </xf>
    <xf numFmtId="14" fontId="15" fillId="7" borderId="1" xfId="0" applyNumberFormat="1" applyFont="1" applyFill="1" applyBorder="1" applyAlignment="1">
      <alignment horizontal="center" vertical="center" wrapText="1"/>
    </xf>
    <xf numFmtId="0" fontId="15" fillId="7" borderId="56" xfId="0" applyFont="1" applyFill="1" applyBorder="1" applyAlignment="1">
      <alignment horizontal="left" vertical="center" wrapText="1"/>
    </xf>
    <xf numFmtId="192" fontId="15" fillId="7" borderId="56" xfId="0" applyNumberFormat="1" applyFont="1" applyFill="1" applyBorder="1" applyAlignment="1">
      <alignment horizontal="center" vertical="center" wrapText="1"/>
    </xf>
    <xf numFmtId="0" fontId="15" fillId="7" borderId="56" xfId="0" applyFont="1" applyFill="1" applyBorder="1" applyAlignment="1">
      <alignment horizontal="center" vertical="center" wrapText="1"/>
    </xf>
    <xf numFmtId="0" fontId="17" fillId="0" borderId="20" xfId="0" applyFont="1" applyBorder="1" applyAlignment="1">
      <alignment vertical="center"/>
    </xf>
    <xf numFmtId="0" fontId="17" fillId="0" borderId="20" xfId="0" applyFont="1" applyFill="1" applyBorder="1" applyAlignment="1">
      <alignment vertical="center"/>
    </xf>
    <xf numFmtId="0" fontId="17" fillId="0" borderId="21" xfId="0" applyFont="1" applyFill="1" applyBorder="1" applyAlignment="1">
      <alignment vertical="center"/>
    </xf>
    <xf numFmtId="0" fontId="17" fillId="0" borderId="22" xfId="0" applyFont="1" applyFill="1" applyBorder="1" applyAlignment="1">
      <alignment horizontal="justify" vertical="center"/>
    </xf>
    <xf numFmtId="0" fontId="17" fillId="7" borderId="21" xfId="0" applyFont="1" applyFill="1" applyBorder="1" applyAlignment="1">
      <alignment horizontal="justify" vertical="center"/>
    </xf>
    <xf numFmtId="169" fontId="17" fillId="0" borderId="60" xfId="0" applyNumberFormat="1" applyFont="1" applyBorder="1" applyAlignment="1">
      <alignment vertical="center"/>
    </xf>
    <xf numFmtId="0" fontId="17" fillId="0" borderId="24" xfId="0" applyFont="1" applyBorder="1" applyAlignment="1">
      <alignment vertical="center"/>
    </xf>
    <xf numFmtId="0" fontId="17" fillId="0" borderId="21" xfId="0" applyFont="1" applyFill="1" applyBorder="1" applyAlignment="1">
      <alignment horizontal="right" vertical="center"/>
    </xf>
    <xf numFmtId="168" fontId="17" fillId="0" borderId="21" xfId="0" applyNumberFormat="1" applyFont="1" applyBorder="1" applyAlignment="1">
      <alignment horizontal="center" vertical="center"/>
    </xf>
    <xf numFmtId="0" fontId="17" fillId="0" borderId="22" xfId="0" applyFont="1" applyBorder="1" applyAlignment="1">
      <alignment horizontal="left" vertical="center"/>
    </xf>
    <xf numFmtId="0" fontId="17" fillId="0" borderId="0" xfId="0" applyFont="1" applyAlignment="1">
      <alignment vertical="center"/>
    </xf>
    <xf numFmtId="3" fontId="15" fillId="0" borderId="0" xfId="0" applyNumberFormat="1" applyFont="1" applyFill="1"/>
    <xf numFmtId="169" fontId="15" fillId="0" borderId="0" xfId="0" applyNumberFormat="1" applyFont="1"/>
    <xf numFmtId="0" fontId="33" fillId="0" borderId="0" xfId="0" applyFont="1"/>
    <xf numFmtId="173" fontId="15" fillId="0" borderId="0" xfId="0" applyNumberFormat="1" applyFont="1"/>
    <xf numFmtId="0" fontId="17" fillId="0" borderId="35" xfId="0" applyFont="1" applyBorder="1"/>
    <xf numFmtId="0" fontId="17" fillId="0" borderId="1" xfId="0" applyFont="1" applyBorder="1" applyAlignment="1">
      <alignment vertical="center" wrapText="1"/>
    </xf>
    <xf numFmtId="0" fontId="17" fillId="0" borderId="8" xfId="0" applyFont="1" applyBorder="1" applyAlignment="1">
      <alignment vertical="center"/>
    </xf>
    <xf numFmtId="3" fontId="17" fillId="0" borderId="8" xfId="0" applyNumberFormat="1" applyFont="1" applyBorder="1" applyAlignment="1">
      <alignment horizontal="left" vertical="center" wrapText="1"/>
    </xf>
    <xf numFmtId="0" fontId="17" fillId="3" borderId="8" xfId="0" applyFont="1" applyFill="1" applyBorder="1" applyAlignment="1">
      <alignment horizontal="center" vertical="center" wrapText="1"/>
    </xf>
    <xf numFmtId="0" fontId="45" fillId="0" borderId="0" xfId="0" applyFont="1" applyFill="1" applyProtection="1">
      <protection locked="0"/>
    </xf>
    <xf numFmtId="0" fontId="24" fillId="0" borderId="0" xfId="0" applyFont="1" applyFill="1" applyProtection="1">
      <protection locked="0"/>
    </xf>
    <xf numFmtId="165" fontId="24" fillId="0" borderId="0" xfId="16" applyFont="1" applyAlignment="1" applyProtection="1">
      <alignment horizontal="center" vertical="center"/>
      <protection locked="0"/>
    </xf>
    <xf numFmtId="167" fontId="24" fillId="0" borderId="0" xfId="15" applyFont="1" applyAlignment="1" applyProtection="1">
      <alignment horizontal="center"/>
      <protection locked="0"/>
    </xf>
    <xf numFmtId="167" fontId="24" fillId="0" borderId="0" xfId="15" applyFont="1" applyAlignment="1" applyProtection="1">
      <alignment horizontal="justify"/>
      <protection locked="0"/>
    </xf>
    <xf numFmtId="167" fontId="24" fillId="0" borderId="0" xfId="15" applyFont="1" applyAlignment="1" applyProtection="1">
      <alignment horizontal="left"/>
      <protection locked="0"/>
    </xf>
    <xf numFmtId="0" fontId="46" fillId="0" borderId="0" xfId="0" applyFont="1" applyFill="1" applyProtection="1">
      <protection locked="0"/>
    </xf>
    <xf numFmtId="0" fontId="47" fillId="0" borderId="0" xfId="0" applyFont="1" applyFill="1" applyProtection="1">
      <protection locked="0"/>
    </xf>
    <xf numFmtId="0" fontId="48" fillId="0" borderId="0" xfId="0" applyFont="1" applyFill="1" applyProtection="1">
      <protection locked="0"/>
    </xf>
    <xf numFmtId="165" fontId="49" fillId="0" borderId="0" xfId="16" applyFont="1" applyAlignment="1" applyProtection="1">
      <alignment horizontal="center" vertical="center"/>
      <protection locked="0"/>
    </xf>
    <xf numFmtId="167" fontId="49" fillId="0" borderId="0" xfId="15" applyFont="1" applyAlignment="1" applyProtection="1">
      <alignment horizontal="center"/>
      <protection locked="0"/>
    </xf>
    <xf numFmtId="167" fontId="49" fillId="0" borderId="0" xfId="15" applyFont="1" applyAlignment="1" applyProtection="1">
      <alignment horizontal="justify"/>
      <protection locked="0"/>
    </xf>
    <xf numFmtId="167" fontId="37" fillId="0" borderId="0" xfId="15" applyFont="1" applyAlignment="1" applyProtection="1">
      <alignment horizontal="left"/>
      <protection locked="0"/>
    </xf>
    <xf numFmtId="0" fontId="15" fillId="0" borderId="0" xfId="0" applyFont="1" applyAlignment="1">
      <alignment horizontal="right" vertical="center"/>
    </xf>
    <xf numFmtId="168" fontId="15" fillId="0" borderId="0" xfId="0" applyNumberFormat="1" applyFont="1" applyAlignment="1">
      <alignment horizontal="center"/>
    </xf>
    <xf numFmtId="0" fontId="15" fillId="0" borderId="0" xfId="0" applyFont="1" applyAlignment="1">
      <alignment horizontal="left"/>
    </xf>
    <xf numFmtId="0" fontId="50" fillId="0" borderId="0" xfId="0" applyFont="1"/>
    <xf numFmtId="0" fontId="15" fillId="0" borderId="1" xfId="0" applyFont="1" applyBorder="1" applyAlignment="1">
      <alignment horizontal="justify" vertical="center" wrapText="1"/>
    </xf>
    <xf numFmtId="0" fontId="17" fillId="0" borderId="1" xfId="0" applyFont="1" applyBorder="1" applyAlignment="1">
      <alignment horizontal="center" vertical="center"/>
    </xf>
    <xf numFmtId="0" fontId="17" fillId="3" borderId="4" xfId="0" applyFont="1" applyFill="1" applyBorder="1" applyAlignment="1">
      <alignment horizontal="center" vertical="center" wrapText="1"/>
    </xf>
    <xf numFmtId="173" fontId="15" fillId="7" borderId="1" xfId="8" applyFont="1" applyFill="1" applyBorder="1" applyAlignment="1">
      <alignment horizontal="center" vertical="center" wrapText="1"/>
    </xf>
    <xf numFmtId="173" fontId="15" fillId="7" borderId="57" xfId="8" applyFont="1" applyFill="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41" fontId="15" fillId="0" borderId="1" xfId="2" applyFont="1" applyFill="1" applyBorder="1" applyAlignment="1">
      <alignment vertical="center"/>
    </xf>
    <xf numFmtId="41" fontId="15" fillId="0" borderId="89" xfId="2" applyFont="1" applyFill="1" applyBorder="1" applyAlignment="1">
      <alignment vertical="center"/>
    </xf>
    <xf numFmtId="41" fontId="15" fillId="0" borderId="89" xfId="2" applyFont="1" applyFill="1" applyBorder="1" applyAlignment="1">
      <alignment vertical="center" wrapText="1"/>
    </xf>
    <xf numFmtId="0" fontId="17" fillId="0" borderId="37" xfId="0" applyFont="1" applyBorder="1" applyAlignment="1">
      <alignment horizontal="center" vertical="center" wrapText="1"/>
    </xf>
    <xf numFmtId="0" fontId="15" fillId="0" borderId="37" xfId="0" applyFont="1" applyBorder="1"/>
    <xf numFmtId="0" fontId="17" fillId="0" borderId="61" xfId="0" applyFont="1" applyBorder="1"/>
    <xf numFmtId="0" fontId="17" fillId="0" borderId="62" xfId="0" applyFont="1" applyBorder="1"/>
    <xf numFmtId="0" fontId="15" fillId="0" borderId="0" xfId="0" applyFont="1" applyBorder="1"/>
    <xf numFmtId="166" fontId="17" fillId="0" borderId="63" xfId="0" applyNumberFormat="1" applyFont="1" applyBorder="1" applyAlignment="1">
      <alignment horizontal="left"/>
    </xf>
    <xf numFmtId="17" fontId="17" fillId="0" borderId="63" xfId="0" applyNumberFormat="1" applyFont="1" applyBorder="1" applyAlignment="1">
      <alignment horizontal="left"/>
    </xf>
    <xf numFmtId="0" fontId="15" fillId="0" borderId="0" xfId="0" applyFont="1" applyBorder="1" applyAlignment="1">
      <alignment wrapText="1"/>
    </xf>
    <xf numFmtId="3" fontId="17" fillId="2" borderId="63" xfId="0" applyNumberFormat="1" applyFont="1" applyFill="1" applyBorder="1" applyAlignment="1">
      <alignment horizontal="left" vertical="center" wrapText="1"/>
    </xf>
    <xf numFmtId="0" fontId="17" fillId="6" borderId="67" xfId="0" applyFont="1" applyFill="1" applyBorder="1" applyAlignment="1">
      <alignment horizontal="center" vertical="center" wrapText="1"/>
    </xf>
    <xf numFmtId="0" fontId="17" fillId="6" borderId="66" xfId="0" applyFont="1" applyFill="1" applyBorder="1" applyAlignment="1">
      <alignment vertical="center" wrapText="1"/>
    </xf>
    <xf numFmtId="0" fontId="17" fillId="8" borderId="3" xfId="0" applyFont="1" applyFill="1" applyBorder="1" applyAlignment="1">
      <alignment horizontal="center" vertical="center" wrapText="1"/>
    </xf>
    <xf numFmtId="0" fontId="17" fillId="8" borderId="3" xfId="0" applyFont="1" applyFill="1" applyBorder="1" applyAlignment="1">
      <alignment vertical="center" wrapText="1"/>
    </xf>
    <xf numFmtId="0" fontId="17" fillId="8" borderId="66" xfId="0" applyFont="1" applyFill="1" applyBorder="1" applyAlignment="1">
      <alignment vertical="center" wrapText="1"/>
    </xf>
    <xf numFmtId="0" fontId="17" fillId="9" borderId="4" xfId="0" applyFont="1" applyFill="1" applyBorder="1" applyAlignment="1">
      <alignment horizontal="left" vertical="center"/>
    </xf>
    <xf numFmtId="0" fontId="17" fillId="9" borderId="66" xfId="0" applyFont="1" applyFill="1" applyBorder="1" applyAlignment="1">
      <alignment vertical="center" wrapText="1"/>
    </xf>
    <xf numFmtId="0" fontId="15" fillId="0" borderId="1" xfId="0" applyFont="1" applyFill="1" applyBorder="1" applyAlignment="1">
      <alignment vertical="center" wrapText="1"/>
    </xf>
    <xf numFmtId="0" fontId="17" fillId="8" borderId="5" xfId="0" applyFont="1" applyFill="1" applyBorder="1" applyAlignment="1">
      <alignment horizontal="left" vertical="center"/>
    </xf>
    <xf numFmtId="0" fontId="17" fillId="8" borderId="58" xfId="0" applyFont="1" applyFill="1" applyBorder="1" applyAlignment="1">
      <alignment vertical="center" wrapText="1"/>
    </xf>
    <xf numFmtId="0" fontId="17" fillId="8" borderId="53" xfId="0" applyFont="1" applyFill="1" applyBorder="1" applyAlignment="1">
      <alignment vertical="center" wrapText="1"/>
    </xf>
    <xf numFmtId="41" fontId="17" fillId="8" borderId="53" xfId="2" applyFont="1" applyFill="1" applyBorder="1" applyAlignment="1">
      <alignment vertical="center" wrapText="1"/>
    </xf>
    <xf numFmtId="9" fontId="17" fillId="8" borderId="53" xfId="3" applyFont="1" applyFill="1" applyBorder="1" applyAlignment="1">
      <alignment vertical="center" wrapText="1"/>
    </xf>
    <xf numFmtId="0" fontId="17" fillId="8" borderId="65" xfId="0" applyFont="1" applyFill="1" applyBorder="1" applyAlignment="1">
      <alignment vertical="center" wrapText="1"/>
    </xf>
    <xf numFmtId="0" fontId="17" fillId="9" borderId="4" xfId="0" applyFont="1" applyFill="1" applyBorder="1" applyAlignment="1">
      <alignment vertical="center"/>
    </xf>
    <xf numFmtId="41" fontId="17" fillId="9" borderId="4" xfId="2" applyFont="1" applyFill="1" applyBorder="1" applyAlignment="1">
      <alignment vertical="center" wrapText="1"/>
    </xf>
    <xf numFmtId="9" fontId="17" fillId="9" borderId="4" xfId="3" applyFont="1" applyFill="1" applyBorder="1" applyAlignment="1">
      <alignment vertical="center" wrapText="1"/>
    </xf>
    <xf numFmtId="0" fontId="15" fillId="0" borderId="89" xfId="0" applyFont="1" applyFill="1" applyBorder="1" applyAlignment="1">
      <alignment vertical="center" wrapText="1"/>
    </xf>
    <xf numFmtId="0" fontId="15" fillId="0" borderId="89" xfId="0" applyFont="1" applyFill="1" applyBorder="1" applyAlignment="1">
      <alignment horizontal="justify" vertical="center" wrapText="1"/>
    </xf>
    <xf numFmtId="41" fontId="15" fillId="0" borderId="89" xfId="2" applyFont="1" applyFill="1" applyBorder="1" applyAlignment="1">
      <alignment horizontal="center" vertical="center" wrapText="1"/>
    </xf>
    <xf numFmtId="0" fontId="17" fillId="0" borderId="20" xfId="0" applyFont="1" applyBorder="1"/>
    <xf numFmtId="0" fontId="17" fillId="0" borderId="21" xfId="0" applyFont="1" applyBorder="1"/>
    <xf numFmtId="0" fontId="17" fillId="0" borderId="22" xfId="0" applyFont="1" applyBorder="1"/>
    <xf numFmtId="41" fontId="17" fillId="0" borderId="23" xfId="2" applyFont="1" applyBorder="1" applyAlignment="1">
      <alignment horizontal="center" vertical="center"/>
    </xf>
    <xf numFmtId="41" fontId="17" fillId="0" borderId="23" xfId="0" applyNumberFormat="1" applyFont="1" applyBorder="1" applyAlignment="1">
      <alignment vertical="center"/>
    </xf>
    <xf numFmtId="3" fontId="17" fillId="7" borderId="55" xfId="0" applyNumberFormat="1" applyFont="1" applyFill="1" applyBorder="1" applyAlignment="1">
      <alignment vertical="center"/>
    </xf>
    <xf numFmtId="0" fontId="17" fillId="0" borderId="55" xfId="0" applyFont="1" applyBorder="1"/>
    <xf numFmtId="9" fontId="25" fillId="0" borderId="4" xfId="3" applyFont="1" applyBorder="1" applyAlignment="1">
      <alignment horizontal="center" vertical="center"/>
    </xf>
    <xf numFmtId="1" fontId="17" fillId="20" borderId="3" xfId="0" applyNumberFormat="1" applyFont="1" applyFill="1" applyBorder="1" applyAlignment="1">
      <alignment horizontal="left" vertical="center" wrapText="1"/>
    </xf>
    <xf numFmtId="0" fontId="17" fillId="20" borderId="4" xfId="0" applyFont="1" applyFill="1" applyBorder="1" applyAlignment="1">
      <alignment vertical="center"/>
    </xf>
    <xf numFmtId="0" fontId="17" fillId="20" borderId="4" xfId="0" applyFont="1" applyFill="1" applyBorder="1" applyAlignment="1">
      <alignment horizontal="justify" vertical="center"/>
    </xf>
    <xf numFmtId="0" fontId="17" fillId="20" borderId="4" xfId="0" applyFont="1" applyFill="1" applyBorder="1" applyAlignment="1">
      <alignment horizontal="center" vertical="center"/>
    </xf>
    <xf numFmtId="170" fontId="17" fillId="20" borderId="4" xfId="0" applyNumberFormat="1" applyFont="1" applyFill="1" applyBorder="1" applyAlignment="1">
      <alignment horizontal="center" vertical="center"/>
    </xf>
    <xf numFmtId="169" fontId="17" fillId="20" borderId="4" xfId="0" applyNumberFormat="1" applyFont="1" applyFill="1" applyBorder="1" applyAlignment="1">
      <alignment vertical="center"/>
    </xf>
    <xf numFmtId="1" fontId="17" fillId="20" borderId="4" xfId="0" applyNumberFormat="1" applyFont="1" applyFill="1" applyBorder="1" applyAlignment="1">
      <alignment horizontal="center" vertical="center"/>
    </xf>
    <xf numFmtId="172" fontId="21" fillId="20" borderId="4" xfId="0" applyNumberFormat="1" applyFont="1" applyFill="1" applyBorder="1" applyAlignment="1">
      <alignment horizontal="left" vertical="center"/>
    </xf>
    <xf numFmtId="9" fontId="21" fillId="20" borderId="1" xfId="3" applyFont="1" applyFill="1" applyBorder="1" applyAlignment="1">
      <alignment horizontal="left" vertical="center"/>
    </xf>
    <xf numFmtId="172" fontId="17" fillId="20" borderId="4" xfId="0" applyNumberFormat="1" applyFont="1" applyFill="1" applyBorder="1" applyAlignment="1">
      <alignment vertical="center"/>
    </xf>
    <xf numFmtId="0" fontId="17" fillId="20" borderId="5" xfId="0" applyFont="1" applyFill="1" applyBorder="1" applyAlignment="1">
      <alignment horizontal="justify" vertical="center"/>
    </xf>
    <xf numFmtId="0" fontId="15" fillId="7" borderId="50" xfId="0" applyFont="1" applyFill="1" applyBorder="1" applyAlignment="1">
      <alignment vertical="center" wrapText="1"/>
    </xf>
    <xf numFmtId="0" fontId="15" fillId="7" borderId="55" xfId="0" applyFont="1" applyFill="1" applyBorder="1" applyAlignment="1">
      <alignment vertical="center" wrapText="1"/>
    </xf>
    <xf numFmtId="0" fontId="15" fillId="7" borderId="52" xfId="0" applyFont="1" applyFill="1" applyBorder="1" applyAlignment="1">
      <alignment vertical="center" wrapText="1"/>
    </xf>
    <xf numFmtId="1" fontId="17" fillId="12" borderId="58" xfId="0" applyNumberFormat="1" applyFont="1" applyFill="1" applyBorder="1" applyAlignment="1">
      <alignment horizontal="center" vertical="center"/>
    </xf>
    <xf numFmtId="0" fontId="17" fillId="12" borderId="53" xfId="0" applyFont="1" applyFill="1" applyBorder="1" applyAlignment="1">
      <alignment vertical="center"/>
    </xf>
    <xf numFmtId="0" fontId="17" fillId="12" borderId="53" xfId="0" applyFont="1" applyFill="1" applyBorder="1" applyAlignment="1">
      <alignment horizontal="justify" vertical="center"/>
    </xf>
    <xf numFmtId="0" fontId="17" fillId="12" borderId="53" xfId="0" applyFont="1" applyFill="1" applyBorder="1" applyAlignment="1">
      <alignment horizontal="center" vertical="center"/>
    </xf>
    <xf numFmtId="170" fontId="17" fillId="12" borderId="53" xfId="0" applyNumberFormat="1" applyFont="1" applyFill="1" applyBorder="1" applyAlignment="1">
      <alignment horizontal="center" vertical="center"/>
    </xf>
    <xf numFmtId="169" fontId="17" fillId="12" borderId="53" xfId="0" applyNumberFormat="1" applyFont="1" applyFill="1" applyBorder="1" applyAlignment="1">
      <alignment vertical="center"/>
    </xf>
    <xf numFmtId="169" fontId="17" fillId="12" borderId="53" xfId="0" applyNumberFormat="1" applyFont="1" applyFill="1" applyBorder="1" applyAlignment="1">
      <alignment horizontal="center" vertical="center"/>
    </xf>
    <xf numFmtId="1" fontId="17" fillId="12" borderId="53" xfId="0" applyNumberFormat="1" applyFont="1" applyFill="1" applyBorder="1" applyAlignment="1">
      <alignment horizontal="center" vertical="center"/>
    </xf>
    <xf numFmtId="172" fontId="21" fillId="12" borderId="53" xfId="0" applyNumberFormat="1" applyFont="1" applyFill="1" applyBorder="1" applyAlignment="1">
      <alignment horizontal="left" vertical="center"/>
    </xf>
    <xf numFmtId="9" fontId="21" fillId="12" borderId="53" xfId="3" applyFont="1" applyFill="1" applyBorder="1" applyAlignment="1">
      <alignment horizontal="left" vertical="center"/>
    </xf>
    <xf numFmtId="172" fontId="21" fillId="12" borderId="1" xfId="0" applyNumberFormat="1" applyFont="1" applyFill="1" applyBorder="1" applyAlignment="1">
      <alignment horizontal="left" vertical="center"/>
    </xf>
    <xf numFmtId="172" fontId="17" fillId="12" borderId="53" xfId="0" applyNumberFormat="1" applyFont="1" applyFill="1" applyBorder="1" applyAlignment="1">
      <alignment vertical="center"/>
    </xf>
    <xf numFmtId="0" fontId="17" fillId="12" borderId="59" xfId="0" applyFont="1" applyFill="1" applyBorder="1" applyAlignment="1">
      <alignment horizontal="justify" vertical="center"/>
    </xf>
    <xf numFmtId="0" fontId="15" fillId="7" borderId="0" xfId="0" applyFont="1" applyFill="1" applyAlignment="1">
      <alignment vertical="center" wrapText="1"/>
    </xf>
    <xf numFmtId="0" fontId="15" fillId="7" borderId="17" xfId="0" applyFont="1" applyFill="1" applyBorder="1" applyAlignment="1">
      <alignment vertical="center" wrapText="1"/>
    </xf>
    <xf numFmtId="0" fontId="17" fillId="7" borderId="50" xfId="0" applyFont="1" applyFill="1" applyBorder="1" applyAlignment="1">
      <alignment horizontal="center" vertical="center" wrapText="1"/>
    </xf>
    <xf numFmtId="0" fontId="17" fillId="7" borderId="0" xfId="0" applyFont="1" applyFill="1" applyAlignment="1">
      <alignment horizontal="center" vertical="center" wrapText="1"/>
    </xf>
    <xf numFmtId="1" fontId="17" fillId="21" borderId="3" xfId="0" applyNumberFormat="1" applyFont="1" applyFill="1" applyBorder="1" applyAlignment="1">
      <alignment horizontal="left" vertical="center" wrapText="1" indent="1"/>
    </xf>
    <xf numFmtId="0" fontId="17" fillId="21" borderId="4" xfId="0" applyFont="1" applyFill="1" applyBorder="1" applyAlignment="1">
      <alignment vertical="center"/>
    </xf>
    <xf numFmtId="0" fontId="17" fillId="21" borderId="4" xfId="0" applyFont="1" applyFill="1" applyBorder="1" applyAlignment="1">
      <alignment horizontal="justify" vertical="center"/>
    </xf>
    <xf numFmtId="0" fontId="17" fillId="21" borderId="4" xfId="0" applyFont="1" applyFill="1" applyBorder="1" applyAlignment="1">
      <alignment horizontal="center" vertical="center"/>
    </xf>
    <xf numFmtId="170" fontId="17" fillId="21" borderId="4" xfId="0" applyNumberFormat="1" applyFont="1" applyFill="1" applyBorder="1" applyAlignment="1">
      <alignment horizontal="center" vertical="center"/>
    </xf>
    <xf numFmtId="169" fontId="17" fillId="21" borderId="4" xfId="0" applyNumberFormat="1" applyFont="1" applyFill="1" applyBorder="1" applyAlignment="1">
      <alignment vertical="center"/>
    </xf>
    <xf numFmtId="169" fontId="17" fillId="21" borderId="4" xfId="0" applyNumberFormat="1" applyFont="1" applyFill="1" applyBorder="1" applyAlignment="1">
      <alignment horizontal="center" vertical="center"/>
    </xf>
    <xf numFmtId="1" fontId="17" fillId="21" borderId="4" xfId="0" applyNumberFormat="1" applyFont="1" applyFill="1" applyBorder="1" applyAlignment="1">
      <alignment horizontal="center" vertical="center"/>
    </xf>
    <xf numFmtId="172" fontId="21" fillId="21" borderId="4" xfId="0" applyNumberFormat="1" applyFont="1" applyFill="1" applyBorder="1" applyAlignment="1">
      <alignment horizontal="left" vertical="center"/>
    </xf>
    <xf numFmtId="9" fontId="21" fillId="21" borderId="4" xfId="3" applyFont="1" applyFill="1" applyBorder="1" applyAlignment="1">
      <alignment horizontal="left" vertical="center"/>
    </xf>
    <xf numFmtId="172" fontId="21" fillId="21" borderId="1" xfId="0" applyNumberFormat="1" applyFont="1" applyFill="1" applyBorder="1" applyAlignment="1">
      <alignment horizontal="left" vertical="center"/>
    </xf>
    <xf numFmtId="172" fontId="17" fillId="21" borderId="4" xfId="0" applyNumberFormat="1" applyFont="1" applyFill="1" applyBorder="1" applyAlignment="1">
      <alignment vertical="center"/>
    </xf>
    <xf numFmtId="0" fontId="17" fillId="21" borderId="5" xfId="0" applyFont="1" applyFill="1" applyBorder="1" applyAlignment="1">
      <alignment horizontal="justify" vertical="center"/>
    </xf>
    <xf numFmtId="0" fontId="15" fillId="7" borderId="50" xfId="0" applyFont="1" applyFill="1" applyBorder="1" applyAlignment="1">
      <alignment horizontal="center" vertical="center" wrapText="1"/>
    </xf>
    <xf numFmtId="191" fontId="15" fillId="0" borderId="1" xfId="12" applyNumberFormat="1" applyFont="1" applyFill="1" applyBorder="1" applyAlignment="1">
      <alignment vertical="center"/>
    </xf>
    <xf numFmtId="173" fontId="24" fillId="0" borderId="1" xfId="8" applyFont="1" applyFill="1" applyBorder="1" applyAlignment="1">
      <alignment horizontal="right" vertical="center" wrapText="1"/>
    </xf>
    <xf numFmtId="173" fontId="24" fillId="0" borderId="1" xfId="8" applyFont="1" applyFill="1" applyBorder="1" applyAlignment="1" applyProtection="1">
      <alignment horizontal="right" vertical="center" wrapText="1"/>
      <protection locked="0"/>
    </xf>
    <xf numFmtId="0" fontId="15" fillId="0" borderId="56" xfId="0" applyFont="1" applyBorder="1" applyAlignment="1">
      <alignment horizontal="justify" vertical="center" wrapText="1"/>
    </xf>
    <xf numFmtId="169" fontId="15" fillId="0" borderId="1" xfId="0" applyNumberFormat="1" applyFont="1" applyBorder="1" applyAlignment="1">
      <alignment vertical="center" wrapText="1"/>
    </xf>
    <xf numFmtId="173" fontId="24" fillId="7" borderId="1" xfId="8" applyFont="1" applyFill="1" applyBorder="1" applyAlignment="1">
      <alignment horizontal="right" vertical="center" wrapText="1"/>
    </xf>
    <xf numFmtId="169" fontId="17" fillId="21" borderId="4" xfId="0" applyNumberFormat="1" applyFont="1" applyFill="1" applyBorder="1" applyAlignment="1">
      <alignment horizontal="justify" vertical="center"/>
    </xf>
    <xf numFmtId="41" fontId="17" fillId="21" borderId="4" xfId="26" applyFont="1" applyFill="1" applyBorder="1" applyAlignment="1">
      <alignment vertical="center"/>
    </xf>
    <xf numFmtId="0" fontId="15" fillId="21" borderId="4" xfId="0" applyFont="1" applyFill="1" applyBorder="1" applyAlignment="1">
      <alignment vertical="center"/>
    </xf>
    <xf numFmtId="9" fontId="15" fillId="21" borderId="4" xfId="3" applyFont="1" applyFill="1" applyBorder="1" applyAlignment="1">
      <alignment vertical="center"/>
    </xf>
    <xf numFmtId="0" fontId="15" fillId="21" borderId="5" xfId="0" applyFont="1" applyFill="1" applyBorder="1" applyAlignment="1">
      <alignment horizontal="justify" vertical="center"/>
    </xf>
    <xf numFmtId="41" fontId="15" fillId="7" borderId="57" xfId="26" applyFont="1" applyFill="1" applyBorder="1" applyAlignment="1">
      <alignment vertical="center" wrapText="1"/>
    </xf>
    <xf numFmtId="1" fontId="15" fillId="7" borderId="57" xfId="0" applyNumberFormat="1" applyFont="1" applyFill="1" applyBorder="1" applyAlignment="1">
      <alignment horizontal="center" vertical="center" wrapText="1"/>
    </xf>
    <xf numFmtId="173" fontId="24" fillId="7" borderId="1" xfId="8" applyFont="1" applyFill="1" applyBorder="1" applyAlignment="1" applyProtection="1">
      <alignment horizontal="right" vertical="center" wrapText="1"/>
      <protection locked="0"/>
    </xf>
    <xf numFmtId="169" fontId="15" fillId="7" borderId="57" xfId="0" applyNumberFormat="1" applyFont="1" applyFill="1" applyBorder="1" applyAlignment="1">
      <alignment horizontal="center" vertical="center" wrapText="1"/>
    </xf>
    <xf numFmtId="0" fontId="51" fillId="7" borderId="1" xfId="0" applyFont="1" applyFill="1" applyBorder="1" applyAlignment="1">
      <alignment horizontal="center" vertical="center" wrapText="1"/>
    </xf>
    <xf numFmtId="169" fontId="15" fillId="7" borderId="1" xfId="0" applyNumberFormat="1" applyFont="1" applyFill="1" applyBorder="1" applyAlignment="1">
      <alignment horizontal="center" vertical="center" wrapText="1"/>
    </xf>
    <xf numFmtId="41" fontId="15" fillId="7" borderId="1" xfId="26" applyFont="1" applyFill="1" applyBorder="1" applyAlignment="1" applyProtection="1">
      <alignment vertical="center" wrapText="1"/>
      <protection locked="0"/>
    </xf>
    <xf numFmtId="169" fontId="15" fillId="0" borderId="1" xfId="0" applyNumberFormat="1" applyFont="1" applyFill="1" applyBorder="1" applyAlignment="1">
      <alignment horizontal="center" vertical="center" wrapText="1"/>
    </xf>
    <xf numFmtId="41" fontId="15" fillId="0" borderId="1" xfId="26" applyFont="1" applyFill="1" applyBorder="1" applyAlignment="1" applyProtection="1">
      <alignment vertical="center" wrapText="1"/>
      <protection locked="0"/>
    </xf>
    <xf numFmtId="41" fontId="15" fillId="17" borderId="1" xfId="26" applyFont="1" applyFill="1" applyBorder="1" applyAlignment="1" applyProtection="1">
      <alignment vertical="center" wrapText="1"/>
      <protection locked="0"/>
    </xf>
    <xf numFmtId="41" fontId="15" fillId="0" borderId="1" xfId="26" applyFont="1" applyFill="1" applyBorder="1" applyAlignment="1">
      <alignment vertical="center" wrapText="1"/>
    </xf>
    <xf numFmtId="41" fontId="17" fillId="12" borderId="53" xfId="26" applyFont="1" applyFill="1" applyBorder="1" applyAlignment="1">
      <alignment vertical="center"/>
    </xf>
    <xf numFmtId="173" fontId="24" fillId="17" borderId="1" xfId="8" applyFont="1" applyFill="1" applyBorder="1" applyAlignment="1" applyProtection="1">
      <alignment horizontal="right" vertical="center" wrapText="1"/>
      <protection locked="0"/>
    </xf>
    <xf numFmtId="0" fontId="15" fillId="7" borderId="53" xfId="0" applyFont="1" applyFill="1" applyBorder="1" applyAlignment="1">
      <alignment horizontal="center" vertical="center" wrapText="1"/>
    </xf>
    <xf numFmtId="0" fontId="17" fillId="21" borderId="53" xfId="0" applyFont="1" applyFill="1" applyBorder="1" applyAlignment="1">
      <alignment vertical="center"/>
    </xf>
    <xf numFmtId="41" fontId="17" fillId="21" borderId="0" xfId="26" applyFont="1" applyFill="1" applyBorder="1" applyAlignment="1">
      <alignment vertical="center"/>
    </xf>
    <xf numFmtId="9" fontId="15" fillId="7" borderId="3" xfId="0" applyNumberFormat="1" applyFont="1" applyFill="1" applyBorder="1" applyAlignment="1">
      <alignment horizontal="center" vertical="center" wrapText="1"/>
    </xf>
    <xf numFmtId="0" fontId="15" fillId="7" borderId="3" xfId="0" applyFont="1" applyFill="1" applyBorder="1" applyAlignment="1">
      <alignment horizontal="center" vertical="center" wrapText="1"/>
    </xf>
    <xf numFmtId="172" fontId="21" fillId="12" borderId="57" xfId="0" applyNumberFormat="1" applyFont="1" applyFill="1" applyBorder="1" applyAlignment="1">
      <alignment horizontal="left" vertical="center"/>
    </xf>
    <xf numFmtId="1" fontId="15" fillId="0" borderId="3" xfId="0" applyNumberFormat="1" applyFont="1" applyBorder="1"/>
    <xf numFmtId="0" fontId="15" fillId="0" borderId="4" xfId="0" applyFont="1" applyBorder="1"/>
    <xf numFmtId="0" fontId="15" fillId="7" borderId="4" xfId="0" applyFont="1" applyFill="1" applyBorder="1" applyAlignment="1">
      <alignment horizontal="justify" vertical="center"/>
    </xf>
    <xf numFmtId="0" fontId="15" fillId="7" borderId="4" xfId="0" applyFont="1" applyFill="1" applyBorder="1"/>
    <xf numFmtId="0" fontId="15" fillId="7" borderId="4" xfId="0" applyFont="1" applyFill="1" applyBorder="1" applyAlignment="1">
      <alignment horizontal="center"/>
    </xf>
    <xf numFmtId="170" fontId="15" fillId="7" borderId="4" xfId="0" applyNumberFormat="1" applyFont="1" applyFill="1" applyBorder="1" applyAlignment="1">
      <alignment horizontal="center" vertical="center"/>
    </xf>
    <xf numFmtId="169" fontId="17" fillId="7" borderId="1" xfId="0" applyNumberFormat="1" applyFont="1" applyFill="1" applyBorder="1" applyAlignment="1">
      <alignment vertical="center"/>
    </xf>
    <xf numFmtId="0" fontId="15" fillId="7" borderId="5" xfId="0" applyFont="1" applyFill="1" applyBorder="1" applyAlignment="1">
      <alignment horizontal="justify" vertical="center"/>
    </xf>
    <xf numFmtId="169" fontId="17" fillId="7" borderId="3" xfId="0" applyNumberFormat="1" applyFont="1" applyFill="1" applyBorder="1" applyAlignment="1">
      <alignment horizontal="center" vertical="center"/>
    </xf>
    <xf numFmtId="1" fontId="15" fillId="7" borderId="3" xfId="0" applyNumberFormat="1" applyFont="1" applyFill="1" applyBorder="1" applyAlignment="1">
      <alignment horizontal="center" vertical="center"/>
    </xf>
    <xf numFmtId="0" fontId="15" fillId="7" borderId="4" xfId="0" applyFont="1" applyFill="1" applyBorder="1" applyAlignment="1">
      <alignment horizontal="center" vertical="center"/>
    </xf>
    <xf numFmtId="0" fontId="19" fillId="0" borderId="4" xfId="0" applyFont="1" applyBorder="1"/>
    <xf numFmtId="0" fontId="19" fillId="0" borderId="5" xfId="0" applyFont="1" applyBorder="1"/>
    <xf numFmtId="3" fontId="19" fillId="0" borderId="1" xfId="0" applyNumberFormat="1" applyFont="1" applyBorder="1"/>
    <xf numFmtId="9" fontId="19" fillId="0" borderId="3" xfId="3" applyFont="1" applyBorder="1"/>
    <xf numFmtId="172" fontId="15" fillId="0" borderId="4" xfId="0" applyNumberFormat="1" applyFont="1" applyBorder="1" applyAlignment="1">
      <alignment horizontal="right" vertical="center"/>
    </xf>
    <xf numFmtId="172" fontId="15" fillId="0" borderId="4" xfId="0" applyNumberFormat="1" applyFont="1" applyBorder="1" applyAlignment="1">
      <alignment horizontal="center"/>
    </xf>
    <xf numFmtId="0" fontId="15" fillId="0" borderId="4" xfId="0" applyFont="1" applyBorder="1" applyAlignment="1">
      <alignment horizontal="justify" vertical="center"/>
    </xf>
    <xf numFmtId="0" fontId="15" fillId="0" borderId="5" xfId="0" applyFont="1" applyBorder="1"/>
    <xf numFmtId="1" fontId="15" fillId="0" borderId="0" xfId="0" applyNumberFormat="1" applyFont="1"/>
    <xf numFmtId="0" fontId="15" fillId="7" borderId="0" xfId="0" applyFont="1" applyFill="1" applyAlignment="1">
      <alignment horizontal="justify" vertical="center"/>
    </xf>
    <xf numFmtId="0" fontId="15" fillId="7" borderId="0" xfId="0" applyFont="1" applyFill="1" applyAlignment="1">
      <alignment horizontal="center"/>
    </xf>
    <xf numFmtId="170" fontId="15" fillId="7" borderId="0" xfId="0" applyNumberFormat="1" applyFont="1" applyFill="1" applyAlignment="1">
      <alignment horizontal="center" vertical="center"/>
    </xf>
    <xf numFmtId="169" fontId="15" fillId="7" borderId="0" xfId="0" applyNumberFormat="1" applyFont="1" applyFill="1" applyAlignment="1">
      <alignment vertical="center"/>
    </xf>
    <xf numFmtId="169" fontId="15" fillId="7" borderId="0" xfId="0" applyNumberFormat="1" applyFont="1" applyFill="1" applyAlignment="1">
      <alignment horizontal="center" vertical="center"/>
    </xf>
    <xf numFmtId="1" fontId="15" fillId="7" borderId="0" xfId="0" applyNumberFormat="1" applyFont="1" applyFill="1" applyAlignment="1">
      <alignment horizontal="center" vertical="center"/>
    </xf>
    <xf numFmtId="0" fontId="15" fillId="7" borderId="0" xfId="0" applyFont="1" applyFill="1" applyAlignment="1">
      <alignment horizontal="center" vertical="center"/>
    </xf>
    <xf numFmtId="9" fontId="19" fillId="0" borderId="0" xfId="3" applyFont="1"/>
    <xf numFmtId="172" fontId="15" fillId="0" borderId="0" xfId="0" applyNumberFormat="1" applyFont="1" applyAlignment="1">
      <alignment horizontal="right" vertical="center"/>
    </xf>
    <xf numFmtId="172" fontId="15" fillId="0" borderId="0" xfId="0" applyNumberFormat="1" applyFont="1" applyAlignment="1">
      <alignment horizontal="center"/>
    </xf>
    <xf numFmtId="169" fontId="52" fillId="7" borderId="0" xfId="0" applyNumberFormat="1" applyFont="1" applyFill="1" applyAlignment="1">
      <alignment vertical="center"/>
    </xf>
    <xf numFmtId="169" fontId="37" fillId="7" borderId="0" xfId="0" applyNumberFormat="1" applyFont="1" applyFill="1" applyAlignment="1">
      <alignment vertical="center"/>
    </xf>
    <xf numFmtId="0" fontId="17" fillId="3" borderId="1" xfId="0" applyFont="1" applyFill="1" applyBorder="1" applyAlignment="1">
      <alignment horizontal="center" vertical="center" wrapText="1"/>
    </xf>
    <xf numFmtId="0" fontId="17" fillId="6" borderId="77" xfId="27" applyFont="1" applyFill="1" applyBorder="1" applyAlignment="1">
      <alignment horizontal="center" vertical="center" wrapText="1"/>
    </xf>
    <xf numFmtId="0" fontId="17" fillId="6" borderId="55" xfId="27" applyFont="1" applyFill="1" applyBorder="1" applyAlignment="1">
      <alignment vertical="center"/>
    </xf>
    <xf numFmtId="0" fontId="17" fillId="6" borderId="4" xfId="27" applyFont="1" applyFill="1" applyBorder="1" applyAlignment="1">
      <alignment vertical="center"/>
    </xf>
    <xf numFmtId="0" fontId="17" fillId="6" borderId="4" xfId="27" applyFont="1" applyFill="1" applyBorder="1" applyAlignment="1">
      <alignment horizontal="center" vertical="center"/>
    </xf>
    <xf numFmtId="0" fontId="17" fillId="6" borderId="4" xfId="27" applyFont="1" applyFill="1" applyBorder="1" applyAlignment="1">
      <alignment horizontal="justify" vertical="center"/>
    </xf>
    <xf numFmtId="0" fontId="17" fillId="6" borderId="4" xfId="8" applyNumberFormat="1" applyFont="1" applyFill="1" applyBorder="1" applyAlignment="1">
      <alignment vertical="center"/>
    </xf>
    <xf numFmtId="186" fontId="17" fillId="6" borderId="4" xfId="8" applyNumberFormat="1" applyFont="1" applyFill="1" applyBorder="1" applyAlignment="1">
      <alignment vertical="center"/>
    </xf>
    <xf numFmtId="0" fontId="17" fillId="6" borderId="4" xfId="8" applyNumberFormat="1" applyFont="1" applyFill="1" applyBorder="1" applyAlignment="1">
      <alignment horizontal="center" vertical="center"/>
    </xf>
    <xf numFmtId="0" fontId="15" fillId="0" borderId="0" xfId="27" applyFont="1"/>
    <xf numFmtId="0" fontId="17" fillId="8" borderId="55" xfId="27" applyFont="1" applyFill="1" applyBorder="1" applyAlignment="1">
      <alignment horizontal="center" vertical="center"/>
    </xf>
    <xf numFmtId="0" fontId="17" fillId="8" borderId="55" xfId="27" applyFont="1" applyFill="1" applyBorder="1" applyAlignment="1">
      <alignment vertical="center"/>
    </xf>
    <xf numFmtId="0" fontId="17" fillId="8" borderId="55" xfId="27" applyFont="1" applyFill="1" applyBorder="1" applyAlignment="1">
      <alignment horizontal="justify" vertical="center"/>
    </xf>
    <xf numFmtId="0" fontId="15" fillId="8" borderId="55" xfId="27" applyFont="1" applyFill="1" applyBorder="1" applyAlignment="1">
      <alignment vertical="center"/>
    </xf>
    <xf numFmtId="0" fontId="17" fillId="8" borderId="55" xfId="8" applyNumberFormat="1" applyFont="1" applyFill="1" applyBorder="1" applyAlignment="1">
      <alignment vertical="center"/>
    </xf>
    <xf numFmtId="186" fontId="17" fillId="8" borderId="55" xfId="8" applyNumberFormat="1" applyFont="1" applyFill="1" applyBorder="1" applyAlignment="1">
      <alignment vertical="center"/>
    </xf>
    <xf numFmtId="0" fontId="17" fillId="8" borderId="55" xfId="8" applyNumberFormat="1" applyFont="1" applyFill="1" applyBorder="1" applyAlignment="1">
      <alignment horizontal="center" vertical="center"/>
    </xf>
    <xf numFmtId="0" fontId="17" fillId="0" borderId="16" xfId="27" applyFont="1" applyBorder="1" applyAlignment="1">
      <alignment vertical="center" wrapText="1"/>
    </xf>
    <xf numFmtId="0" fontId="17" fillId="0" borderId="0" xfId="27" applyFont="1" applyBorder="1" applyAlignment="1">
      <alignment vertical="center" wrapText="1"/>
    </xf>
    <xf numFmtId="0" fontId="17" fillId="0" borderId="17" xfId="27" applyFont="1" applyBorder="1" applyAlignment="1">
      <alignment vertical="center" wrapText="1"/>
    </xf>
    <xf numFmtId="0" fontId="17" fillId="0" borderId="55" xfId="27" applyFont="1" applyBorder="1" applyAlignment="1">
      <alignment vertical="center" wrapText="1"/>
    </xf>
    <xf numFmtId="0" fontId="17" fillId="0" borderId="52" xfId="27" applyFont="1" applyBorder="1" applyAlignment="1">
      <alignment vertical="center" wrapText="1"/>
    </xf>
    <xf numFmtId="0" fontId="17" fillId="9" borderId="3" xfId="27" applyFont="1" applyFill="1" applyBorder="1" applyAlignment="1">
      <alignment horizontal="center" vertical="center" wrapText="1"/>
    </xf>
    <xf numFmtId="0" fontId="17" fillId="9" borderId="4" xfId="27" applyFont="1" applyFill="1" applyBorder="1" applyAlignment="1">
      <alignment vertical="center"/>
    </xf>
    <xf numFmtId="0" fontId="17" fillId="9" borderId="4" xfId="27" applyFont="1" applyFill="1" applyBorder="1" applyAlignment="1">
      <alignment horizontal="justify" vertical="center"/>
    </xf>
    <xf numFmtId="0" fontId="17" fillId="9" borderId="4" xfId="27" applyFont="1" applyFill="1" applyBorder="1" applyAlignment="1">
      <alignment horizontal="center" vertical="center"/>
    </xf>
    <xf numFmtId="43" fontId="17" fillId="9" borderId="4" xfId="27" applyNumberFormat="1" applyFont="1" applyFill="1" applyBorder="1" applyAlignment="1">
      <alignment horizontal="justify" vertical="center"/>
    </xf>
    <xf numFmtId="43" fontId="15" fillId="9" borderId="4" xfId="27" applyNumberFormat="1" applyFont="1" applyFill="1" applyBorder="1" applyAlignment="1">
      <alignment vertical="center"/>
    </xf>
    <xf numFmtId="173" fontId="15" fillId="9" borderId="4" xfId="27" applyNumberFormat="1" applyFont="1" applyFill="1" applyBorder="1" applyAlignment="1">
      <alignment vertical="center"/>
    </xf>
    <xf numFmtId="0" fontId="15" fillId="9" borderId="4" xfId="27" applyFont="1" applyFill="1" applyBorder="1" applyAlignment="1">
      <alignment vertical="center"/>
    </xf>
    <xf numFmtId="0" fontId="17" fillId="9" borderId="4" xfId="8" applyNumberFormat="1" applyFont="1" applyFill="1" applyBorder="1" applyAlignment="1">
      <alignment vertical="center"/>
    </xf>
    <xf numFmtId="186" fontId="17" fillId="9" borderId="4" xfId="8" applyNumberFormat="1" applyFont="1" applyFill="1" applyBorder="1" applyAlignment="1">
      <alignment vertical="center"/>
    </xf>
    <xf numFmtId="0" fontId="17" fillId="9" borderId="4" xfId="8" applyNumberFormat="1" applyFont="1" applyFill="1" applyBorder="1" applyAlignment="1">
      <alignment horizontal="center" vertical="center"/>
    </xf>
    <xf numFmtId="0" fontId="15" fillId="7" borderId="16" xfId="27" applyFont="1" applyFill="1" applyBorder="1" applyAlignment="1">
      <alignment vertical="center" wrapText="1"/>
    </xf>
    <xf numFmtId="0" fontId="15" fillId="7" borderId="0" xfId="27" applyFont="1" applyFill="1" applyBorder="1" applyAlignment="1">
      <alignment vertical="center" wrapText="1"/>
    </xf>
    <xf numFmtId="0" fontId="15" fillId="7" borderId="17" xfId="27" applyFont="1" applyFill="1" applyBorder="1" applyAlignment="1">
      <alignment vertical="center" wrapText="1"/>
    </xf>
    <xf numFmtId="0" fontId="15" fillId="7" borderId="0" xfId="27" applyFont="1" applyFill="1" applyAlignment="1">
      <alignment vertical="center" wrapText="1"/>
    </xf>
    <xf numFmtId="49" fontId="15" fillId="7" borderId="57" xfId="10" applyNumberFormat="1" applyFont="1" applyFill="1" applyBorder="1" applyAlignment="1">
      <alignment horizontal="justify" vertical="center" wrapText="1"/>
    </xf>
    <xf numFmtId="1" fontId="15" fillId="7" borderId="57" xfId="27" applyNumberFormat="1" applyFont="1" applyFill="1" applyBorder="1" applyAlignment="1">
      <alignment horizontal="center" vertical="center" wrapText="1"/>
    </xf>
    <xf numFmtId="0" fontId="15" fillId="7" borderId="0" xfId="27" applyFont="1" applyFill="1"/>
    <xf numFmtId="1" fontId="15" fillId="7" borderId="1" xfId="27" applyNumberFormat="1" applyFont="1" applyFill="1" applyBorder="1" applyAlignment="1">
      <alignment horizontal="center" vertical="center" wrapText="1"/>
    </xf>
    <xf numFmtId="0" fontId="15" fillId="7" borderId="53" xfId="27" applyFont="1" applyFill="1" applyBorder="1" applyAlignment="1">
      <alignment vertical="center" wrapText="1"/>
    </xf>
    <xf numFmtId="0" fontId="15" fillId="7" borderId="59" xfId="27" applyFont="1" applyFill="1" applyBorder="1" applyAlignment="1">
      <alignment vertical="center" wrapText="1"/>
    </xf>
    <xf numFmtId="0" fontId="15" fillId="7" borderId="58" xfId="27" applyFont="1" applyFill="1" applyBorder="1" applyAlignment="1">
      <alignment vertical="center" wrapText="1"/>
    </xf>
    <xf numFmtId="0" fontId="15" fillId="0" borderId="0" xfId="27" applyFont="1" applyBorder="1"/>
    <xf numFmtId="0" fontId="15" fillId="0" borderId="17" xfId="27" applyFont="1" applyBorder="1"/>
    <xf numFmtId="0" fontId="17" fillId="8" borderId="4" xfId="27" applyFont="1" applyFill="1" applyBorder="1" applyAlignment="1">
      <alignment horizontal="justify" vertical="center" wrapText="1"/>
    </xf>
    <xf numFmtId="0" fontId="17" fillId="8" borderId="5" xfId="27" applyFont="1" applyFill="1" applyBorder="1" applyAlignment="1">
      <alignment vertical="center"/>
    </xf>
    <xf numFmtId="0" fontId="17" fillId="8" borderId="3" xfId="27" applyFont="1" applyFill="1" applyBorder="1" applyAlignment="1">
      <alignment vertical="center"/>
    </xf>
    <xf numFmtId="0" fontId="17" fillId="8" borderId="4" xfId="27" applyFont="1" applyFill="1" applyBorder="1" applyAlignment="1">
      <alignment vertical="center"/>
    </xf>
    <xf numFmtId="0" fontId="17" fillId="8" borderId="4" xfId="27" applyFont="1" applyFill="1" applyBorder="1" applyAlignment="1">
      <alignment horizontal="justify" vertical="center"/>
    </xf>
    <xf numFmtId="0" fontId="17" fillId="8" borderId="4" xfId="27" applyFont="1" applyFill="1" applyBorder="1" applyAlignment="1">
      <alignment horizontal="center" vertical="center"/>
    </xf>
    <xf numFmtId="173" fontId="17" fillId="8" borderId="4" xfId="8" applyFont="1" applyFill="1" applyBorder="1" applyAlignment="1">
      <alignment horizontal="center" vertical="center"/>
    </xf>
    <xf numFmtId="173" fontId="15" fillId="8" borderId="4" xfId="8" applyFont="1" applyFill="1" applyBorder="1" applyAlignment="1">
      <alignment vertical="center"/>
    </xf>
    <xf numFmtId="1" fontId="17" fillId="8" borderId="4" xfId="27" applyNumberFormat="1" applyFont="1" applyFill="1" applyBorder="1" applyAlignment="1">
      <alignment horizontal="center" vertical="center"/>
    </xf>
    <xf numFmtId="14" fontId="17" fillId="8" borderId="4" xfId="27" applyNumberFormat="1" applyFont="1" applyFill="1" applyBorder="1" applyAlignment="1">
      <alignment vertical="center"/>
    </xf>
    <xf numFmtId="14" fontId="17" fillId="8" borderId="66" xfId="27" applyNumberFormat="1" applyFont="1" applyFill="1" applyBorder="1" applyAlignment="1">
      <alignment vertical="center"/>
    </xf>
    <xf numFmtId="0" fontId="17" fillId="8" borderId="66" xfId="27" applyFont="1" applyFill="1" applyBorder="1" applyAlignment="1">
      <alignment vertical="center"/>
    </xf>
    <xf numFmtId="0" fontId="17" fillId="9" borderId="4" xfId="27" applyFont="1" applyFill="1" applyBorder="1" applyAlignment="1">
      <alignment horizontal="justify" vertical="center" wrapText="1"/>
    </xf>
    <xf numFmtId="173" fontId="17" fillId="9" borderId="4" xfId="8" applyFont="1" applyFill="1" applyBorder="1" applyAlignment="1">
      <alignment horizontal="center" vertical="center"/>
    </xf>
    <xf numFmtId="173" fontId="15" fillId="9" borderId="4" xfId="8" applyFont="1" applyFill="1" applyBorder="1" applyAlignment="1">
      <alignment vertical="center"/>
    </xf>
    <xf numFmtId="1" fontId="17" fillId="9" borderId="4" xfId="27" applyNumberFormat="1" applyFont="1" applyFill="1" applyBorder="1" applyAlignment="1">
      <alignment horizontal="center" vertical="center"/>
    </xf>
    <xf numFmtId="14" fontId="17" fillId="9" borderId="4" xfId="27" applyNumberFormat="1" applyFont="1" applyFill="1" applyBorder="1" applyAlignment="1">
      <alignment vertical="center"/>
    </xf>
    <xf numFmtId="14" fontId="17" fillId="9" borderId="66" xfId="27" applyNumberFormat="1" applyFont="1" applyFill="1" applyBorder="1" applyAlignment="1">
      <alignment vertical="center"/>
    </xf>
    <xf numFmtId="0" fontId="17" fillId="9" borderId="66" xfId="27" applyFont="1" applyFill="1" applyBorder="1" applyAlignment="1">
      <alignment vertical="center"/>
    </xf>
    <xf numFmtId="0" fontId="15" fillId="7" borderId="50" xfId="27" applyFont="1" applyFill="1" applyBorder="1" applyAlignment="1">
      <alignment vertical="center" wrapText="1"/>
    </xf>
    <xf numFmtId="0" fontId="15" fillId="7" borderId="55" xfId="27" applyFont="1" applyFill="1" applyBorder="1" applyAlignment="1">
      <alignment vertical="center" wrapText="1"/>
    </xf>
    <xf numFmtId="0" fontId="15" fillId="7" borderId="52" xfId="27" applyFont="1" applyFill="1" applyBorder="1" applyAlignment="1">
      <alignment vertical="center" wrapText="1"/>
    </xf>
    <xf numFmtId="0" fontId="15" fillId="0" borderId="56" xfId="27" applyFont="1" applyBorder="1" applyAlignment="1">
      <alignment horizontal="center" vertical="center" wrapText="1"/>
    </xf>
    <xf numFmtId="0" fontId="15" fillId="7" borderId="56" xfId="27" applyFont="1" applyFill="1" applyBorder="1" applyAlignment="1">
      <alignment horizontal="justify" vertical="center" wrapText="1"/>
    </xf>
    <xf numFmtId="0" fontId="15" fillId="7" borderId="56" xfId="27" applyFont="1" applyFill="1" applyBorder="1" applyAlignment="1">
      <alignment horizontal="center" vertical="center" wrapText="1"/>
    </xf>
    <xf numFmtId="9" fontId="15" fillId="7" borderId="56" xfId="7" applyFont="1" applyFill="1" applyBorder="1" applyAlignment="1">
      <alignment horizontal="center" vertical="center" wrapText="1"/>
    </xf>
    <xf numFmtId="0" fontId="17" fillId="0" borderId="0" xfId="27" applyFont="1" applyAlignment="1">
      <alignment vertical="center" wrapText="1"/>
    </xf>
    <xf numFmtId="14" fontId="17" fillId="9" borderId="4" xfId="27" applyNumberFormat="1" applyFont="1" applyFill="1" applyBorder="1" applyAlignment="1">
      <alignment horizontal="center" vertical="center"/>
    </xf>
    <xf numFmtId="0" fontId="17" fillId="0" borderId="50" xfId="27" applyFont="1" applyBorder="1" applyAlignment="1">
      <alignment vertical="center" wrapText="1"/>
    </xf>
    <xf numFmtId="173" fontId="15" fillId="0" borderId="3" xfId="8" applyFont="1" applyFill="1" applyBorder="1" applyAlignment="1">
      <alignment horizontal="center" vertical="center" wrapText="1"/>
    </xf>
    <xf numFmtId="1" fontId="15" fillId="0" borderId="1" xfId="27" applyNumberFormat="1" applyFont="1" applyBorder="1" applyAlignment="1">
      <alignment horizontal="center" vertical="center" wrapText="1"/>
    </xf>
    <xf numFmtId="49" fontId="15" fillId="0" borderId="15" xfId="10" applyNumberFormat="1" applyFont="1" applyBorder="1" applyAlignment="1">
      <alignment horizontal="justify" vertical="center" wrapText="1"/>
    </xf>
    <xf numFmtId="0" fontId="17" fillId="0" borderId="58" xfId="27" applyFont="1" applyBorder="1" applyAlignment="1">
      <alignment vertical="center" wrapText="1"/>
    </xf>
    <xf numFmtId="0" fontId="17" fillId="0" borderId="53" xfId="27" applyFont="1" applyBorder="1" applyAlignment="1">
      <alignment vertical="center" wrapText="1"/>
    </xf>
    <xf numFmtId="0" fontId="17" fillId="0" borderId="59" xfId="27" applyFont="1" applyBorder="1" applyAlignment="1">
      <alignment vertical="center" wrapText="1"/>
    </xf>
    <xf numFmtId="0" fontId="15" fillId="0" borderId="16" xfId="27" applyFont="1" applyBorder="1" applyAlignment="1">
      <alignment vertical="center" wrapText="1"/>
    </xf>
    <xf numFmtId="0" fontId="15" fillId="0" borderId="0" xfId="27" applyFont="1" applyBorder="1" applyAlignment="1">
      <alignment vertical="center" wrapText="1"/>
    </xf>
    <xf numFmtId="0" fontId="15" fillId="0" borderId="17" xfId="27" applyFont="1" applyBorder="1" applyAlignment="1">
      <alignment vertical="center" wrapText="1"/>
    </xf>
    <xf numFmtId="0" fontId="15" fillId="0" borderId="0" xfId="27" applyFont="1" applyAlignment="1">
      <alignment vertical="center" wrapText="1"/>
    </xf>
    <xf numFmtId="0" fontId="15" fillId="0" borderId="50" xfId="27" applyFont="1" applyBorder="1" applyAlignment="1">
      <alignment vertical="center" wrapText="1"/>
    </xf>
    <xf numFmtId="0" fontId="15" fillId="0" borderId="55" xfId="27" applyFont="1" applyBorder="1" applyAlignment="1">
      <alignment vertical="center" wrapText="1"/>
    </xf>
    <xf numFmtId="0" fontId="15" fillId="0" borderId="52" xfId="27" applyFont="1" applyBorder="1" applyAlignment="1">
      <alignment vertical="center" wrapText="1"/>
    </xf>
    <xf numFmtId="0" fontId="15" fillId="0" borderId="58" xfId="27" applyFont="1" applyBorder="1" applyAlignment="1">
      <alignment vertical="center" wrapText="1"/>
    </xf>
    <xf numFmtId="0" fontId="15" fillId="0" borderId="53" xfId="27" applyFont="1" applyBorder="1" applyAlignment="1">
      <alignment vertical="center" wrapText="1"/>
    </xf>
    <xf numFmtId="0" fontId="15" fillId="0" borderId="59" xfId="27" applyFont="1" applyBorder="1" applyAlignment="1">
      <alignment vertical="center" wrapText="1"/>
    </xf>
    <xf numFmtId="173" fontId="15" fillId="0" borderId="57" xfId="8" applyFont="1" applyFill="1" applyBorder="1" applyAlignment="1">
      <alignment horizontal="center" vertical="center" wrapText="1"/>
    </xf>
    <xf numFmtId="0" fontId="15" fillId="0" borderId="1" xfId="27" applyFont="1" applyBorder="1" applyAlignment="1">
      <alignment vertical="center" wrapText="1"/>
    </xf>
    <xf numFmtId="0" fontId="17" fillId="7" borderId="16" xfId="27" applyFont="1" applyFill="1" applyBorder="1" applyAlignment="1">
      <alignment vertical="center" wrapText="1"/>
    </xf>
    <xf numFmtId="0" fontId="17" fillId="7" borderId="0" xfId="27" applyFont="1" applyFill="1" applyBorder="1" applyAlignment="1">
      <alignment vertical="center" wrapText="1"/>
    </xf>
    <xf numFmtId="0" fontId="17" fillId="7" borderId="17" xfId="27" applyFont="1" applyFill="1" applyBorder="1" applyAlignment="1">
      <alignment vertical="center" wrapText="1"/>
    </xf>
    <xf numFmtId="0" fontId="17" fillId="7" borderId="0" xfId="27" applyFont="1" applyFill="1" applyAlignment="1">
      <alignment vertical="center" wrapText="1"/>
    </xf>
    <xf numFmtId="0" fontId="15" fillId="7" borderId="1" xfId="27" applyFont="1" applyFill="1" applyBorder="1" applyAlignment="1">
      <alignment vertical="center" wrapText="1"/>
    </xf>
    <xf numFmtId="0" fontId="15" fillId="0" borderId="1" xfId="27" applyFont="1" applyBorder="1" applyAlignment="1">
      <alignment horizontal="center" vertical="center"/>
    </xf>
    <xf numFmtId="0" fontId="15" fillId="0" borderId="1" xfId="27" applyFont="1" applyBorder="1" applyAlignment="1">
      <alignment horizontal="center" vertical="center" wrapText="1"/>
    </xf>
    <xf numFmtId="173" fontId="15" fillId="0" borderId="50" xfId="8" applyFont="1" applyFill="1" applyBorder="1" applyAlignment="1">
      <alignment horizontal="center" vertical="center" wrapText="1"/>
    </xf>
    <xf numFmtId="173" fontId="15" fillId="7" borderId="50" xfId="8" applyFont="1" applyFill="1" applyBorder="1" applyAlignment="1">
      <alignment horizontal="center" vertical="center" wrapText="1"/>
    </xf>
    <xf numFmtId="173" fontId="15" fillId="7" borderId="56" xfId="8" applyFont="1" applyFill="1" applyBorder="1" applyAlignment="1">
      <alignment horizontal="center" vertical="center" wrapText="1"/>
    </xf>
    <xf numFmtId="1" fontId="15" fillId="0" borderId="56" xfId="27" applyNumberFormat="1" applyFont="1" applyBorder="1" applyAlignment="1">
      <alignment horizontal="center" vertical="center" wrapText="1"/>
    </xf>
    <xf numFmtId="0" fontId="15" fillId="0" borderId="15" xfId="27" applyFont="1" applyBorder="1" applyAlignment="1">
      <alignment horizontal="center" vertical="center" wrapText="1"/>
    </xf>
    <xf numFmtId="49" fontId="15" fillId="7" borderId="3" xfId="10" applyNumberFormat="1" applyFont="1" applyFill="1" applyBorder="1" applyAlignment="1">
      <alignment horizontal="justify" vertical="center" wrapText="1"/>
    </xf>
    <xf numFmtId="0" fontId="15" fillId="0" borderId="3" xfId="0" applyFont="1" applyBorder="1" applyAlignment="1">
      <alignment horizontal="justify" vertical="center" wrapText="1"/>
    </xf>
    <xf numFmtId="9" fontId="15" fillId="7" borderId="31" xfId="7" applyFont="1" applyFill="1" applyBorder="1" applyAlignment="1">
      <alignment horizontal="center" vertical="center" wrapText="1"/>
    </xf>
    <xf numFmtId="49" fontId="15" fillId="0" borderId="41" xfId="10" quotePrefix="1" applyNumberFormat="1" applyFont="1" applyBorder="1" applyAlignment="1">
      <alignment horizontal="justify" vertical="center" wrapText="1"/>
    </xf>
    <xf numFmtId="173" fontId="15" fillId="7" borderId="1" xfId="8" applyFont="1" applyFill="1" applyBorder="1" applyAlignment="1">
      <alignment vertical="center"/>
    </xf>
    <xf numFmtId="1" fontId="15" fillId="7" borderId="1" xfId="27" applyNumberFormat="1" applyFont="1" applyFill="1" applyBorder="1" applyAlignment="1">
      <alignment horizontal="center" vertical="center"/>
    </xf>
    <xf numFmtId="0" fontId="15" fillId="0" borderId="31" xfId="27" applyFont="1" applyBorder="1"/>
    <xf numFmtId="49" fontId="15" fillId="0" borderId="31" xfId="10" quotePrefix="1" applyNumberFormat="1" applyFont="1" applyBorder="1" applyAlignment="1">
      <alignment horizontal="justify" vertical="center" wrapText="1"/>
    </xf>
    <xf numFmtId="173" fontId="15" fillId="7" borderId="83" xfId="8" applyFont="1" applyFill="1" applyBorder="1" applyAlignment="1">
      <alignment horizontal="center" vertical="center" wrapText="1"/>
    </xf>
    <xf numFmtId="173" fontId="15" fillId="7" borderId="83" xfId="8" applyFont="1" applyFill="1" applyBorder="1" applyAlignment="1">
      <alignment vertical="center"/>
    </xf>
    <xf numFmtId="1" fontId="15" fillId="7" borderId="83" xfId="27" applyNumberFormat="1" applyFont="1" applyFill="1" applyBorder="1" applyAlignment="1">
      <alignment horizontal="center" vertical="center"/>
    </xf>
    <xf numFmtId="0" fontId="15" fillId="0" borderId="57" xfId="27" applyFont="1" applyBorder="1" applyAlignment="1">
      <alignment horizontal="center" vertical="center" wrapText="1"/>
    </xf>
    <xf numFmtId="173" fontId="15" fillId="7" borderId="31" xfId="8" applyFont="1" applyFill="1" applyBorder="1" applyAlignment="1">
      <alignment horizontal="center" vertical="center" wrapText="1"/>
    </xf>
    <xf numFmtId="173" fontId="15" fillId="7" borderId="31" xfId="8" applyFont="1" applyFill="1" applyBorder="1" applyAlignment="1">
      <alignment vertical="center"/>
    </xf>
    <xf numFmtId="1" fontId="15" fillId="7" borderId="31" xfId="27" applyNumberFormat="1" applyFont="1" applyFill="1" applyBorder="1" applyAlignment="1">
      <alignment horizontal="center" vertical="center"/>
    </xf>
    <xf numFmtId="0" fontId="15" fillId="0" borderId="16" xfId="27" applyFont="1" applyFill="1" applyBorder="1" applyAlignment="1">
      <alignment vertical="center" wrapText="1"/>
    </xf>
    <xf numFmtId="0" fontId="15" fillId="0" borderId="0" xfId="27" applyFont="1" applyFill="1" applyBorder="1" applyAlignment="1">
      <alignment vertical="center" wrapText="1"/>
    </xf>
    <xf numFmtId="0" fontId="15" fillId="0" borderId="17" xfId="27" applyFont="1" applyFill="1" applyBorder="1" applyAlignment="1">
      <alignment vertical="center" wrapText="1"/>
    </xf>
    <xf numFmtId="0" fontId="15" fillId="22" borderId="3" xfId="27" applyFont="1" applyFill="1" applyBorder="1" applyAlignment="1">
      <alignment vertical="center" wrapText="1"/>
    </xf>
    <xf numFmtId="0" fontId="15" fillId="22" borderId="4" xfId="27" applyFont="1" applyFill="1" applyBorder="1" applyAlignment="1">
      <alignment vertical="center" wrapText="1"/>
    </xf>
    <xf numFmtId="0" fontId="15" fillId="22" borderId="5" xfId="27" applyFont="1" applyFill="1" applyBorder="1" applyAlignment="1">
      <alignment vertical="center" wrapText="1"/>
    </xf>
    <xf numFmtId="0" fontId="15" fillId="22" borderId="53" xfId="27" applyFont="1" applyFill="1" applyBorder="1" applyAlignment="1">
      <alignment horizontal="center" vertical="center" wrapText="1"/>
    </xf>
    <xf numFmtId="0" fontId="15" fillId="22" borderId="53" xfId="27" applyFont="1" applyFill="1" applyBorder="1" applyAlignment="1">
      <alignment horizontal="justify" vertical="center" wrapText="1"/>
    </xf>
    <xf numFmtId="9" fontId="15" fillId="22" borderId="53" xfId="7" applyFont="1" applyFill="1" applyBorder="1" applyAlignment="1">
      <alignment horizontal="center" vertical="center" wrapText="1"/>
    </xf>
    <xf numFmtId="173" fontId="15" fillId="22" borderId="53" xfId="8" applyFont="1" applyFill="1" applyBorder="1" applyAlignment="1">
      <alignment horizontal="center" vertical="center" wrapText="1"/>
    </xf>
    <xf numFmtId="49" fontId="15" fillId="22" borderId="53" xfId="10" applyNumberFormat="1" applyFont="1" applyFill="1" applyBorder="1" applyAlignment="1">
      <alignment horizontal="justify" vertical="center" wrapText="1"/>
    </xf>
    <xf numFmtId="173" fontId="15" fillId="22" borderId="103" xfId="8" applyFont="1" applyFill="1" applyBorder="1" applyAlignment="1">
      <alignment horizontal="center" vertical="center" wrapText="1"/>
    </xf>
    <xf numFmtId="173" fontId="15" fillId="22" borderId="4" xfId="8" applyFont="1" applyFill="1" applyBorder="1" applyAlignment="1">
      <alignment horizontal="center" vertical="center" wrapText="1"/>
    </xf>
    <xf numFmtId="1" fontId="15" fillId="22" borderId="0" xfId="27" applyNumberFormat="1" applyFont="1" applyFill="1" applyAlignment="1">
      <alignment horizontal="center" vertical="center" wrapText="1"/>
    </xf>
    <xf numFmtId="0" fontId="15" fillId="22" borderId="0" xfId="27" applyFont="1" applyFill="1" applyAlignment="1">
      <alignment horizontal="center" vertical="center" wrapText="1"/>
    </xf>
    <xf numFmtId="3" fontId="15" fillId="22" borderId="53" xfId="0" applyNumberFormat="1" applyFont="1" applyFill="1" applyBorder="1" applyAlignment="1">
      <alignment horizontal="center" vertical="center"/>
    </xf>
    <xf numFmtId="14" fontId="15" fillId="22" borderId="53" xfId="0" applyNumberFormat="1" applyFont="1" applyFill="1" applyBorder="1" applyAlignment="1">
      <alignment horizontal="center" vertical="center"/>
    </xf>
    <xf numFmtId="14" fontId="15" fillId="22" borderId="65" xfId="27" applyNumberFormat="1" applyFont="1" applyFill="1" applyBorder="1" applyAlignment="1">
      <alignment horizontal="center" vertical="center" wrapText="1"/>
    </xf>
    <xf numFmtId="3" fontId="15" fillId="22" borderId="65" xfId="27" applyNumberFormat="1" applyFont="1" applyFill="1" applyBorder="1" applyAlignment="1">
      <alignment horizontal="center" vertical="center" wrapText="1"/>
    </xf>
    <xf numFmtId="0" fontId="15" fillId="22" borderId="0" xfId="27" applyFont="1" applyFill="1"/>
    <xf numFmtId="0" fontId="17" fillId="9" borderId="53" xfId="27" applyFont="1" applyFill="1" applyBorder="1" applyAlignment="1">
      <alignment horizontal="justify" vertical="center" wrapText="1"/>
    </xf>
    <xf numFmtId="0" fontId="17" fillId="9" borderId="53" xfId="27" applyFont="1" applyFill="1" applyBorder="1" applyAlignment="1">
      <alignment vertical="center"/>
    </xf>
    <xf numFmtId="173" fontId="15" fillId="9" borderId="53" xfId="8" applyFont="1" applyFill="1" applyBorder="1" applyAlignment="1">
      <alignment vertical="center"/>
    </xf>
    <xf numFmtId="173" fontId="15" fillId="9" borderId="55" xfId="8" applyFont="1" applyFill="1" applyBorder="1" applyAlignment="1">
      <alignment vertical="center"/>
    </xf>
    <xf numFmtId="173" fontId="15" fillId="0" borderId="31" xfId="8" applyFont="1" applyFill="1" applyBorder="1" applyAlignment="1">
      <alignment horizontal="center" vertical="center" wrapText="1"/>
    </xf>
    <xf numFmtId="0" fontId="15" fillId="0" borderId="56" xfId="27" applyFont="1" applyBorder="1" applyAlignment="1">
      <alignment horizontal="justify" vertical="center" wrapText="1"/>
    </xf>
    <xf numFmtId="0" fontId="15" fillId="0" borderId="1" xfId="27" applyFont="1" applyBorder="1" applyAlignment="1">
      <alignment horizontal="justify" vertical="center" wrapText="1"/>
    </xf>
    <xf numFmtId="9" fontId="15" fillId="0" borderId="56" xfId="7" applyFont="1" applyFill="1" applyBorder="1" applyAlignment="1">
      <alignment horizontal="center" vertical="center" wrapText="1"/>
    </xf>
    <xf numFmtId="0" fontId="15" fillId="0" borderId="15" xfId="27" applyFont="1" applyBorder="1" applyAlignment="1">
      <alignment horizontal="center" wrapText="1"/>
    </xf>
    <xf numFmtId="0" fontId="15" fillId="0" borderId="0" xfId="27" applyFont="1" applyAlignment="1">
      <alignment horizontal="center"/>
    </xf>
    <xf numFmtId="173" fontId="17" fillId="9" borderId="4" xfId="8" applyFont="1" applyFill="1" applyBorder="1" applyAlignment="1">
      <alignment vertical="center"/>
    </xf>
    <xf numFmtId="0" fontId="15" fillId="7" borderId="1" xfId="27" applyFont="1" applyFill="1" applyBorder="1" applyAlignment="1">
      <alignment horizontal="center" vertical="center" wrapText="1"/>
    </xf>
    <xf numFmtId="173" fontId="17" fillId="9" borderId="4" xfId="8" applyFont="1" applyFill="1" applyBorder="1" applyAlignment="1">
      <alignment horizontal="justify" vertical="center"/>
    </xf>
    <xf numFmtId="49" fontId="15" fillId="0" borderId="1" xfId="28" applyNumberFormat="1" applyFont="1" applyBorder="1" applyAlignment="1">
      <alignment horizontal="justify" vertical="center" wrapText="1"/>
    </xf>
    <xf numFmtId="164" fontId="15" fillId="7" borderId="3" xfId="29" applyFont="1" applyFill="1" applyBorder="1" applyAlignment="1">
      <alignment horizontal="center" vertical="center" wrapText="1"/>
    </xf>
    <xf numFmtId="164" fontId="15" fillId="7" borderId="31" xfId="29" applyFont="1" applyFill="1" applyBorder="1" applyAlignment="1">
      <alignment horizontal="center" vertical="center" wrapText="1"/>
    </xf>
    <xf numFmtId="173" fontId="15" fillId="7" borderId="3" xfId="8" applyFont="1" applyFill="1" applyBorder="1" applyAlignment="1">
      <alignment horizontal="center" vertical="center" wrapText="1"/>
    </xf>
    <xf numFmtId="0" fontId="15" fillId="23" borderId="0" xfId="27" applyFont="1" applyFill="1"/>
    <xf numFmtId="0" fontId="17" fillId="8" borderId="0" xfId="27" applyFont="1" applyFill="1" applyAlignment="1">
      <alignment horizontal="justify" vertical="center" wrapText="1"/>
    </xf>
    <xf numFmtId="0" fontId="17" fillId="8" borderId="0" xfId="27" applyFont="1" applyFill="1" applyAlignment="1">
      <alignment vertical="center"/>
    </xf>
    <xf numFmtId="0" fontId="17" fillId="8" borderId="53" xfId="27" applyFont="1" applyFill="1" applyBorder="1" applyAlignment="1">
      <alignment vertical="center"/>
    </xf>
    <xf numFmtId="0" fontId="17" fillId="8" borderId="53" xfId="27" applyFont="1" applyFill="1" applyBorder="1" applyAlignment="1">
      <alignment horizontal="justify" vertical="center"/>
    </xf>
    <xf numFmtId="0" fontId="17" fillId="8" borderId="53" xfId="27" applyFont="1" applyFill="1" applyBorder="1" applyAlignment="1">
      <alignment horizontal="center" vertical="center"/>
    </xf>
    <xf numFmtId="173" fontId="17" fillId="8" borderId="53" xfId="8" applyFont="1" applyFill="1" applyBorder="1" applyAlignment="1">
      <alignment horizontal="center" vertical="center"/>
    </xf>
    <xf numFmtId="173" fontId="15" fillId="8" borderId="53" xfId="8" applyFont="1" applyFill="1" applyBorder="1" applyAlignment="1">
      <alignment vertical="center"/>
    </xf>
    <xf numFmtId="1" fontId="17" fillId="8" borderId="53" xfId="27" applyNumberFormat="1" applyFont="1" applyFill="1" applyBorder="1" applyAlignment="1">
      <alignment horizontal="center" vertical="center"/>
    </xf>
    <xf numFmtId="14" fontId="17" fillId="8" borderId="53" xfId="27" applyNumberFormat="1" applyFont="1" applyFill="1" applyBorder="1" applyAlignment="1">
      <alignment horizontal="center" vertical="center"/>
    </xf>
    <xf numFmtId="14" fontId="17" fillId="8" borderId="65" xfId="27" applyNumberFormat="1" applyFont="1" applyFill="1" applyBorder="1" applyAlignment="1">
      <alignment vertical="center"/>
    </xf>
    <xf numFmtId="0" fontId="17" fillId="8" borderId="65" xfId="27" applyFont="1" applyFill="1" applyBorder="1" applyAlignment="1">
      <alignment vertical="center"/>
    </xf>
    <xf numFmtId="49" fontId="15" fillId="0" borderId="56" xfId="10" quotePrefix="1" applyNumberFormat="1" applyFont="1" applyBorder="1" applyAlignment="1">
      <alignment horizontal="justify" vertical="center" wrapText="1"/>
    </xf>
    <xf numFmtId="0" fontId="17" fillId="9" borderId="1" xfId="27" applyFont="1" applyFill="1" applyBorder="1" applyAlignment="1">
      <alignment vertical="center"/>
    </xf>
    <xf numFmtId="0" fontId="15" fillId="9" borderId="4" xfId="27" applyFont="1" applyFill="1" applyBorder="1" applyAlignment="1">
      <alignment horizontal="center" vertical="center"/>
    </xf>
    <xf numFmtId="0" fontId="15" fillId="7" borderId="1" xfId="27" applyFont="1" applyFill="1" applyBorder="1" applyAlignment="1">
      <alignment horizontal="justify" vertical="center" wrapText="1"/>
    </xf>
    <xf numFmtId="0" fontId="15" fillId="7" borderId="50" xfId="27" applyFont="1" applyFill="1" applyBorder="1" applyAlignment="1">
      <alignment horizontal="center" vertical="center" wrapText="1"/>
    </xf>
    <xf numFmtId="10" fontId="15" fillId="7" borderId="1" xfId="7" applyNumberFormat="1" applyFont="1" applyFill="1" applyBorder="1" applyAlignment="1">
      <alignment horizontal="center" vertical="center" wrapText="1"/>
    </xf>
    <xf numFmtId="1" fontId="15" fillId="7" borderId="56" xfId="27" quotePrefix="1" applyNumberFormat="1" applyFont="1" applyFill="1" applyBorder="1" applyAlignment="1">
      <alignment horizontal="center" vertical="center" wrapText="1"/>
    </xf>
    <xf numFmtId="173" fontId="15" fillId="0" borderId="3" xfId="8" applyFont="1" applyBorder="1" applyAlignment="1">
      <alignment horizontal="center" vertical="center" wrapText="1"/>
    </xf>
    <xf numFmtId="3" fontId="17" fillId="8" borderId="55" xfId="27" applyNumberFormat="1" applyFont="1" applyFill="1" applyBorder="1" applyAlignment="1">
      <alignment horizontal="justify" vertical="center" wrapText="1"/>
    </xf>
    <xf numFmtId="14" fontId="17" fillId="8" borderId="4" xfId="27" applyNumberFormat="1" applyFont="1" applyFill="1" applyBorder="1" applyAlignment="1">
      <alignment horizontal="center" vertical="center"/>
    </xf>
    <xf numFmtId="0" fontId="17" fillId="9" borderId="55" xfId="27" applyFont="1" applyFill="1" applyBorder="1" applyAlignment="1">
      <alignment horizontal="justify" vertical="center" wrapText="1"/>
    </xf>
    <xf numFmtId="0" fontId="17" fillId="9" borderId="55" xfId="27" applyFont="1" applyFill="1" applyBorder="1" applyAlignment="1">
      <alignment vertical="center"/>
    </xf>
    <xf numFmtId="0" fontId="17" fillId="9" borderId="55" xfId="27" applyFont="1" applyFill="1" applyBorder="1" applyAlignment="1">
      <alignment horizontal="justify" vertical="center"/>
    </xf>
    <xf numFmtId="0" fontId="17" fillId="9" borderId="55" xfId="27" applyFont="1" applyFill="1" applyBorder="1" applyAlignment="1">
      <alignment horizontal="center" vertical="center"/>
    </xf>
    <xf numFmtId="173" fontId="17" fillId="9" borderId="55" xfId="8" applyFont="1" applyFill="1" applyBorder="1" applyAlignment="1">
      <alignment horizontal="center" vertical="center"/>
    </xf>
    <xf numFmtId="1" fontId="17" fillId="9" borderId="55" xfId="27" applyNumberFormat="1" applyFont="1" applyFill="1" applyBorder="1" applyAlignment="1">
      <alignment horizontal="center" vertical="center"/>
    </xf>
    <xf numFmtId="14" fontId="17" fillId="9" borderId="55" xfId="27" applyNumberFormat="1" applyFont="1" applyFill="1" applyBorder="1" applyAlignment="1">
      <alignment horizontal="center" vertical="center"/>
    </xf>
    <xf numFmtId="14" fontId="17" fillId="9" borderId="104" xfId="27" applyNumberFormat="1" applyFont="1" applyFill="1" applyBorder="1" applyAlignment="1">
      <alignment vertical="center"/>
    </xf>
    <xf numFmtId="0" fontId="17" fillId="9" borderId="104" xfId="27" applyFont="1" applyFill="1" applyBorder="1" applyAlignment="1">
      <alignment vertical="center"/>
    </xf>
    <xf numFmtId="177" fontId="15" fillId="0" borderId="31" xfId="0" applyNumberFormat="1" applyFont="1" applyBorder="1" applyAlignment="1">
      <alignment horizontal="right" vertical="center"/>
    </xf>
    <xf numFmtId="1" fontId="15" fillId="7" borderId="1" xfId="27" quotePrefix="1" applyNumberFormat="1" applyFont="1" applyFill="1" applyBorder="1" applyAlignment="1">
      <alignment horizontal="center" vertical="center" wrapText="1"/>
    </xf>
    <xf numFmtId="0" fontId="15" fillId="0" borderId="1" xfId="27" applyFont="1" applyBorder="1" applyAlignment="1">
      <alignment horizontal="center"/>
    </xf>
    <xf numFmtId="0" fontId="17" fillId="9" borderId="0" xfId="27" applyFont="1" applyFill="1" applyAlignment="1">
      <alignment horizontal="justify" vertical="center" wrapText="1"/>
    </xf>
    <xf numFmtId="0" fontId="17" fillId="9" borderId="0" xfId="27" applyFont="1" applyFill="1" applyAlignment="1">
      <alignment vertical="center"/>
    </xf>
    <xf numFmtId="0" fontId="17" fillId="9" borderId="53" xfId="27" applyFont="1" applyFill="1" applyBorder="1" applyAlignment="1">
      <alignment horizontal="justify" vertical="center"/>
    </xf>
    <xf numFmtId="0" fontId="15" fillId="7" borderId="16" xfId="27" applyFont="1" applyFill="1" applyBorder="1" applyAlignment="1">
      <alignment horizontal="center" vertical="center" wrapText="1"/>
    </xf>
    <xf numFmtId="0" fontId="15" fillId="7" borderId="0" xfId="27" applyFont="1" applyFill="1" applyBorder="1" applyAlignment="1">
      <alignment horizontal="center" vertical="center" wrapText="1"/>
    </xf>
    <xf numFmtId="0" fontId="15" fillId="7" borderId="17" xfId="27" applyFont="1" applyFill="1" applyBorder="1" applyAlignment="1">
      <alignment horizontal="center" vertical="center" wrapText="1"/>
    </xf>
    <xf numFmtId="0" fontId="15" fillId="7" borderId="0" xfId="27" applyFont="1" applyFill="1" applyAlignment="1">
      <alignment horizontal="center" vertical="center" wrapText="1"/>
    </xf>
    <xf numFmtId="0" fontId="15" fillId="7" borderId="55" xfId="27" applyFont="1" applyFill="1" applyBorder="1" applyAlignment="1">
      <alignment horizontal="center" vertical="center" wrapText="1"/>
    </xf>
    <xf numFmtId="0" fontId="15" fillId="7" borderId="52" xfId="27" applyFont="1" applyFill="1" applyBorder="1" applyAlignment="1">
      <alignment horizontal="center" vertical="center" wrapText="1"/>
    </xf>
    <xf numFmtId="49" fontId="15" fillId="0" borderId="70" xfId="10" quotePrefix="1" applyNumberFormat="1" applyFont="1" applyBorder="1" applyAlignment="1">
      <alignment horizontal="justify" vertical="center" wrapText="1"/>
    </xf>
    <xf numFmtId="49" fontId="15" fillId="0" borderId="1" xfId="10" quotePrefix="1" applyNumberFormat="1" applyFont="1" applyBorder="1" applyAlignment="1">
      <alignment horizontal="justify" vertical="center" wrapText="1"/>
    </xf>
    <xf numFmtId="0" fontId="17" fillId="7" borderId="53" xfId="27" applyFont="1" applyFill="1" applyBorder="1" applyAlignment="1">
      <alignment vertical="center" wrapText="1"/>
    </xf>
    <xf numFmtId="0" fontId="17" fillId="7" borderId="59" xfId="27" applyFont="1" applyFill="1" applyBorder="1" applyAlignment="1">
      <alignment vertical="center" wrapText="1"/>
    </xf>
    <xf numFmtId="0" fontId="15" fillId="7" borderId="3" xfId="27" applyFont="1" applyFill="1" applyBorder="1" applyAlignment="1">
      <alignment horizontal="justify" vertical="center" wrapText="1"/>
    </xf>
    <xf numFmtId="0" fontId="15" fillId="0" borderId="16" xfId="27" applyFont="1" applyBorder="1" applyAlignment="1">
      <alignment horizontal="center" vertical="center" wrapText="1"/>
    </xf>
    <xf numFmtId="0" fontId="15" fillId="0" borderId="0" xfId="27" applyFont="1" applyBorder="1" applyAlignment="1">
      <alignment horizontal="center" vertical="center" wrapText="1"/>
    </xf>
    <xf numFmtId="0" fontId="15" fillId="0" borderId="17" xfId="27" applyFont="1" applyBorder="1" applyAlignment="1">
      <alignment horizontal="center" vertical="center" wrapText="1"/>
    </xf>
    <xf numFmtId="0" fontId="15" fillId="0" borderId="0" xfId="27" applyFont="1" applyAlignment="1">
      <alignment horizontal="center" vertical="center" wrapText="1"/>
    </xf>
    <xf numFmtId="0" fontId="15" fillId="0" borderId="53" xfId="27" applyFont="1" applyBorder="1" applyAlignment="1">
      <alignment horizontal="center" vertical="center" wrapText="1"/>
    </xf>
    <xf numFmtId="0" fontId="15" fillId="0" borderId="59" xfId="27" applyFont="1" applyBorder="1" applyAlignment="1">
      <alignment horizontal="center" vertical="center" wrapText="1"/>
    </xf>
    <xf numFmtId="0" fontId="15" fillId="0" borderId="15" xfId="27" applyFont="1" applyBorder="1" applyAlignment="1">
      <alignment vertical="center" wrapText="1"/>
    </xf>
    <xf numFmtId="0" fontId="15" fillId="0" borderId="15" xfId="27" applyFont="1" applyBorder="1" applyAlignment="1">
      <alignment horizontal="justify" vertical="center" wrapText="1"/>
    </xf>
    <xf numFmtId="0" fontId="15" fillId="0" borderId="57" xfId="27" applyFont="1" applyBorder="1" applyAlignment="1">
      <alignment vertical="center" wrapText="1"/>
    </xf>
    <xf numFmtId="9" fontId="15" fillId="0" borderId="1" xfId="7" applyFont="1" applyFill="1" applyBorder="1" applyAlignment="1">
      <alignment horizontal="center" vertical="center" wrapText="1"/>
    </xf>
    <xf numFmtId="173" fontId="15" fillId="0" borderId="1" xfId="8" applyFont="1" applyFill="1" applyBorder="1" applyAlignment="1">
      <alignment horizontal="center" vertical="center"/>
    </xf>
    <xf numFmtId="173" fontId="15" fillId="0" borderId="1" xfId="8" quotePrefix="1" applyFont="1" applyFill="1" applyBorder="1" applyAlignment="1">
      <alignment horizontal="center" vertical="center"/>
    </xf>
    <xf numFmtId="0" fontId="17" fillId="9" borderId="53" xfId="27" applyFont="1" applyFill="1" applyBorder="1" applyAlignment="1">
      <alignment horizontal="center" vertical="center"/>
    </xf>
    <xf numFmtId="14" fontId="17" fillId="9" borderId="53" xfId="27" applyNumberFormat="1" applyFont="1" applyFill="1" applyBorder="1" applyAlignment="1">
      <alignment horizontal="center" vertical="center"/>
    </xf>
    <xf numFmtId="0" fontId="17" fillId="7" borderId="55" xfId="27" applyFont="1" applyFill="1" applyBorder="1" applyAlignment="1">
      <alignment vertical="center" wrapText="1"/>
    </xf>
    <xf numFmtId="0" fontId="17" fillId="7" borderId="52" xfId="27" applyFont="1" applyFill="1" applyBorder="1" applyAlignment="1">
      <alignment vertical="center" wrapText="1"/>
    </xf>
    <xf numFmtId="49" fontId="15" fillId="0" borderId="56" xfId="10" applyNumberFormat="1" applyFont="1" applyBorder="1" applyAlignment="1">
      <alignment horizontal="justify" vertical="center" wrapText="1"/>
    </xf>
    <xf numFmtId="173" fontId="15" fillId="7" borderId="56" xfId="8" applyFont="1" applyFill="1" applyBorder="1" applyAlignment="1">
      <alignment vertical="center"/>
    </xf>
    <xf numFmtId="1" fontId="15" fillId="7" borderId="56" xfId="27" applyNumberFormat="1" applyFont="1" applyFill="1" applyBorder="1" applyAlignment="1">
      <alignment horizontal="center" vertical="center"/>
    </xf>
    <xf numFmtId="173" fontId="17" fillId="24" borderId="23" xfId="8" applyFont="1" applyFill="1" applyBorder="1" applyAlignment="1">
      <alignment horizontal="center" vertical="center"/>
    </xf>
    <xf numFmtId="0" fontId="15" fillId="24" borderId="20" xfId="27" applyFont="1" applyFill="1" applyBorder="1"/>
    <xf numFmtId="0" fontId="15" fillId="24" borderId="21" xfId="27" applyFont="1" applyFill="1" applyBorder="1" applyAlignment="1">
      <alignment horizontal="justify"/>
    </xf>
    <xf numFmtId="0" fontId="15" fillId="24" borderId="22" xfId="27" applyFont="1" applyFill="1" applyBorder="1" applyAlignment="1">
      <alignment horizontal="justify" vertical="center"/>
    </xf>
    <xf numFmtId="173" fontId="17" fillId="24" borderId="23" xfId="8" applyFont="1" applyFill="1" applyBorder="1" applyAlignment="1">
      <alignment horizontal="justify" vertical="center"/>
    </xf>
    <xf numFmtId="0" fontId="15" fillId="24" borderId="20" xfId="27" applyFont="1" applyFill="1" applyBorder="1" applyAlignment="1">
      <alignment horizontal="center" vertical="center"/>
    </xf>
    <xf numFmtId="0" fontId="15" fillId="24" borderId="21" xfId="27" applyFont="1" applyFill="1" applyBorder="1" applyAlignment="1">
      <alignment horizontal="center" vertical="center"/>
    </xf>
    <xf numFmtId="0" fontId="15" fillId="24" borderId="21" xfId="8" applyNumberFormat="1" applyFont="1" applyFill="1" applyBorder="1"/>
    <xf numFmtId="9" fontId="17" fillId="24" borderId="21" xfId="3" applyFont="1" applyFill="1" applyBorder="1" applyAlignment="1">
      <alignment horizontal="center"/>
    </xf>
    <xf numFmtId="14" fontId="15" fillId="24" borderId="21" xfId="8" applyNumberFormat="1" applyFont="1" applyFill="1" applyBorder="1"/>
    <xf numFmtId="14" fontId="15" fillId="24" borderId="22" xfId="27" applyNumberFormat="1" applyFont="1" applyFill="1" applyBorder="1"/>
    <xf numFmtId="0" fontId="15" fillId="24" borderId="22" xfId="27" applyFont="1" applyFill="1" applyBorder="1"/>
    <xf numFmtId="0" fontId="15" fillId="24" borderId="0" xfId="27" applyFont="1" applyFill="1"/>
    <xf numFmtId="0" fontId="15" fillId="7" borderId="0" xfId="27" applyFont="1" applyFill="1" applyAlignment="1">
      <alignment horizontal="justify" vertical="center"/>
    </xf>
    <xf numFmtId="0" fontId="15" fillId="7" borderId="0" xfId="27" applyFont="1" applyFill="1" applyAlignment="1">
      <alignment horizontal="center"/>
    </xf>
    <xf numFmtId="0" fontId="15" fillId="7" borderId="0" xfId="27" applyFont="1" applyFill="1" applyAlignment="1">
      <alignment horizontal="justify"/>
    </xf>
    <xf numFmtId="0" fontId="15" fillId="7" borderId="0" xfId="27" applyFont="1" applyFill="1" applyAlignment="1">
      <alignment horizontal="center" vertical="center"/>
    </xf>
    <xf numFmtId="186" fontId="15" fillId="7" borderId="0" xfId="27" applyNumberFormat="1" applyFont="1" applyFill="1" applyAlignment="1">
      <alignment horizontal="justify" vertical="center"/>
    </xf>
    <xf numFmtId="0" fontId="15" fillId="0" borderId="0" xfId="8" applyNumberFormat="1" applyFont="1"/>
    <xf numFmtId="186" fontId="15" fillId="0" borderId="0" xfId="8" applyNumberFormat="1" applyFont="1"/>
    <xf numFmtId="0" fontId="15" fillId="0" borderId="0" xfId="8" applyNumberFormat="1" applyFont="1" applyAlignment="1">
      <alignment horizontal="center" vertical="center"/>
    </xf>
    <xf numFmtId="185" fontId="22" fillId="0" borderId="0" xfId="26" applyNumberFormat="1" applyFont="1"/>
    <xf numFmtId="43" fontId="15" fillId="7" borderId="0" xfId="27" applyNumberFormat="1" applyFont="1" applyFill="1" applyAlignment="1">
      <alignment horizontal="center"/>
    </xf>
    <xf numFmtId="189" fontId="15" fillId="7" borderId="0" xfId="23" applyFont="1" applyFill="1" applyAlignment="1">
      <alignment horizontal="justify" vertical="center"/>
    </xf>
    <xf numFmtId="189" fontId="15" fillId="7" borderId="0" xfId="27" applyNumberFormat="1" applyFont="1" applyFill="1" applyAlignment="1">
      <alignment horizontal="justify" vertical="center"/>
    </xf>
    <xf numFmtId="0" fontId="22" fillId="0" borderId="0" xfId="0" applyFont="1"/>
    <xf numFmtId="0" fontId="22" fillId="0" borderId="0" xfId="0" applyFont="1" applyAlignment="1">
      <alignment wrapText="1"/>
    </xf>
    <xf numFmtId="0" fontId="56" fillId="0" borderId="1" xfId="0" applyFont="1" applyBorder="1" applyAlignment="1">
      <alignment horizontal="center" vertical="center"/>
    </xf>
    <xf numFmtId="0" fontId="56" fillId="3" borderId="50" xfId="0" applyFont="1" applyFill="1" applyBorder="1" applyAlignment="1">
      <alignment horizontal="center" vertical="center" wrapText="1"/>
    </xf>
    <xf numFmtId="1" fontId="56" fillId="3" borderId="1" xfId="0" applyNumberFormat="1" applyFont="1" applyFill="1" applyBorder="1" applyAlignment="1">
      <alignment horizontal="center" vertical="center" wrapText="1"/>
    </xf>
    <xf numFmtId="0" fontId="22" fillId="7" borderId="0" xfId="0" applyFont="1" applyFill="1"/>
    <xf numFmtId="170" fontId="56" fillId="3" borderId="76" xfId="0" applyNumberFormat="1" applyFont="1" applyFill="1" applyBorder="1" applyAlignment="1">
      <alignment horizontal="center" vertical="center" wrapText="1"/>
    </xf>
    <xf numFmtId="1" fontId="56" fillId="3" borderId="76" xfId="0" applyNumberFormat="1" applyFont="1" applyFill="1" applyBorder="1" applyAlignment="1">
      <alignment horizontal="center" vertical="center" wrapText="1"/>
    </xf>
    <xf numFmtId="0" fontId="22" fillId="7" borderId="0" xfId="0" applyFont="1" applyFill="1" applyAlignment="1">
      <alignment textRotation="90"/>
    </xf>
    <xf numFmtId="0" fontId="22" fillId="0" borderId="0" xfId="0" applyFont="1" applyAlignment="1">
      <alignment textRotation="90"/>
    </xf>
    <xf numFmtId="1" fontId="56" fillId="6" borderId="50" xfId="0" applyNumberFormat="1" applyFont="1" applyFill="1" applyBorder="1" applyAlignment="1">
      <alignment horizontal="left" vertical="center"/>
    </xf>
    <xf numFmtId="0" fontId="56" fillId="6" borderId="55" xfId="0" applyFont="1" applyFill="1" applyBorder="1" applyAlignment="1">
      <alignment horizontal="left" vertical="center"/>
    </xf>
    <xf numFmtId="0" fontId="56" fillId="6" borderId="55" xfId="0" applyFont="1" applyFill="1" applyBorder="1" applyAlignment="1">
      <alignment horizontal="justify" vertical="center"/>
    </xf>
    <xf numFmtId="0" fontId="56" fillId="6" borderId="55" xfId="0" applyFont="1" applyFill="1" applyBorder="1" applyAlignment="1">
      <alignment horizontal="center" vertical="center"/>
    </xf>
    <xf numFmtId="170" fontId="56" fillId="6" borderId="55" xfId="0" applyNumberFormat="1" applyFont="1" applyFill="1" applyBorder="1" applyAlignment="1">
      <alignment horizontal="left" vertical="center"/>
    </xf>
    <xf numFmtId="169" fontId="56" fillId="6" borderId="55" xfId="0" applyNumberFormat="1" applyFont="1" applyFill="1" applyBorder="1" applyAlignment="1">
      <alignment horizontal="left" vertical="center"/>
    </xf>
    <xf numFmtId="0" fontId="58" fillId="6" borderId="52" xfId="0" applyFont="1" applyFill="1" applyBorder="1" applyAlignment="1">
      <alignment horizontal="justify"/>
    </xf>
    <xf numFmtId="0" fontId="58" fillId="0" borderId="0" xfId="0" applyFont="1"/>
    <xf numFmtId="1" fontId="56" fillId="7" borderId="50" xfId="0" applyNumberFormat="1" applyFont="1" applyFill="1" applyBorder="1" applyAlignment="1">
      <alignment horizontal="center" vertical="center" wrapText="1"/>
    </xf>
    <xf numFmtId="1" fontId="56" fillId="7" borderId="55" xfId="0" applyNumberFormat="1" applyFont="1" applyFill="1" applyBorder="1" applyAlignment="1">
      <alignment horizontal="center" vertical="center" wrapText="1"/>
    </xf>
    <xf numFmtId="1" fontId="56" fillId="7" borderId="52" xfId="0" applyNumberFormat="1" applyFont="1" applyFill="1" applyBorder="1" applyAlignment="1">
      <alignment horizontal="center" vertical="center" wrapText="1"/>
    </xf>
    <xf numFmtId="1" fontId="56" fillId="8" borderId="55" xfId="0" applyNumberFormat="1" applyFont="1" applyFill="1" applyBorder="1" applyAlignment="1">
      <alignment horizontal="left" vertical="center"/>
    </xf>
    <xf numFmtId="0" fontId="56" fillId="8" borderId="55" xfId="0" applyFont="1" applyFill="1" applyBorder="1" applyAlignment="1">
      <alignment horizontal="left" vertical="center"/>
    </xf>
    <xf numFmtId="0" fontId="56" fillId="8" borderId="55" xfId="0" applyFont="1" applyFill="1" applyBorder="1" applyAlignment="1">
      <alignment horizontal="justify" vertical="center"/>
    </xf>
    <xf numFmtId="0" fontId="56" fillId="8" borderId="55" xfId="0" applyFont="1" applyFill="1" applyBorder="1" applyAlignment="1">
      <alignment horizontal="center" vertical="center"/>
    </xf>
    <xf numFmtId="170" fontId="56" fillId="8" borderId="55" xfId="0" applyNumberFormat="1" applyFont="1" applyFill="1" applyBorder="1" applyAlignment="1">
      <alignment horizontal="left" vertical="center"/>
    </xf>
    <xf numFmtId="169" fontId="56" fillId="8" borderId="55" xfId="0" applyNumberFormat="1" applyFont="1" applyFill="1" applyBorder="1" applyAlignment="1">
      <alignment horizontal="left" vertical="center"/>
    </xf>
    <xf numFmtId="172" fontId="56" fillId="8" borderId="55" xfId="0" applyNumberFormat="1" applyFont="1" applyFill="1" applyBorder="1" applyAlignment="1">
      <alignment horizontal="left" vertical="center"/>
    </xf>
    <xf numFmtId="0" fontId="58" fillId="8" borderId="55" xfId="0" applyFont="1" applyFill="1" applyBorder="1"/>
    <xf numFmtId="0" fontId="58" fillId="8" borderId="52" xfId="0" applyFont="1" applyFill="1" applyBorder="1" applyAlignment="1">
      <alignment horizontal="justify"/>
    </xf>
    <xf numFmtId="1" fontId="56" fillId="7" borderId="16" xfId="0" applyNumberFormat="1" applyFont="1" applyFill="1" applyBorder="1" applyAlignment="1">
      <alignment horizontal="center" vertical="center" wrapText="1"/>
    </xf>
    <xf numFmtId="1" fontId="56" fillId="7" borderId="0" xfId="0" applyNumberFormat="1" applyFont="1" applyFill="1" applyAlignment="1">
      <alignment horizontal="center" vertical="center" wrapText="1"/>
    </xf>
    <xf numFmtId="0" fontId="56" fillId="7" borderId="50" xfId="0" applyFont="1" applyFill="1" applyBorder="1" applyAlignment="1">
      <alignment horizontal="center" vertical="center"/>
    </xf>
    <xf numFmtId="0" fontId="56" fillId="7" borderId="55" xfId="0" applyFont="1" applyFill="1" applyBorder="1" applyAlignment="1">
      <alignment horizontal="center" vertical="center"/>
    </xf>
    <xf numFmtId="0" fontId="56" fillId="7" borderId="52" xfId="0" applyFont="1" applyFill="1" applyBorder="1" applyAlignment="1">
      <alignment horizontal="center" vertical="center"/>
    </xf>
    <xf numFmtId="1" fontId="56" fillId="10" borderId="4" xfId="0" applyNumberFormat="1" applyFont="1" applyFill="1" applyBorder="1" applyAlignment="1">
      <alignment horizontal="left" vertical="center"/>
    </xf>
    <xf numFmtId="0" fontId="56" fillId="10" borderId="4" xfId="0" applyFont="1" applyFill="1" applyBorder="1" applyAlignment="1">
      <alignment horizontal="left" vertical="center"/>
    </xf>
    <xf numFmtId="0" fontId="56" fillId="10" borderId="4" xfId="0" applyFont="1" applyFill="1" applyBorder="1" applyAlignment="1">
      <alignment horizontal="justify" vertical="center"/>
    </xf>
    <xf numFmtId="0" fontId="56" fillId="10" borderId="55" xfId="0" applyFont="1" applyFill="1" applyBorder="1" applyAlignment="1">
      <alignment horizontal="center" vertical="center"/>
    </xf>
    <xf numFmtId="170" fontId="56" fillId="10" borderId="4" xfId="0" applyNumberFormat="1" applyFont="1" applyFill="1" applyBorder="1" applyAlignment="1">
      <alignment horizontal="left" vertical="center"/>
    </xf>
    <xf numFmtId="169" fontId="56" fillId="10" borderId="4" xfId="0" applyNumberFormat="1" applyFont="1" applyFill="1" applyBorder="1" applyAlignment="1">
      <alignment horizontal="left" vertical="center"/>
    </xf>
    <xf numFmtId="0" fontId="56" fillId="10" borderId="31" xfId="0" applyFont="1" applyFill="1" applyBorder="1" applyAlignment="1">
      <alignment horizontal="justify" vertical="center"/>
    </xf>
    <xf numFmtId="0" fontId="56" fillId="10" borderId="109" xfId="0" applyFont="1" applyFill="1" applyBorder="1" applyAlignment="1">
      <alignment horizontal="justify" vertical="center"/>
    </xf>
    <xf numFmtId="0" fontId="56" fillId="10" borderId="31" xfId="0" applyFont="1" applyFill="1" applyBorder="1" applyAlignment="1">
      <alignment horizontal="center" vertical="center"/>
    </xf>
    <xf numFmtId="0" fontId="56" fillId="10" borderId="31" xfId="0" applyFont="1" applyFill="1" applyBorder="1" applyAlignment="1">
      <alignment horizontal="left" vertical="center"/>
    </xf>
    <xf numFmtId="1" fontId="22" fillId="10" borderId="4" xfId="0" applyNumberFormat="1" applyFont="1" applyFill="1" applyBorder="1" applyAlignment="1">
      <alignment vertical="center" wrapText="1"/>
    </xf>
    <xf numFmtId="172" fontId="56" fillId="10" borderId="4" xfId="0" applyNumberFormat="1" applyFont="1" applyFill="1" applyBorder="1" applyAlignment="1">
      <alignment horizontal="left" vertical="center"/>
    </xf>
    <xf numFmtId="0" fontId="58" fillId="10" borderId="4" xfId="0" applyFont="1" applyFill="1" applyBorder="1"/>
    <xf numFmtId="0" fontId="58" fillId="10" borderId="5" xfId="0" applyFont="1" applyFill="1" applyBorder="1" applyAlignment="1">
      <alignment horizontal="justify"/>
    </xf>
    <xf numFmtId="0" fontId="56" fillId="7" borderId="16" xfId="0" applyFont="1" applyFill="1" applyBorder="1" applyAlignment="1">
      <alignment horizontal="center" vertical="center"/>
    </xf>
    <xf numFmtId="0" fontId="56" fillId="7" borderId="0" xfId="0" applyFont="1" applyFill="1" applyAlignment="1">
      <alignment horizontal="center" vertical="center"/>
    </xf>
    <xf numFmtId="0" fontId="56" fillId="7" borderId="17" xfId="0" applyFont="1" applyFill="1" applyBorder="1" applyAlignment="1">
      <alignment horizontal="center" vertical="center"/>
    </xf>
    <xf numFmtId="0" fontId="22" fillId="7" borderId="0" xfId="0" applyFont="1" applyFill="1" applyAlignment="1">
      <alignment horizontal="center" vertical="center"/>
    </xf>
    <xf numFmtId="0" fontId="22" fillId="7" borderId="17" xfId="0" applyFont="1" applyFill="1" applyBorder="1" applyAlignment="1">
      <alignment horizontal="center" vertical="center"/>
    </xf>
    <xf numFmtId="4" fontId="24" fillId="0" borderId="31" xfId="8" applyNumberFormat="1" applyFont="1" applyFill="1" applyBorder="1" applyAlignment="1">
      <alignment horizontal="right" vertical="center"/>
    </xf>
    <xf numFmtId="186" fontId="24" fillId="0" borderId="57" xfId="8" applyNumberFormat="1" applyFont="1" applyFill="1" applyBorder="1" applyAlignment="1" applyProtection="1">
      <alignment vertical="center" wrapText="1"/>
      <protection locked="0"/>
    </xf>
    <xf numFmtId="173" fontId="15" fillId="0" borderId="1" xfId="8" applyFont="1" applyFill="1" applyBorder="1" applyAlignment="1" applyProtection="1">
      <alignment vertical="center" wrapText="1"/>
      <protection locked="0"/>
    </xf>
    <xf numFmtId="1" fontId="22" fillId="0" borderId="32" xfId="0" applyNumberFormat="1" applyFont="1" applyFill="1" applyBorder="1" applyAlignment="1">
      <alignment horizontal="center" vertical="center" wrapText="1"/>
    </xf>
    <xf numFmtId="171" fontId="22" fillId="0" borderId="31" xfId="0" applyNumberFormat="1" applyFont="1" applyFill="1" applyBorder="1" applyAlignment="1">
      <alignment horizontal="left" vertical="center" wrapText="1"/>
    </xf>
    <xf numFmtId="4" fontId="22" fillId="0" borderId="110" xfId="8" applyNumberFormat="1" applyFont="1" applyFill="1" applyBorder="1" applyAlignment="1">
      <alignment vertical="center"/>
    </xf>
    <xf numFmtId="4" fontId="22" fillId="0" borderId="31" xfId="8" applyNumberFormat="1" applyFont="1" applyFill="1" applyBorder="1" applyAlignment="1">
      <alignment vertical="center"/>
    </xf>
    <xf numFmtId="4" fontId="22" fillId="0" borderId="83" xfId="8" applyNumberFormat="1" applyFont="1" applyFill="1" applyBorder="1" applyAlignment="1">
      <alignment vertical="center"/>
    </xf>
    <xf numFmtId="1" fontId="22" fillId="0" borderId="31" xfId="0" applyNumberFormat="1" applyFont="1" applyFill="1" applyBorder="1" applyAlignment="1">
      <alignment horizontal="center" vertical="center" wrapText="1"/>
    </xf>
    <xf numFmtId="0" fontId="22" fillId="0" borderId="31" xfId="0" applyFont="1" applyFill="1" applyBorder="1" applyAlignment="1">
      <alignment horizontal="left" vertical="center" wrapText="1"/>
    </xf>
    <xf numFmtId="4" fontId="22" fillId="0" borderId="1" xfId="8" applyNumberFormat="1" applyFont="1" applyFill="1" applyBorder="1" applyAlignment="1">
      <alignment vertical="center"/>
    </xf>
    <xf numFmtId="4" fontId="22" fillId="0" borderId="32" xfId="8" applyNumberFormat="1" applyFont="1" applyFill="1" applyBorder="1" applyAlignment="1">
      <alignment vertical="center"/>
    </xf>
    <xf numFmtId="0" fontId="22" fillId="0" borderId="1" xfId="0" applyFont="1" applyBorder="1" applyAlignment="1">
      <alignment horizontal="justify" vertical="center" wrapText="1"/>
    </xf>
    <xf numFmtId="4" fontId="22" fillId="0" borderId="1" xfId="8" applyNumberFormat="1" applyFont="1" applyFill="1" applyBorder="1" applyAlignment="1">
      <alignment horizontal="right" vertical="center"/>
    </xf>
    <xf numFmtId="4" fontId="22" fillId="0" borderId="32" xfId="8" applyNumberFormat="1" applyFont="1" applyFill="1" applyBorder="1" applyAlignment="1">
      <alignment horizontal="right" vertical="center"/>
    </xf>
    <xf numFmtId="4" fontId="22" fillId="0" borderId="31" xfId="8" applyNumberFormat="1" applyFont="1" applyFill="1" applyBorder="1" applyAlignment="1">
      <alignment horizontal="right" vertical="center"/>
    </xf>
    <xf numFmtId="4" fontId="22" fillId="0" borderId="83" xfId="8" applyNumberFormat="1" applyFont="1" applyFill="1" applyBorder="1" applyAlignment="1">
      <alignment horizontal="right" vertical="center" wrapText="1"/>
    </xf>
    <xf numFmtId="4" fontId="22" fillId="0" borderId="31" xfId="8" applyNumberFormat="1" applyFont="1" applyFill="1" applyBorder="1" applyAlignment="1">
      <alignment horizontal="right" vertical="center" wrapText="1"/>
    </xf>
    <xf numFmtId="0" fontId="58" fillId="0" borderId="0" xfId="0" applyFont="1" applyAlignment="1">
      <alignment wrapText="1"/>
    </xf>
    <xf numFmtId="0" fontId="22" fillId="0" borderId="31" xfId="0" applyFont="1" applyFill="1" applyBorder="1" applyAlignment="1">
      <alignment horizontal="left" vertical="center"/>
    </xf>
    <xf numFmtId="1" fontId="56" fillId="7" borderId="16" xfId="0" applyNumberFormat="1" applyFont="1" applyFill="1" applyBorder="1" applyAlignment="1">
      <alignment horizontal="justify" vertical="center"/>
    </xf>
    <xf numFmtId="1" fontId="56" fillId="7" borderId="0" xfId="0" applyNumberFormat="1" applyFont="1" applyFill="1" applyAlignment="1">
      <alignment horizontal="justify" vertical="center"/>
    </xf>
    <xf numFmtId="1" fontId="56" fillId="7" borderId="17" xfId="0" applyNumberFormat="1" applyFont="1" applyFill="1" applyBorder="1" applyAlignment="1">
      <alignment horizontal="justify" vertical="center"/>
    </xf>
    <xf numFmtId="1" fontId="56" fillId="10" borderId="55" xfId="0" applyNumberFormat="1" applyFont="1" applyFill="1" applyBorder="1" applyAlignment="1">
      <alignment horizontal="justify" vertical="center"/>
    </xf>
    <xf numFmtId="0" fontId="56" fillId="10" borderId="55" xfId="0" applyFont="1" applyFill="1" applyBorder="1" applyAlignment="1">
      <alignment vertical="center"/>
    </xf>
    <xf numFmtId="0" fontId="56" fillId="10" borderId="4" xfId="0" applyFont="1" applyFill="1" applyBorder="1" applyAlignment="1">
      <alignment vertical="center"/>
    </xf>
    <xf numFmtId="0" fontId="56" fillId="10" borderId="53" xfId="0" applyFont="1" applyFill="1" applyBorder="1" applyAlignment="1">
      <alignment horizontal="center" vertical="center"/>
    </xf>
    <xf numFmtId="173" fontId="56" fillId="10" borderId="4" xfId="8" applyFont="1" applyFill="1" applyBorder="1" applyAlignment="1">
      <alignment vertical="center"/>
    </xf>
    <xf numFmtId="173" fontId="58" fillId="10" borderId="4" xfId="8" applyFont="1" applyFill="1" applyBorder="1"/>
    <xf numFmtId="0" fontId="58" fillId="10" borderId="5" xfId="0" applyFont="1" applyFill="1" applyBorder="1" applyAlignment="1">
      <alignment horizontal="center" vertical="center"/>
    </xf>
    <xf numFmtId="1" fontId="22" fillId="7" borderId="16" xfId="0" applyNumberFormat="1" applyFont="1" applyFill="1" applyBorder="1" applyAlignment="1">
      <alignment horizontal="justify" vertical="center"/>
    </xf>
    <xf numFmtId="1" fontId="22" fillId="7" borderId="0" xfId="0" applyNumberFormat="1" applyFont="1" applyFill="1" applyAlignment="1">
      <alignment horizontal="justify" vertical="center"/>
    </xf>
    <xf numFmtId="0" fontId="22" fillId="7" borderId="16" xfId="0" applyFont="1" applyFill="1" applyBorder="1" applyAlignment="1">
      <alignment horizontal="justify" vertical="center"/>
    </xf>
    <xf numFmtId="0" fontId="22" fillId="7" borderId="0" xfId="0" applyFont="1" applyFill="1" applyAlignment="1">
      <alignment horizontal="justify" vertical="center"/>
    </xf>
    <xf numFmtId="0" fontId="22" fillId="7" borderId="17" xfId="0" applyFont="1" applyFill="1" applyBorder="1" applyAlignment="1">
      <alignment horizontal="justify" vertical="center"/>
    </xf>
    <xf numFmtId="0" fontId="22" fillId="0" borderId="76" xfId="0" applyFont="1" applyBorder="1" applyAlignment="1">
      <alignment horizontal="center" vertical="center"/>
    </xf>
    <xf numFmtId="0" fontId="22" fillId="7" borderId="76" xfId="0" applyFont="1" applyFill="1" applyBorder="1" applyAlignment="1">
      <alignment horizontal="left" vertical="center" wrapText="1"/>
    </xf>
    <xf numFmtId="1" fontId="22" fillId="7" borderId="76" xfId="0" applyNumberFormat="1" applyFont="1" applyFill="1" applyBorder="1" applyAlignment="1">
      <alignment horizontal="center" vertical="center"/>
    </xf>
    <xf numFmtId="10" fontId="22" fillId="7" borderId="76" xfId="7" applyNumberFormat="1" applyFont="1" applyFill="1" applyBorder="1" applyAlignment="1">
      <alignment horizontal="center" vertical="center"/>
    </xf>
    <xf numFmtId="0" fontId="22" fillId="0" borderId="1" xfId="0" applyFont="1" applyBorder="1" applyAlignment="1">
      <alignment vertical="center" wrapText="1"/>
    </xf>
    <xf numFmtId="173" fontId="22" fillId="0" borderId="76" xfId="8" applyNumberFormat="1" applyFont="1" applyFill="1" applyBorder="1" applyAlignment="1">
      <alignment horizontal="center" vertical="center" wrapText="1"/>
    </xf>
    <xf numFmtId="186" fontId="22" fillId="0" borderId="76" xfId="8" applyNumberFormat="1" applyFont="1" applyFill="1" applyBorder="1" applyAlignment="1">
      <alignment horizontal="center" vertical="center" wrapText="1"/>
    </xf>
    <xf numFmtId="186" fontId="22" fillId="0" borderId="1" xfId="8" applyNumberFormat="1" applyFont="1" applyFill="1" applyBorder="1" applyAlignment="1">
      <alignment horizontal="center" vertical="center" wrapText="1"/>
    </xf>
    <xf numFmtId="1" fontId="22" fillId="0" borderId="52" xfId="0" applyNumberFormat="1" applyFont="1" applyFill="1" applyBorder="1" applyAlignment="1">
      <alignment horizontal="center" vertical="center"/>
    </xf>
    <xf numFmtId="0" fontId="22" fillId="0" borderId="76" xfId="0" applyFont="1" applyFill="1" applyBorder="1" applyAlignment="1">
      <alignment horizontal="left" vertical="center"/>
    </xf>
    <xf numFmtId="4" fontId="22" fillId="0" borderId="41" xfId="8" applyNumberFormat="1" applyFont="1" applyFill="1" applyBorder="1" applyAlignment="1">
      <alignment horizontal="right" vertical="center" wrapText="1"/>
    </xf>
    <xf numFmtId="4" fontId="22" fillId="0" borderId="1" xfId="8" applyNumberFormat="1" applyFont="1" applyFill="1" applyBorder="1" applyAlignment="1">
      <alignment horizontal="right" vertical="center" wrapText="1"/>
    </xf>
    <xf numFmtId="1" fontId="22" fillId="0" borderId="32" xfId="0" applyNumberFormat="1" applyFont="1" applyFill="1" applyBorder="1" applyAlignment="1">
      <alignment horizontal="center" vertical="center"/>
    </xf>
    <xf numFmtId="0" fontId="22" fillId="0" borderId="32" xfId="0" applyFont="1" applyFill="1" applyBorder="1" applyAlignment="1">
      <alignment horizontal="center" vertical="center"/>
    </xf>
    <xf numFmtId="1" fontId="56" fillId="8" borderId="0" xfId="0" applyNumberFormat="1" applyFont="1" applyFill="1" applyAlignment="1">
      <alignment horizontal="justify" vertical="center"/>
    </xf>
    <xf numFmtId="0" fontId="56" fillId="8" borderId="0" xfId="0" applyFont="1" applyFill="1" applyAlignment="1">
      <alignment horizontal="left" vertical="center"/>
    </xf>
    <xf numFmtId="0" fontId="56" fillId="8" borderId="0" xfId="0" applyFont="1" applyFill="1" applyAlignment="1">
      <alignment horizontal="justify" vertical="center"/>
    </xf>
    <xf numFmtId="0" fontId="56" fillId="8" borderId="55" xfId="0" applyFont="1" applyFill="1" applyBorder="1" applyAlignment="1">
      <alignment vertical="center"/>
    </xf>
    <xf numFmtId="170" fontId="56" fillId="8" borderId="55" xfId="0" applyNumberFormat="1" applyFont="1" applyFill="1" applyBorder="1" applyAlignment="1">
      <alignment horizontal="center" vertical="center"/>
    </xf>
    <xf numFmtId="173" fontId="56" fillId="8" borderId="55" xfId="8" applyFont="1" applyFill="1" applyBorder="1" applyAlignment="1">
      <alignment vertical="center"/>
    </xf>
    <xf numFmtId="172" fontId="56" fillId="8" borderId="55" xfId="0" applyNumberFormat="1" applyFont="1" applyFill="1" applyBorder="1" applyAlignment="1">
      <alignment horizontal="center" vertical="center"/>
    </xf>
    <xf numFmtId="173" fontId="58" fillId="8" borderId="55" xfId="8" applyFont="1" applyFill="1" applyBorder="1"/>
    <xf numFmtId="0" fontId="58" fillId="8" borderId="52" xfId="0" applyFont="1" applyFill="1" applyBorder="1" applyAlignment="1">
      <alignment horizontal="center" vertical="center"/>
    </xf>
    <xf numFmtId="0" fontId="56" fillId="7" borderId="0" xfId="0" applyFont="1" applyFill="1" applyAlignment="1">
      <alignment horizontal="justify" vertical="center"/>
    </xf>
    <xf numFmtId="0" fontId="56" fillId="7" borderId="50" xfId="0" applyFont="1" applyFill="1" applyBorder="1" applyAlignment="1">
      <alignment horizontal="justify" vertical="center"/>
    </xf>
    <xf numFmtId="0" fontId="56" fillId="7" borderId="55" xfId="0" applyFont="1" applyFill="1" applyBorder="1" applyAlignment="1">
      <alignment horizontal="justify" vertical="center"/>
    </xf>
    <xf numFmtId="0" fontId="56" fillId="7" borderId="52" xfId="0" applyFont="1" applyFill="1" applyBorder="1" applyAlignment="1">
      <alignment horizontal="justify" vertical="center"/>
    </xf>
    <xf numFmtId="1" fontId="56" fillId="10" borderId="4" xfId="0" applyNumberFormat="1" applyFont="1" applyFill="1" applyBorder="1" applyAlignment="1">
      <alignment horizontal="justify" vertical="center"/>
    </xf>
    <xf numFmtId="0" fontId="56" fillId="10" borderId="4" xfId="0" applyFont="1" applyFill="1" applyBorder="1" applyAlignment="1">
      <alignment horizontal="center" vertical="center"/>
    </xf>
    <xf numFmtId="173" fontId="58" fillId="10" borderId="55" xfId="8" applyFont="1" applyFill="1" applyBorder="1"/>
    <xf numFmtId="0" fontId="22" fillId="7" borderId="16" xfId="0" applyFont="1" applyFill="1" applyBorder="1"/>
    <xf numFmtId="0" fontId="56" fillId="7" borderId="16" xfId="0" applyFont="1" applyFill="1" applyBorder="1" applyAlignment="1">
      <alignment vertical="center"/>
    </xf>
    <xf numFmtId="0" fontId="56" fillId="7" borderId="0" xfId="0" applyFont="1" applyFill="1" applyAlignment="1">
      <alignment vertical="center"/>
    </xf>
    <xf numFmtId="0" fontId="56" fillId="7" borderId="17" xfId="0" applyFont="1" applyFill="1" applyBorder="1" applyAlignment="1">
      <alignment vertical="center"/>
    </xf>
    <xf numFmtId="0" fontId="22" fillId="0" borderId="76" xfId="0" applyFont="1" applyBorder="1" applyAlignment="1">
      <alignment horizontal="left" vertical="center" wrapText="1"/>
    </xf>
    <xf numFmtId="3" fontId="22" fillId="0" borderId="76" xfId="0" applyNumberFormat="1" applyFont="1" applyBorder="1" applyAlignment="1">
      <alignment horizontal="center" vertical="center"/>
    </xf>
    <xf numFmtId="10" fontId="22" fillId="0" borderId="76" xfId="7" applyNumberFormat="1" applyFont="1" applyBorder="1" applyAlignment="1">
      <alignment horizontal="center" vertical="center"/>
    </xf>
    <xf numFmtId="173" fontId="22" fillId="0" borderId="1" xfId="8" applyFont="1" applyFill="1" applyBorder="1" applyAlignment="1">
      <alignment horizontal="center" vertical="center"/>
    </xf>
    <xf numFmtId="1"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1" fontId="22" fillId="0" borderId="1" xfId="0" applyNumberFormat="1" applyFont="1" applyBorder="1" applyAlignment="1">
      <alignment horizontal="center" vertical="center"/>
    </xf>
    <xf numFmtId="173" fontId="22" fillId="0" borderId="1" xfId="8" applyFont="1" applyBorder="1" applyAlignment="1">
      <alignment vertical="center"/>
    </xf>
    <xf numFmtId="10" fontId="22" fillId="0" borderId="1" xfId="0" applyNumberFormat="1" applyFont="1" applyBorder="1" applyAlignment="1">
      <alignment vertical="center"/>
    </xf>
    <xf numFmtId="14" fontId="58" fillId="0" borderId="1" xfId="0" applyNumberFormat="1" applyFont="1" applyBorder="1" applyAlignment="1">
      <alignment vertical="center"/>
    </xf>
    <xf numFmtId="1" fontId="22" fillId="0" borderId="1" xfId="0" applyNumberFormat="1" applyFont="1" applyFill="1" applyBorder="1" applyAlignment="1">
      <alignment horizontal="center" vertical="center"/>
    </xf>
    <xf numFmtId="186" fontId="22" fillId="0" borderId="1" xfId="8" applyNumberFormat="1" applyFont="1" applyFill="1" applyBorder="1" applyAlignment="1">
      <alignment vertical="center"/>
    </xf>
    <xf numFmtId="0" fontId="22" fillId="0" borderId="76" xfId="0" applyFont="1" applyBorder="1" applyAlignment="1">
      <alignment horizontal="justify" vertical="center" wrapText="1"/>
    </xf>
    <xf numFmtId="186" fontId="22" fillId="0" borderId="76" xfId="8" applyNumberFormat="1" applyFont="1" applyFill="1" applyBorder="1" applyAlignment="1">
      <alignment horizontal="center" vertical="center"/>
    </xf>
    <xf numFmtId="1" fontId="22" fillId="0" borderId="76" xfId="0" applyNumberFormat="1" applyFont="1" applyFill="1" applyBorder="1" applyAlignment="1">
      <alignment horizontal="center" vertical="center"/>
    </xf>
    <xf numFmtId="0" fontId="22" fillId="0" borderId="76" xfId="0" applyFont="1" applyFill="1" applyBorder="1" applyAlignment="1">
      <alignment horizontal="left" vertical="center" wrapText="1"/>
    </xf>
    <xf numFmtId="0" fontId="58" fillId="0" borderId="31" xfId="0" applyFont="1" applyBorder="1" applyAlignment="1">
      <alignment vertical="center" wrapText="1"/>
    </xf>
    <xf numFmtId="173" fontId="58" fillId="0" borderId="41" xfId="8" applyFont="1" applyFill="1" applyBorder="1" applyAlignment="1">
      <alignment vertical="center"/>
    </xf>
    <xf numFmtId="1" fontId="22" fillId="0" borderId="31" xfId="0" applyNumberFormat="1" applyFont="1" applyFill="1" applyBorder="1" applyAlignment="1">
      <alignment horizontal="center" vertical="center"/>
    </xf>
    <xf numFmtId="0" fontId="22" fillId="0" borderId="5" xfId="0" applyFont="1" applyBorder="1" applyAlignment="1">
      <alignment horizontal="justify" vertical="center" wrapText="1"/>
    </xf>
    <xf numFmtId="173" fontId="22" fillId="0" borderId="1" xfId="8" applyFont="1" applyFill="1" applyBorder="1" applyAlignment="1">
      <alignment horizontal="justify" vertical="center" wrapText="1"/>
    </xf>
    <xf numFmtId="0" fontId="22" fillId="0" borderId="52" xfId="0" applyFont="1" applyFill="1" applyBorder="1" applyAlignment="1">
      <alignment horizontal="justify" vertical="center" wrapText="1"/>
    </xf>
    <xf numFmtId="3" fontId="22" fillId="0" borderId="76" xfId="0" applyNumberFormat="1" applyFont="1" applyBorder="1" applyAlignment="1">
      <alignment horizontal="center" vertical="center" wrapText="1"/>
    </xf>
    <xf numFmtId="10" fontId="24" fillId="0" borderId="76" xfId="7" applyNumberFormat="1" applyFont="1" applyBorder="1" applyAlignment="1">
      <alignment horizontal="center" vertical="center"/>
    </xf>
    <xf numFmtId="0" fontId="22" fillId="0" borderId="83" xfId="0" applyFont="1" applyBorder="1" applyAlignment="1">
      <alignment horizontal="justify" vertical="center" wrapText="1"/>
    </xf>
    <xf numFmtId="0" fontId="22" fillId="0" borderId="80" xfId="0" applyFont="1" applyBorder="1" applyAlignment="1">
      <alignment horizontal="justify" vertical="center" wrapText="1"/>
    </xf>
    <xf numFmtId="173" fontId="22" fillId="0" borderId="1" xfId="8" applyFont="1" applyFill="1" applyBorder="1" applyAlignment="1">
      <alignment horizontal="justify" vertical="center"/>
    </xf>
    <xf numFmtId="1" fontId="22" fillId="0" borderId="1" xfId="0" applyNumberFormat="1" applyFont="1" applyBorder="1" applyAlignment="1">
      <alignment horizontal="left" vertical="center" wrapText="1"/>
    </xf>
    <xf numFmtId="196" fontId="56" fillId="10" borderId="55" xfId="0" applyNumberFormat="1" applyFont="1" applyFill="1" applyBorder="1" applyAlignment="1">
      <alignment vertical="center"/>
    </xf>
    <xf numFmtId="0" fontId="56" fillId="10" borderId="55" xfId="0" applyFont="1" applyFill="1" applyBorder="1" applyAlignment="1">
      <alignment horizontal="justify" vertical="center"/>
    </xf>
    <xf numFmtId="173" fontId="58" fillId="10" borderId="53" xfId="8" applyFont="1" applyFill="1" applyBorder="1"/>
    <xf numFmtId="0" fontId="56" fillId="10" borderId="4" xfId="0" applyFont="1" applyFill="1" applyBorder="1" applyAlignment="1">
      <alignment horizontal="justify" vertical="center" wrapText="1"/>
    </xf>
    <xf numFmtId="0" fontId="22" fillId="7" borderId="16" xfId="0" applyFont="1" applyFill="1" applyBorder="1" applyAlignment="1">
      <alignment vertical="center"/>
    </xf>
    <xf numFmtId="0" fontId="22" fillId="7" borderId="0" xfId="0" applyFont="1" applyFill="1" applyAlignment="1">
      <alignment vertical="center"/>
    </xf>
    <xf numFmtId="0" fontId="22" fillId="7" borderId="17" xfId="0" applyFont="1" applyFill="1" applyBorder="1" applyAlignment="1">
      <alignment vertical="center"/>
    </xf>
    <xf numFmtId="0" fontId="22" fillId="7" borderId="15" xfId="0" applyFont="1" applyFill="1" applyBorder="1" applyAlignment="1">
      <alignment horizontal="center" vertical="center"/>
    </xf>
    <xf numFmtId="0" fontId="22" fillId="7" borderId="58" xfId="0" applyFont="1" applyFill="1" applyBorder="1" applyAlignment="1">
      <alignment vertical="center"/>
    </xf>
    <xf numFmtId="0" fontId="22" fillId="7" borderId="53" xfId="0" applyFont="1" applyFill="1" applyBorder="1" applyAlignment="1">
      <alignment vertical="center"/>
    </xf>
    <xf numFmtId="0" fontId="22" fillId="7" borderId="59" xfId="0" applyFont="1" applyFill="1" applyBorder="1" applyAlignment="1">
      <alignment vertical="center"/>
    </xf>
    <xf numFmtId="0" fontId="24" fillId="0" borderId="16" xfId="0" applyFont="1" applyBorder="1" applyAlignment="1">
      <alignment vertical="center" wrapText="1"/>
    </xf>
    <xf numFmtId="173" fontId="24" fillId="0" borderId="31" xfId="8" applyFont="1" applyFill="1" applyBorder="1" applyAlignment="1">
      <alignment vertical="center" wrapText="1"/>
    </xf>
    <xf numFmtId="173" fontId="24" fillId="0" borderId="41" xfId="8" applyFont="1" applyFill="1" applyBorder="1" applyAlignment="1">
      <alignment vertical="center" wrapText="1"/>
    </xf>
    <xf numFmtId="173" fontId="24" fillId="0" borderId="1" xfId="8" applyFont="1" applyFill="1" applyBorder="1" applyAlignment="1">
      <alignment vertical="center" wrapText="1"/>
    </xf>
    <xf numFmtId="0" fontId="22" fillId="0" borderId="32" xfId="0" applyFont="1" applyFill="1" applyBorder="1" applyAlignment="1">
      <alignment horizontal="center" vertical="center" wrapText="1"/>
    </xf>
    <xf numFmtId="0" fontId="22" fillId="0" borderId="31" xfId="0" applyFont="1" applyFill="1" applyBorder="1" applyAlignment="1">
      <alignment vertical="center" wrapText="1"/>
    </xf>
    <xf numFmtId="0" fontId="22" fillId="7" borderId="1" xfId="0" applyFont="1" applyFill="1" applyBorder="1" applyAlignment="1">
      <alignment horizontal="center" vertical="center"/>
    </xf>
    <xf numFmtId="173" fontId="22" fillId="7" borderId="1" xfId="8" applyFont="1" applyFill="1" applyBorder="1" applyAlignment="1">
      <alignment vertical="center"/>
    </xf>
    <xf numFmtId="173" fontId="22" fillId="7" borderId="57" xfId="8" applyFont="1" applyFill="1" applyBorder="1" applyAlignment="1">
      <alignment vertical="center"/>
    </xf>
    <xf numFmtId="10" fontId="22" fillId="7" borderId="1" xfId="0" applyNumberFormat="1" applyFont="1" applyFill="1" applyBorder="1" applyAlignment="1">
      <alignment vertical="center"/>
    </xf>
    <xf numFmtId="1" fontId="56" fillId="7" borderId="16" xfId="0" applyNumberFormat="1" applyFont="1" applyFill="1" applyBorder="1" applyAlignment="1">
      <alignment vertical="center" wrapText="1"/>
    </xf>
    <xf numFmtId="1" fontId="56" fillId="7" borderId="0" xfId="0" applyNumberFormat="1" applyFont="1" applyFill="1" applyAlignment="1">
      <alignment vertical="center" wrapText="1"/>
    </xf>
    <xf numFmtId="1" fontId="56" fillId="7" borderId="17" xfId="0" applyNumberFormat="1" applyFont="1" applyFill="1" applyBorder="1" applyAlignment="1">
      <alignment vertical="center" wrapText="1"/>
    </xf>
    <xf numFmtId="0" fontId="56" fillId="8" borderId="4" xfId="0" applyFont="1" applyFill="1" applyBorder="1" applyAlignment="1">
      <alignment horizontal="left" vertical="center"/>
    </xf>
    <xf numFmtId="0" fontId="56" fillId="8" borderId="4" xfId="0" applyFont="1" applyFill="1" applyBorder="1" applyAlignment="1">
      <alignment horizontal="justify" vertical="center"/>
    </xf>
    <xf numFmtId="0" fontId="56" fillId="8" borderId="4" xfId="0" applyFont="1" applyFill="1" applyBorder="1" applyAlignment="1">
      <alignment horizontal="center" vertical="center"/>
    </xf>
    <xf numFmtId="0" fontId="56" fillId="8" borderId="4" xfId="0" applyFont="1" applyFill="1" applyBorder="1" applyAlignment="1">
      <alignment horizontal="justify" vertical="center" wrapText="1"/>
    </xf>
    <xf numFmtId="170" fontId="56" fillId="8" borderId="4" xfId="0" applyNumberFormat="1" applyFont="1" applyFill="1" applyBorder="1" applyAlignment="1">
      <alignment horizontal="center" vertical="center"/>
    </xf>
    <xf numFmtId="173" fontId="56" fillId="8" borderId="4" xfId="8" applyFont="1" applyFill="1" applyBorder="1" applyAlignment="1">
      <alignment vertical="center"/>
    </xf>
    <xf numFmtId="0" fontId="56" fillId="8" borderId="4" xfId="0" applyFont="1" applyFill="1" applyBorder="1" applyAlignment="1">
      <alignment vertical="center"/>
    </xf>
    <xf numFmtId="172" fontId="56" fillId="8" borderId="4" xfId="0" applyNumberFormat="1" applyFont="1" applyFill="1" applyBorder="1" applyAlignment="1">
      <alignment horizontal="center" vertical="center"/>
    </xf>
    <xf numFmtId="0" fontId="58" fillId="8" borderId="4" xfId="0" applyFont="1" applyFill="1" applyBorder="1"/>
    <xf numFmtId="0" fontId="59" fillId="8" borderId="4" xfId="0" applyFont="1" applyFill="1" applyBorder="1"/>
    <xf numFmtId="0" fontId="58" fillId="4" borderId="4" xfId="0" applyFont="1" applyFill="1" applyBorder="1"/>
    <xf numFmtId="173" fontId="58" fillId="4" borderId="4" xfId="8" applyFont="1" applyFill="1" applyBorder="1"/>
    <xf numFmtId="10" fontId="58" fillId="4" borderId="4" xfId="0" applyNumberFormat="1" applyFont="1" applyFill="1" applyBorder="1"/>
    <xf numFmtId="0" fontId="58" fillId="4" borderId="5" xfId="0" applyFont="1" applyFill="1" applyBorder="1" applyAlignment="1">
      <alignment horizontal="center" vertical="center"/>
    </xf>
    <xf numFmtId="1" fontId="56" fillId="10" borderId="53" xfId="0" applyNumberFormat="1" applyFont="1" applyFill="1" applyBorder="1" applyAlignment="1">
      <alignment horizontal="justify" vertical="center"/>
    </xf>
    <xf numFmtId="0" fontId="56" fillId="10" borderId="58" xfId="0" applyFont="1" applyFill="1" applyBorder="1" applyAlignment="1">
      <alignment horizontal="left" vertical="center"/>
    </xf>
    <xf numFmtId="0" fontId="56" fillId="10" borderId="53" xfId="0" applyFont="1" applyFill="1" applyBorder="1" applyAlignment="1">
      <alignment horizontal="left" vertical="center"/>
    </xf>
    <xf numFmtId="0" fontId="56" fillId="10" borderId="53" xfId="0" applyFont="1" applyFill="1" applyBorder="1" applyAlignment="1">
      <alignment horizontal="justify" vertical="center"/>
    </xf>
    <xf numFmtId="0" fontId="56" fillId="10" borderId="53" xfId="0" applyFont="1" applyFill="1" applyBorder="1" applyAlignment="1">
      <alignment vertical="center"/>
    </xf>
    <xf numFmtId="0" fontId="56" fillId="10" borderId="53" xfId="0" applyFont="1" applyFill="1" applyBorder="1" applyAlignment="1">
      <alignment horizontal="justify" vertical="center" wrapText="1"/>
    </xf>
    <xf numFmtId="173" fontId="56" fillId="10" borderId="53" xfId="8" applyFont="1" applyFill="1" applyBorder="1" applyAlignment="1">
      <alignment vertical="center"/>
    </xf>
    <xf numFmtId="0" fontId="58" fillId="10" borderId="53" xfId="0" applyFont="1" applyFill="1" applyBorder="1"/>
    <xf numFmtId="0" fontId="59" fillId="10" borderId="53" xfId="0" applyFont="1" applyFill="1" applyBorder="1"/>
    <xf numFmtId="0" fontId="58" fillId="10" borderId="59" xfId="0" applyFont="1" applyFill="1" applyBorder="1" applyAlignment="1">
      <alignment horizontal="center" vertical="center"/>
    </xf>
    <xf numFmtId="0" fontId="22" fillId="7" borderId="0" xfId="0" applyFont="1" applyFill="1" applyAlignment="1">
      <alignment horizontal="center"/>
    </xf>
    <xf numFmtId="0" fontId="22" fillId="7" borderId="17" xfId="0" applyFont="1" applyFill="1" applyBorder="1" applyAlignment="1">
      <alignment horizontal="center"/>
    </xf>
    <xf numFmtId="0" fontId="22" fillId="7" borderId="76" xfId="0" applyFont="1" applyFill="1" applyBorder="1" applyAlignment="1">
      <alignment horizontal="justify" vertical="center"/>
    </xf>
    <xf numFmtId="0" fontId="22" fillId="7" borderId="7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5" xfId="0" applyFont="1" applyFill="1" applyBorder="1" applyAlignment="1">
      <alignment horizontal="justify" vertical="center" wrapText="1"/>
    </xf>
    <xf numFmtId="9" fontId="22" fillId="7" borderId="50" xfId="7" applyFont="1" applyFill="1" applyBorder="1" applyAlignment="1">
      <alignment horizontal="center" vertical="center"/>
    </xf>
    <xf numFmtId="173" fontId="22" fillId="7" borderId="15" xfId="8" applyFont="1" applyFill="1" applyBorder="1" applyAlignment="1">
      <alignment horizontal="center" vertical="center"/>
    </xf>
    <xf numFmtId="0" fontId="22" fillId="7" borderId="15" xfId="0" applyFont="1" applyFill="1" applyBorder="1" applyAlignment="1">
      <alignment horizontal="justify" vertical="center" wrapText="1"/>
    </xf>
    <xf numFmtId="173" fontId="22" fillId="0" borderId="1" xfId="8" applyFont="1" applyFill="1" applyBorder="1" applyAlignment="1">
      <alignment horizontal="center" vertical="center" wrapText="1"/>
    </xf>
    <xf numFmtId="1" fontId="22" fillId="0" borderId="57" xfId="0" applyNumberFormat="1" applyFont="1" applyFill="1" applyBorder="1" applyAlignment="1">
      <alignment horizontal="center" vertical="center"/>
    </xf>
    <xf numFmtId="0" fontId="22" fillId="0" borderId="59" xfId="0" applyFont="1" applyFill="1" applyBorder="1" applyAlignment="1">
      <alignment horizontal="left" vertical="center"/>
    </xf>
    <xf numFmtId="0" fontId="22" fillId="7" borderId="57" xfId="0" applyFont="1" applyFill="1" applyBorder="1" applyAlignment="1">
      <alignment horizontal="center" vertical="center"/>
    </xf>
    <xf numFmtId="1" fontId="22" fillId="7" borderId="1" xfId="0" applyNumberFormat="1" applyFont="1" applyFill="1" applyBorder="1" applyAlignment="1">
      <alignment horizontal="center" vertical="center"/>
    </xf>
    <xf numFmtId="1" fontId="22" fillId="7" borderId="57" xfId="0" applyNumberFormat="1" applyFont="1" applyFill="1" applyBorder="1" applyAlignment="1">
      <alignment horizontal="center" vertical="center"/>
    </xf>
    <xf numFmtId="1" fontId="58" fillId="0" borderId="1" xfId="0" applyNumberFormat="1" applyFont="1" applyBorder="1" applyAlignment="1">
      <alignment horizontal="center" vertical="center"/>
    </xf>
    <xf numFmtId="1" fontId="58" fillId="0" borderId="57" xfId="0" applyNumberFormat="1" applyFont="1" applyBorder="1" applyAlignment="1">
      <alignment horizontal="center" vertical="center"/>
    </xf>
    <xf numFmtId="0" fontId="58" fillId="0" borderId="1" xfId="0" applyFont="1" applyBorder="1" applyAlignment="1">
      <alignment horizontal="center" vertical="center"/>
    </xf>
    <xf numFmtId="0" fontId="58" fillId="0" borderId="57" xfId="0" applyFont="1" applyBorder="1" applyAlignment="1">
      <alignment horizontal="center" vertical="center"/>
    </xf>
    <xf numFmtId="173" fontId="58" fillId="0" borderId="57" xfId="8" applyFont="1" applyBorder="1" applyAlignment="1">
      <alignment horizontal="center" vertical="center"/>
    </xf>
    <xf numFmtId="0" fontId="58" fillId="0" borderId="76" xfId="0" applyFont="1" applyBorder="1" applyAlignment="1">
      <alignment horizontal="center" vertical="center" wrapText="1"/>
    </xf>
    <xf numFmtId="1" fontId="56" fillId="7" borderId="16" xfId="0" applyNumberFormat="1" applyFont="1" applyFill="1" applyBorder="1" applyAlignment="1">
      <alignment vertical="center"/>
    </xf>
    <xf numFmtId="1" fontId="56" fillId="7" borderId="0" xfId="0" applyNumberFormat="1" applyFont="1" applyFill="1" applyAlignment="1">
      <alignment vertical="center"/>
    </xf>
    <xf numFmtId="1" fontId="56" fillId="7" borderId="17" xfId="0" applyNumberFormat="1" applyFont="1" applyFill="1" applyBorder="1" applyAlignment="1">
      <alignment vertical="center"/>
    </xf>
    <xf numFmtId="173" fontId="56" fillId="10" borderId="4" xfId="8" applyFont="1" applyFill="1" applyBorder="1" applyAlignment="1">
      <alignment horizontal="left" vertical="center"/>
    </xf>
    <xf numFmtId="0" fontId="22" fillId="7" borderId="17" xfId="0" applyFont="1" applyFill="1" applyBorder="1"/>
    <xf numFmtId="173" fontId="22" fillId="0" borderId="76" xfId="8" applyFont="1" applyFill="1" applyBorder="1" applyAlignment="1">
      <alignment horizontal="center" vertical="center"/>
    </xf>
    <xf numFmtId="1" fontId="22" fillId="0" borderId="76" xfId="0" applyNumberFormat="1" applyFont="1" applyFill="1" applyBorder="1" applyAlignment="1">
      <alignment horizontal="center" vertical="center" wrapText="1"/>
    </xf>
    <xf numFmtId="9" fontId="22" fillId="7" borderId="76" xfId="7" applyFont="1" applyFill="1" applyBorder="1" applyAlignment="1">
      <alignment horizontal="center" vertical="center"/>
    </xf>
    <xf numFmtId="0" fontId="22" fillId="7" borderId="1" xfId="0" applyFont="1" applyFill="1" applyBorder="1" applyAlignment="1">
      <alignment vertical="center" wrapText="1"/>
    </xf>
    <xf numFmtId="173" fontId="22" fillId="7" borderId="1" xfId="8" applyFont="1" applyFill="1" applyBorder="1" applyAlignment="1">
      <alignment vertical="center" wrapText="1"/>
    </xf>
    <xf numFmtId="10" fontId="22" fillId="7" borderId="1" xfId="0" applyNumberFormat="1" applyFont="1" applyFill="1" applyBorder="1" applyAlignment="1">
      <alignment vertical="center" wrapText="1"/>
    </xf>
    <xf numFmtId="0" fontId="22" fillId="7" borderId="1" xfId="0" applyFont="1" applyFill="1" applyBorder="1" applyAlignment="1">
      <alignment horizontal="center" vertical="center" wrapText="1"/>
    </xf>
    <xf numFmtId="14" fontId="22" fillId="7" borderId="1" xfId="0" applyNumberFormat="1" applyFont="1" applyFill="1" applyBorder="1" applyAlignment="1">
      <alignment vertical="center" wrapText="1"/>
    </xf>
    <xf numFmtId="0" fontId="22" fillId="0" borderId="50" xfId="0" applyFont="1" applyBorder="1" applyAlignment="1">
      <alignment horizontal="left" vertical="center" wrapText="1"/>
    </xf>
    <xf numFmtId="173" fontId="22" fillId="0" borderId="31" xfId="8" applyFont="1" applyFill="1" applyBorder="1" applyAlignment="1">
      <alignment horizontal="center" vertical="center"/>
    </xf>
    <xf numFmtId="173" fontId="22" fillId="0" borderId="41" xfId="8" applyFont="1" applyFill="1" applyBorder="1" applyAlignment="1">
      <alignment horizontal="center" vertical="center"/>
    </xf>
    <xf numFmtId="0" fontId="22" fillId="0" borderId="32" xfId="0" applyFont="1" applyFill="1" applyBorder="1" applyAlignment="1">
      <alignment horizontal="left" vertical="center" wrapText="1"/>
    </xf>
    <xf numFmtId="0" fontId="22" fillId="7" borderId="15" xfId="0" applyFont="1" applyFill="1" applyBorder="1" applyAlignment="1">
      <alignment horizontal="center" vertical="center" wrapText="1"/>
    </xf>
    <xf numFmtId="14" fontId="22" fillId="7" borderId="57" xfId="0" applyNumberFormat="1" applyFont="1" applyFill="1" applyBorder="1" applyAlignment="1">
      <alignment vertical="center" wrapText="1"/>
    </xf>
    <xf numFmtId="173" fontId="22" fillId="0" borderId="53" xfId="8" applyFont="1" applyFill="1" applyBorder="1" applyAlignment="1">
      <alignment horizontal="center" vertical="center"/>
    </xf>
    <xf numFmtId="1" fontId="22" fillId="0" borderId="59" xfId="0" applyNumberFormat="1" applyFont="1" applyFill="1" applyBorder="1" applyAlignment="1">
      <alignment horizontal="center" vertical="center" wrapText="1"/>
    </xf>
    <xf numFmtId="0" fontId="22" fillId="0" borderId="57" xfId="0" applyFont="1" applyFill="1" applyBorder="1" applyAlignment="1">
      <alignment horizontal="left" vertical="center" wrapText="1"/>
    </xf>
    <xf numFmtId="173" fontId="22" fillId="0" borderId="58" xfId="8" applyFont="1" applyFill="1" applyBorder="1" applyAlignment="1">
      <alignment horizontal="center" vertical="center"/>
    </xf>
    <xf numFmtId="1" fontId="22" fillId="0" borderId="57" xfId="0" applyNumberFormat="1" applyFont="1" applyFill="1" applyBorder="1" applyAlignment="1">
      <alignment horizontal="center" vertical="center" wrapText="1"/>
    </xf>
    <xf numFmtId="0" fontId="22" fillId="7" borderId="0" xfId="0" applyFont="1" applyFill="1" applyBorder="1"/>
    <xf numFmtId="197" fontId="22" fillId="0" borderId="1" xfId="8" applyNumberFormat="1" applyFont="1" applyFill="1" applyBorder="1" applyAlignment="1">
      <alignment horizontal="center" vertical="center"/>
    </xf>
    <xf numFmtId="186" fontId="22" fillId="0" borderId="1" xfId="8" applyNumberFormat="1" applyFont="1" applyFill="1" applyBorder="1" applyAlignment="1">
      <alignment horizontal="center" vertical="center"/>
    </xf>
    <xf numFmtId="0" fontId="56" fillId="8" borderId="0" xfId="0" applyFont="1" applyFill="1" applyAlignment="1">
      <alignment vertical="center"/>
    </xf>
    <xf numFmtId="0" fontId="56" fillId="8" borderId="0" xfId="0" applyFont="1" applyFill="1" applyAlignment="1">
      <alignment horizontal="center" vertical="center"/>
    </xf>
    <xf numFmtId="0" fontId="56" fillId="8" borderId="0" xfId="0" applyFont="1" applyFill="1" applyAlignment="1">
      <alignment horizontal="justify" vertical="center" wrapText="1"/>
    </xf>
    <xf numFmtId="170" fontId="56" fillId="8" borderId="0" xfId="0" applyNumberFormat="1" applyFont="1" applyFill="1" applyAlignment="1">
      <alignment horizontal="center" vertical="center"/>
    </xf>
    <xf numFmtId="173" fontId="56" fillId="8" borderId="0" xfId="8" applyFont="1" applyFill="1" applyAlignment="1">
      <alignment vertical="center"/>
    </xf>
    <xf numFmtId="1" fontId="56" fillId="8" borderId="0" xfId="0" applyNumberFormat="1" applyFont="1" applyFill="1" applyAlignment="1">
      <alignment vertical="center"/>
    </xf>
    <xf numFmtId="1" fontId="56" fillId="8" borderId="0" xfId="0" applyNumberFormat="1" applyFont="1" applyFill="1" applyAlignment="1">
      <alignment horizontal="center" vertical="center"/>
    </xf>
    <xf numFmtId="1" fontId="58" fillId="8" borderId="0" xfId="0" applyNumberFormat="1" applyFont="1" applyFill="1"/>
    <xf numFmtId="0" fontId="58" fillId="4" borderId="0" xfId="0" applyFont="1" applyFill="1"/>
    <xf numFmtId="173" fontId="58" fillId="4" borderId="0" xfId="8" applyFont="1" applyFill="1"/>
    <xf numFmtId="0" fontId="58" fillId="4" borderId="17" xfId="0" applyFont="1" applyFill="1" applyBorder="1" applyAlignment="1">
      <alignment horizontal="center" vertical="center"/>
    </xf>
    <xf numFmtId="0" fontId="56" fillId="7" borderId="50" xfId="0" applyFont="1" applyFill="1" applyBorder="1" applyAlignment="1">
      <alignment vertical="center" wrapText="1"/>
    </xf>
    <xf numFmtId="0" fontId="56" fillId="7" borderId="55" xfId="0" applyFont="1" applyFill="1" applyBorder="1" applyAlignment="1">
      <alignment vertical="center" wrapText="1"/>
    </xf>
    <xf numFmtId="0" fontId="56" fillId="7" borderId="52" xfId="0" applyFont="1" applyFill="1" applyBorder="1" applyAlignment="1">
      <alignment vertical="center" wrapText="1"/>
    </xf>
    <xf numFmtId="0" fontId="56" fillId="7" borderId="16" xfId="0" applyFont="1" applyFill="1" applyBorder="1" applyAlignment="1">
      <alignment vertical="center" wrapText="1"/>
    </xf>
    <xf numFmtId="0" fontId="56" fillId="7" borderId="0" xfId="0" applyFont="1" applyFill="1" applyAlignment="1">
      <alignment vertical="center" wrapText="1"/>
    </xf>
    <xf numFmtId="0" fontId="56" fillId="7" borderId="17" xfId="0" applyFont="1" applyFill="1" applyBorder="1" applyAlignment="1">
      <alignment vertical="center" wrapText="1"/>
    </xf>
    <xf numFmtId="0" fontId="22" fillId="7" borderId="0" xfId="0" applyFont="1" applyFill="1" applyAlignment="1">
      <alignment horizontal="justify"/>
    </xf>
    <xf numFmtId="0" fontId="22" fillId="0" borderId="76" xfId="0" applyFont="1" applyBorder="1" applyAlignment="1">
      <alignment horizontal="justify" vertical="center"/>
    </xf>
    <xf numFmtId="10" fontId="22" fillId="7" borderId="1" xfId="0" applyNumberFormat="1" applyFont="1" applyFill="1" applyBorder="1" applyAlignment="1">
      <alignment horizontal="center" vertical="center"/>
    </xf>
    <xf numFmtId="0" fontId="22" fillId="0" borderId="1" xfId="0" applyFont="1" applyBorder="1" applyAlignment="1">
      <alignment horizontal="center" vertical="center" wrapText="1"/>
    </xf>
    <xf numFmtId="0" fontId="22" fillId="7" borderId="1" xfId="0" applyFont="1" applyFill="1" applyBorder="1" applyAlignment="1">
      <alignment horizontal="justify" vertical="center" wrapText="1"/>
    </xf>
    <xf numFmtId="3" fontId="22" fillId="0" borderId="1" xfId="0" applyNumberFormat="1" applyFont="1" applyBorder="1" applyAlignment="1">
      <alignment horizontal="center" vertical="center" wrapText="1"/>
    </xf>
    <xf numFmtId="9" fontId="22" fillId="7" borderId="1" xfId="7" applyFont="1" applyFill="1" applyBorder="1" applyAlignment="1">
      <alignment horizontal="center" vertical="center" wrapText="1"/>
    </xf>
    <xf numFmtId="173" fontId="22" fillId="7" borderId="76" xfId="8" applyFont="1" applyFill="1" applyBorder="1" applyAlignment="1">
      <alignment horizontal="center" vertical="center"/>
    </xf>
    <xf numFmtId="10" fontId="22" fillId="7" borderId="76" xfId="0" applyNumberFormat="1" applyFont="1" applyFill="1" applyBorder="1" applyAlignment="1">
      <alignment horizontal="center" vertical="center"/>
    </xf>
    <xf numFmtId="0" fontId="22" fillId="7" borderId="76" xfId="0" applyFont="1" applyFill="1" applyBorder="1" applyAlignment="1">
      <alignment horizontal="center" vertical="center" wrapText="1"/>
    </xf>
    <xf numFmtId="14" fontId="22" fillId="7" borderId="76" xfId="0" applyNumberFormat="1" applyFont="1" applyFill="1" applyBorder="1" applyAlignment="1">
      <alignment horizontal="center" vertical="center"/>
    </xf>
    <xf numFmtId="0" fontId="22" fillId="0" borderId="5" xfId="0" applyFont="1" applyBorder="1" applyAlignment="1">
      <alignment horizontal="justify" vertical="center"/>
    </xf>
    <xf numFmtId="173" fontId="22" fillId="0" borderId="0" xfId="8"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5" xfId="0" applyFont="1" applyFill="1" applyBorder="1" applyAlignment="1">
      <alignment horizontal="justify" vertical="center"/>
    </xf>
    <xf numFmtId="173" fontId="22" fillId="0" borderId="3" xfId="8" applyFont="1" applyFill="1" applyBorder="1" applyAlignment="1">
      <alignment horizontal="center" vertical="center"/>
    </xf>
    <xf numFmtId="173" fontId="22" fillId="0" borderId="4" xfId="8" applyFont="1" applyFill="1" applyBorder="1" applyAlignment="1">
      <alignment horizontal="center" vertical="center"/>
    </xf>
    <xf numFmtId="0" fontId="22" fillId="0" borderId="4" xfId="0" applyFont="1" applyBorder="1" applyAlignment="1">
      <alignment horizontal="justify" vertical="center"/>
    </xf>
    <xf numFmtId="170" fontId="56" fillId="10" borderId="4" xfId="0" applyNumberFormat="1" applyFont="1" applyFill="1" applyBorder="1" applyAlignment="1">
      <alignment horizontal="center" vertical="center"/>
    </xf>
    <xf numFmtId="172" fontId="56" fillId="10" borderId="4" xfId="0" applyNumberFormat="1" applyFont="1" applyFill="1" applyBorder="1" applyAlignment="1">
      <alignment horizontal="center" vertical="center"/>
    </xf>
    <xf numFmtId="0" fontId="58" fillId="10" borderId="1" xfId="0" applyFont="1" applyFill="1" applyBorder="1" applyAlignment="1">
      <alignment wrapText="1"/>
    </xf>
    <xf numFmtId="0" fontId="58" fillId="10" borderId="4" xfId="0" applyFont="1" applyFill="1" applyBorder="1" applyAlignment="1">
      <alignment wrapText="1"/>
    </xf>
    <xf numFmtId="0" fontId="22" fillId="7" borderId="76" xfId="0" applyFont="1" applyFill="1" applyBorder="1" applyAlignment="1">
      <alignment horizontal="justify" vertical="center" wrapText="1"/>
    </xf>
    <xf numFmtId="173" fontId="22" fillId="0" borderId="76" xfId="8" applyFont="1" applyFill="1" applyBorder="1" applyAlignment="1">
      <alignment horizontal="center" vertical="center" wrapText="1"/>
    </xf>
    <xf numFmtId="0" fontId="22" fillId="0" borderId="1" xfId="0" applyFont="1" applyFill="1" applyBorder="1" applyAlignment="1">
      <alignment horizontal="left" vertical="center"/>
    </xf>
    <xf numFmtId="0" fontId="22" fillId="7" borderId="1" xfId="0" applyFont="1" applyFill="1" applyBorder="1" applyAlignment="1">
      <alignment vertical="center"/>
    </xf>
    <xf numFmtId="10" fontId="22" fillId="7" borderId="57" xfId="0" applyNumberFormat="1" applyFont="1" applyFill="1" applyBorder="1" applyAlignment="1">
      <alignment horizontal="center" vertical="center"/>
    </xf>
    <xf numFmtId="0" fontId="56" fillId="8" borderId="55" xfId="0" applyFont="1" applyFill="1" applyBorder="1" applyAlignment="1">
      <alignment horizontal="justify" vertical="center" wrapText="1"/>
    </xf>
    <xf numFmtId="0" fontId="56" fillId="7" borderId="55" xfId="0" applyFont="1" applyFill="1" applyBorder="1" applyAlignment="1">
      <alignment vertical="center"/>
    </xf>
    <xf numFmtId="0" fontId="56" fillId="7" borderId="52" xfId="0" applyFont="1" applyFill="1" applyBorder="1" applyAlignment="1">
      <alignment vertical="center"/>
    </xf>
    <xf numFmtId="0" fontId="56" fillId="10" borderId="4" xfId="0" applyFont="1" applyFill="1" applyBorder="1" applyAlignment="1">
      <alignment vertical="center" wrapText="1"/>
    </xf>
    <xf numFmtId="0" fontId="56" fillId="10" borderId="4" xfId="0" applyFont="1" applyFill="1" applyBorder="1" applyAlignment="1">
      <alignment horizontal="center" vertical="center" wrapText="1"/>
    </xf>
    <xf numFmtId="1" fontId="56" fillId="7" borderId="58" xfId="0" applyNumberFormat="1" applyFont="1" applyFill="1" applyBorder="1" applyAlignment="1">
      <alignment vertical="center"/>
    </xf>
    <xf numFmtId="1" fontId="56" fillId="7" borderId="59" xfId="0" applyNumberFormat="1" applyFont="1" applyFill="1" applyBorder="1" applyAlignment="1">
      <alignment vertical="center"/>
    </xf>
    <xf numFmtId="0" fontId="56" fillId="7" borderId="53" xfId="0" applyFont="1" applyFill="1" applyBorder="1" applyAlignment="1">
      <alignment vertical="center"/>
    </xf>
    <xf numFmtId="0" fontId="56" fillId="7" borderId="59" xfId="0" applyFont="1" applyFill="1" applyBorder="1" applyAlignment="1">
      <alignment vertical="center"/>
    </xf>
    <xf numFmtId="0" fontId="22" fillId="0" borderId="57" xfId="0" applyFont="1" applyBorder="1" applyAlignment="1">
      <alignment horizontal="center" vertical="center"/>
    </xf>
    <xf numFmtId="0" fontId="22" fillId="7" borderId="57" xfId="0" applyFont="1" applyFill="1" applyBorder="1" applyAlignment="1">
      <alignment horizontal="center" vertical="center" wrapText="1"/>
    </xf>
    <xf numFmtId="0" fontId="22" fillId="7" borderId="57" xfId="0" applyFont="1" applyFill="1" applyBorder="1" applyAlignment="1">
      <alignment horizontal="justify" vertical="center" wrapText="1"/>
    </xf>
    <xf numFmtId="0" fontId="22" fillId="7" borderId="57" xfId="7" applyNumberFormat="1" applyFont="1" applyFill="1" applyBorder="1" applyAlignment="1">
      <alignment horizontal="center" vertical="center"/>
    </xf>
    <xf numFmtId="173" fontId="22" fillId="7" borderId="57" xfId="8" applyFont="1" applyFill="1" applyBorder="1" applyAlignment="1">
      <alignment horizontal="center" vertical="center"/>
    </xf>
    <xf numFmtId="0" fontId="22" fillId="7" borderId="57" xfId="0" applyFont="1" applyFill="1" applyBorder="1" applyAlignment="1">
      <alignment horizontal="left" vertical="center" wrapText="1"/>
    </xf>
    <xf numFmtId="0" fontId="22" fillId="0" borderId="57" xfId="0" applyFont="1" applyFill="1" applyBorder="1" applyAlignment="1">
      <alignment horizontal="justify" vertical="center"/>
    </xf>
    <xf numFmtId="173" fontId="22" fillId="0" borderId="57" xfId="8" applyFont="1" applyFill="1" applyBorder="1" applyAlignment="1">
      <alignment horizontal="center" vertical="center"/>
    </xf>
    <xf numFmtId="10" fontId="58" fillId="0" borderId="57" xfId="0" applyNumberFormat="1" applyFont="1" applyBorder="1" applyAlignment="1">
      <alignment horizontal="center" vertical="center"/>
    </xf>
    <xf numFmtId="0" fontId="58" fillId="0" borderId="57" xfId="0" applyFont="1" applyBorder="1" applyAlignment="1">
      <alignment horizontal="center" vertical="center" wrapText="1"/>
    </xf>
    <xf numFmtId="14" fontId="58" fillId="0" borderId="57" xfId="0" applyNumberFormat="1" applyFont="1" applyBorder="1" applyAlignment="1">
      <alignment horizontal="center" vertical="center"/>
    </xf>
    <xf numFmtId="14" fontId="58" fillId="0" borderId="57" xfId="0" applyNumberFormat="1" applyFont="1" applyBorder="1" applyAlignment="1">
      <alignment horizontal="center" vertical="center" wrapText="1"/>
    </xf>
    <xf numFmtId="0" fontId="56" fillId="7" borderId="1" xfId="0" applyFont="1" applyFill="1" applyBorder="1" applyAlignment="1">
      <alignment horizontal="center" vertical="center"/>
    </xf>
    <xf numFmtId="0" fontId="56" fillId="7" borderId="1" xfId="0" applyFont="1" applyFill="1" applyBorder="1" applyAlignment="1">
      <alignment horizontal="justify" vertical="center"/>
    </xf>
    <xf numFmtId="0" fontId="56" fillId="7" borderId="1" xfId="0" applyFont="1" applyFill="1" applyBorder="1" applyAlignment="1">
      <alignment horizontal="center" vertical="center" wrapText="1"/>
    </xf>
    <xf numFmtId="9" fontId="56" fillId="7" borderId="1" xfId="7" applyFont="1" applyFill="1" applyBorder="1" applyAlignment="1">
      <alignment horizontal="center" vertical="center"/>
    </xf>
    <xf numFmtId="173" fontId="56" fillId="0" borderId="1" xfId="8" applyFont="1" applyFill="1" applyBorder="1" applyAlignment="1">
      <alignment horizontal="center" vertical="center"/>
    </xf>
    <xf numFmtId="173" fontId="56" fillId="0" borderId="1" xfId="8" applyNumberFormat="1" applyFont="1" applyFill="1" applyBorder="1" applyAlignment="1">
      <alignment horizontal="center" vertical="center"/>
    </xf>
    <xf numFmtId="169" fontId="56" fillId="0" borderId="1" xfId="0" applyNumberFormat="1" applyFont="1" applyFill="1" applyBorder="1" applyAlignment="1">
      <alignment horizontal="center" vertical="center"/>
    </xf>
    <xf numFmtId="169" fontId="56" fillId="0" borderId="1" xfId="0" applyNumberFormat="1" applyFont="1" applyFill="1" applyBorder="1" applyAlignment="1">
      <alignment horizontal="left" vertical="center"/>
    </xf>
    <xf numFmtId="169" fontId="56" fillId="7" borderId="3" xfId="0" applyNumberFormat="1" applyFont="1" applyFill="1" applyBorder="1" applyAlignment="1">
      <alignment vertical="center" wrapText="1"/>
    </xf>
    <xf numFmtId="169" fontId="56" fillId="7" borderId="4" xfId="0" applyNumberFormat="1" applyFont="1" applyFill="1" applyBorder="1" applyAlignment="1">
      <alignment vertical="center" wrapText="1"/>
    </xf>
    <xf numFmtId="169" fontId="56" fillId="7" borderId="5" xfId="0" applyNumberFormat="1" applyFont="1" applyFill="1" applyBorder="1" applyAlignment="1">
      <alignment vertical="center" wrapText="1"/>
    </xf>
    <xf numFmtId="0" fontId="57" fillId="0" borderId="0" xfId="0" applyFont="1"/>
    <xf numFmtId="1" fontId="22" fillId="0" borderId="0" xfId="0" applyNumberFormat="1" applyFont="1"/>
    <xf numFmtId="0" fontId="22" fillId="0" borderId="0" xfId="0" applyFont="1" applyAlignment="1">
      <alignment horizontal="justify" vertical="center"/>
    </xf>
    <xf numFmtId="0" fontId="22" fillId="0" borderId="0" xfId="0" applyFont="1" applyAlignment="1">
      <alignment horizontal="justify"/>
    </xf>
    <xf numFmtId="0" fontId="22" fillId="0" borderId="0" xfId="0" applyFont="1" applyAlignment="1">
      <alignment horizontal="center"/>
    </xf>
    <xf numFmtId="170" fontId="22" fillId="0" borderId="0" xfId="0" applyNumberFormat="1" applyFont="1" applyAlignment="1">
      <alignment horizontal="center" vertical="center"/>
    </xf>
    <xf numFmtId="169" fontId="24" fillId="0" borderId="0" xfId="31" applyNumberFormat="1" applyFont="1" applyAlignment="1">
      <alignment horizontal="center" vertical="center"/>
    </xf>
    <xf numFmtId="169" fontId="22" fillId="0" borderId="0" xfId="0" applyNumberFormat="1"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left"/>
    </xf>
    <xf numFmtId="173" fontId="58" fillId="0" borderId="0" xfId="0" applyNumberFormat="1" applyFont="1"/>
    <xf numFmtId="0" fontId="58" fillId="0" borderId="0" xfId="0" applyFont="1" applyAlignment="1">
      <alignment horizontal="justify"/>
    </xf>
    <xf numFmtId="3" fontId="22" fillId="0" borderId="0" xfId="0" applyNumberFormat="1" applyFont="1" applyAlignment="1">
      <alignment horizontal="right" vertical="center"/>
    </xf>
    <xf numFmtId="187" fontId="22" fillId="0" borderId="0" xfId="0" applyNumberFormat="1" applyFont="1" applyFill="1" applyAlignment="1">
      <alignment horizontal="right" vertical="center"/>
    </xf>
    <xf numFmtId="4" fontId="22" fillId="0" borderId="0" xfId="0" applyNumberFormat="1" applyFont="1" applyFill="1" applyAlignment="1">
      <alignment horizontal="right" vertical="center"/>
    </xf>
    <xf numFmtId="169" fontId="22" fillId="0" borderId="0" xfId="0" applyNumberFormat="1" applyFont="1" applyAlignment="1">
      <alignment horizontal="center" vertical="center"/>
    </xf>
    <xf numFmtId="4" fontId="32" fillId="0" borderId="0" xfId="0" applyNumberFormat="1" applyFont="1" applyFill="1" applyAlignment="1">
      <alignment horizontal="justify" vertical="center"/>
    </xf>
    <xf numFmtId="173" fontId="22" fillId="0" borderId="0" xfId="0" applyNumberFormat="1" applyFont="1" applyFill="1" applyAlignment="1">
      <alignment horizontal="justify" vertical="center"/>
    </xf>
    <xf numFmtId="0" fontId="32" fillId="0" borderId="0" xfId="0" applyFont="1" applyAlignment="1">
      <alignment horizontal="justify"/>
    </xf>
    <xf numFmtId="192" fontId="32" fillId="0" borderId="0" xfId="31" applyFont="1" applyAlignment="1">
      <alignment horizontal="justify"/>
    </xf>
    <xf numFmtId="169" fontId="22" fillId="0" borderId="0" xfId="0" applyNumberFormat="1" applyFont="1" applyAlignment="1">
      <alignment horizontal="justify"/>
    </xf>
    <xf numFmtId="192" fontId="22" fillId="0" borderId="0" xfId="31" applyFont="1" applyAlignment="1">
      <alignment horizontal="justify"/>
    </xf>
    <xf numFmtId="0" fontId="22" fillId="0" borderId="0" xfId="0" applyFont="1" applyAlignment="1">
      <alignment horizontal="center" wrapText="1"/>
    </xf>
    <xf numFmtId="0" fontId="3" fillId="0" borderId="0" xfId="0" applyFont="1" applyAlignment="1">
      <alignment horizontal="center" wrapText="1"/>
    </xf>
    <xf numFmtId="0" fontId="14" fillId="0" borderId="8" xfId="0" applyFont="1" applyBorder="1" applyAlignment="1">
      <alignment horizontal="center" vertical="center" wrapText="1"/>
    </xf>
    <xf numFmtId="0" fontId="2" fillId="0" borderId="35"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2" fontId="2" fillId="3" borderId="1" xfId="0" applyNumberFormat="1" applyFont="1" applyFill="1" applyBorder="1" applyAlignment="1">
      <alignment horizontal="center" vertical="center" wrapText="1"/>
    </xf>
    <xf numFmtId="3" fontId="2" fillId="3" borderId="8" xfId="0" applyNumberFormat="1" applyFont="1" applyFill="1" applyBorder="1" applyAlignment="1">
      <alignment horizontal="center" vertical="center" wrapText="1"/>
    </xf>
    <xf numFmtId="3" fontId="2" fillId="3" borderId="15" xfId="0" applyNumberFormat="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0" fontId="2" fillId="3" borderId="3"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wrapText="1"/>
    </xf>
    <xf numFmtId="49" fontId="2" fillId="3" borderId="3" xfId="0" applyNumberFormat="1" applyFont="1" applyFill="1" applyBorder="1" applyAlignment="1">
      <alignment horizontal="center" vertical="center" textRotation="90" wrapText="1"/>
    </xf>
    <xf numFmtId="49" fontId="2" fillId="3" borderId="5" xfId="0" applyNumberFormat="1" applyFont="1" applyFill="1" applyBorder="1" applyAlignment="1">
      <alignment horizontal="center" vertical="center" textRotation="90" wrapText="1"/>
    </xf>
    <xf numFmtId="1" fontId="2" fillId="3" borderId="8" xfId="0" applyNumberFormat="1" applyFont="1" applyFill="1" applyBorder="1" applyAlignment="1">
      <alignment horizontal="center" vertical="center" wrapText="1"/>
    </xf>
    <xf numFmtId="1" fontId="2" fillId="3" borderId="15"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8" xfId="0" applyFont="1" applyFill="1" applyBorder="1" applyAlignment="1">
      <alignment horizontal="center" vertical="center" wrapText="1"/>
    </xf>
    <xf numFmtId="3" fontId="9"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9" fontId="9" fillId="5" borderId="1" xfId="5" applyFont="1" applyFill="1" applyBorder="1" applyAlignment="1">
      <alignment horizontal="center" vertical="center" wrapText="1"/>
    </xf>
    <xf numFmtId="167" fontId="5" fillId="0" borderId="1" xfId="4"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172" fontId="2" fillId="4" borderId="29" xfId="0" applyNumberFormat="1" applyFont="1" applyFill="1" applyBorder="1" applyAlignment="1">
      <alignment horizontal="center" vertical="center" textRotation="90" wrapText="1"/>
    </xf>
    <xf numFmtId="172" fontId="2" fillId="4" borderId="30" xfId="0" applyNumberFormat="1" applyFont="1" applyFill="1" applyBorder="1" applyAlignment="1">
      <alignment horizontal="center" vertical="center" textRotation="90" wrapText="1"/>
    </xf>
    <xf numFmtId="172" fontId="2" fillId="4" borderId="13" xfId="0" applyNumberFormat="1" applyFont="1" applyFill="1" applyBorder="1" applyAlignment="1">
      <alignment horizontal="center" vertical="center" textRotation="90" wrapText="1"/>
    </xf>
    <xf numFmtId="172" fontId="2" fillId="4" borderId="14" xfId="0" applyNumberFormat="1" applyFont="1" applyFill="1" applyBorder="1" applyAlignment="1">
      <alignment horizontal="center" vertical="center" textRotation="90"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2" fillId="3" borderId="13" xfId="0" applyFont="1" applyFill="1" applyBorder="1" applyAlignment="1">
      <alignment horizontal="center" vertical="center" textRotation="90" wrapText="1"/>
    </xf>
    <xf numFmtId="0" fontId="2" fillId="3" borderId="14" xfId="0" applyFont="1" applyFill="1" applyBorder="1" applyAlignment="1">
      <alignment horizontal="center" vertical="center" textRotation="90" wrapText="1"/>
    </xf>
    <xf numFmtId="0" fontId="2" fillId="6" borderId="35" xfId="0" applyFont="1" applyFill="1" applyBorder="1" applyAlignment="1">
      <alignment horizontal="left" vertical="center"/>
    </xf>
    <xf numFmtId="0" fontId="2" fillId="6" borderId="4" xfId="0" applyFont="1" applyFill="1" applyBorder="1" applyAlignment="1">
      <alignment horizontal="left" vertical="center"/>
    </xf>
    <xf numFmtId="0" fontId="2" fillId="8" borderId="4" xfId="0" applyFont="1" applyFill="1" applyBorder="1" applyAlignment="1">
      <alignment horizontal="left" vertical="center"/>
    </xf>
    <xf numFmtId="0" fontId="2" fillId="10" borderId="4" xfId="0" applyFont="1" applyFill="1" applyBorder="1" applyAlignment="1">
      <alignment horizontal="left" vertical="center"/>
    </xf>
    <xf numFmtId="171" fontId="2" fillId="3" borderId="8" xfId="6" applyFont="1" applyFill="1" applyBorder="1" applyAlignment="1">
      <alignment horizontal="center" vertical="center" wrapText="1"/>
    </xf>
    <xf numFmtId="171" fontId="2" fillId="3" borderId="15" xfId="6"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17" xfId="0" applyFont="1" applyFill="1" applyBorder="1" applyAlignment="1">
      <alignment horizontal="center" vertical="center" wrapText="1"/>
    </xf>
    <xf numFmtId="170" fontId="2" fillId="3" borderId="8" xfId="0" applyNumberFormat="1" applyFont="1" applyFill="1" applyBorder="1" applyAlignment="1">
      <alignment horizontal="center" vertical="center" wrapText="1"/>
    </xf>
    <xf numFmtId="170" fontId="2" fillId="3" borderId="15" xfId="0" applyNumberFormat="1" applyFont="1" applyFill="1" applyBorder="1" applyAlignment="1">
      <alignment horizontal="center" vertical="center" wrapText="1"/>
    </xf>
    <xf numFmtId="169" fontId="2" fillId="3" borderId="8" xfId="0" applyNumberFormat="1" applyFont="1" applyFill="1" applyBorder="1" applyAlignment="1">
      <alignment horizontal="center" vertical="center" wrapText="1"/>
    </xf>
    <xf numFmtId="169" fontId="2" fillId="3" borderId="15"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17" fillId="4" borderId="3" xfId="0" applyNumberFormat="1" applyFont="1" applyFill="1" applyBorder="1" applyAlignment="1">
      <alignment horizontal="center" vertical="center" wrapText="1"/>
    </xf>
    <xf numFmtId="3" fontId="17" fillId="4" borderId="4" xfId="0" applyNumberFormat="1" applyFont="1" applyFill="1" applyBorder="1" applyAlignment="1">
      <alignment horizontal="center" vertical="center" wrapText="1"/>
    </xf>
    <xf numFmtId="9" fontId="3" fillId="0" borderId="8" xfId="7" applyFont="1" applyFill="1" applyBorder="1" applyAlignment="1">
      <alignment horizontal="center" vertical="center" wrapText="1"/>
    </xf>
    <xf numFmtId="9" fontId="3" fillId="0" borderId="15" xfId="7" applyFont="1" applyFill="1" applyBorder="1" applyAlignment="1">
      <alignment horizontal="center" vertical="center" wrapText="1"/>
    </xf>
    <xf numFmtId="164" fontId="3" fillId="0" borderId="8" xfId="24" applyFont="1" applyFill="1" applyBorder="1" applyAlignment="1">
      <alignment horizontal="center" vertical="center" wrapText="1"/>
    </xf>
    <xf numFmtId="164" fontId="3" fillId="0" borderId="15" xfId="24" applyFont="1" applyFill="1" applyBorder="1" applyAlignment="1">
      <alignment horizontal="center" vertical="center" wrapText="1"/>
    </xf>
    <xf numFmtId="1" fontId="3" fillId="0" borderId="8"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174" fontId="3" fillId="0" borderId="8" xfId="0" applyNumberFormat="1" applyFont="1" applyFill="1" applyBorder="1" applyAlignment="1">
      <alignment horizontal="center" vertical="center"/>
    </xf>
    <xf numFmtId="174" fontId="3" fillId="0" borderId="15" xfId="0" applyNumberFormat="1" applyFont="1" applyFill="1" applyBorder="1" applyAlignment="1">
      <alignment horizontal="center" vertical="center"/>
    </xf>
    <xf numFmtId="9" fontId="3" fillId="0" borderId="1" xfId="7" applyFont="1" applyFill="1" applyBorder="1" applyAlignment="1">
      <alignment horizontal="center" vertical="center"/>
    </xf>
    <xf numFmtId="164" fontId="3" fillId="0" borderId="1" xfId="24" applyFont="1" applyFill="1" applyBorder="1" applyAlignment="1">
      <alignment horizontal="center" vertical="center"/>
    </xf>
    <xf numFmtId="1" fontId="3" fillId="0" borderId="1" xfId="0" applyNumberFormat="1" applyFont="1" applyFill="1" applyBorder="1" applyAlignment="1">
      <alignment horizontal="justify" vertical="center" wrapText="1"/>
    </xf>
    <xf numFmtId="174"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2" fillId="11" borderId="4" xfId="0" applyFont="1" applyFill="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3" fontId="3" fillId="0" borderId="8"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18" xfId="0" applyNumberFormat="1" applyFont="1" applyBorder="1" applyAlignment="1">
      <alignment horizontal="center" vertical="center"/>
    </xf>
    <xf numFmtId="0" fontId="2" fillId="12" borderId="4" xfId="0" applyFont="1" applyFill="1" applyBorder="1" applyAlignment="1">
      <alignment horizontal="left" vertical="center"/>
    </xf>
    <xf numFmtId="1" fontId="3" fillId="0" borderId="16" xfId="0" applyNumberFormat="1" applyFont="1" applyBorder="1" applyAlignment="1">
      <alignment horizontal="center"/>
    </xf>
    <xf numFmtId="1" fontId="3" fillId="0" borderId="0" xfId="0" applyNumberFormat="1" applyFont="1" applyBorder="1" applyAlignment="1">
      <alignment horizontal="center"/>
    </xf>
    <xf numFmtId="1" fontId="3" fillId="0" borderId="17" xfId="0" applyNumberFormat="1" applyFont="1" applyBorder="1" applyAlignment="1">
      <alignment horizontal="center"/>
    </xf>
    <xf numFmtId="1" fontId="3" fillId="0" borderId="4" xfId="0" applyNumberFormat="1" applyFont="1" applyBorder="1" applyAlignment="1">
      <alignment horizontal="center"/>
    </xf>
    <xf numFmtId="1" fontId="3" fillId="0" borderId="5" xfId="0" applyNumberFormat="1" applyFont="1" applyBorder="1" applyAlignment="1">
      <alignment horizontal="center"/>
    </xf>
    <xf numFmtId="1" fontId="3" fillId="0" borderId="3" xfId="0" applyNumberFormat="1" applyFont="1" applyBorder="1" applyAlignment="1">
      <alignment horizontal="center"/>
    </xf>
    <xf numFmtId="9" fontId="3" fillId="0" borderId="1" xfId="3" applyFont="1" applyBorder="1" applyAlignment="1">
      <alignment horizontal="center" vertical="center"/>
    </xf>
    <xf numFmtId="3"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174" fontId="3" fillId="0" borderId="1" xfId="0" applyNumberFormat="1" applyFont="1" applyBorder="1" applyAlignment="1">
      <alignment horizontal="center" vertical="center"/>
    </xf>
    <xf numFmtId="1" fontId="3" fillId="0" borderId="18"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 fontId="3" fillId="0" borderId="49" xfId="0" applyNumberFormat="1" applyFont="1" applyBorder="1" applyAlignment="1">
      <alignment horizontal="center" vertical="center" wrapText="1"/>
    </xf>
    <xf numFmtId="1" fontId="3" fillId="0" borderId="15"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1" fontId="3" fillId="0" borderId="49"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15" fillId="0" borderId="8" xfId="0" applyFont="1" applyFill="1" applyBorder="1" applyAlignment="1">
      <alignment horizontal="justify" vertical="center" wrapText="1"/>
    </xf>
    <xf numFmtId="0" fontId="15" fillId="0" borderId="15" xfId="0" applyFont="1" applyFill="1" applyBorder="1" applyAlignment="1">
      <alignment horizontal="justify" vertical="center" wrapText="1"/>
    </xf>
    <xf numFmtId="0" fontId="15" fillId="0" borderId="18" xfId="0" applyFont="1" applyFill="1" applyBorder="1" applyAlignment="1">
      <alignment horizontal="justify" vertical="center" wrapText="1"/>
    </xf>
    <xf numFmtId="9" fontId="3" fillId="0" borderId="8" xfId="7" applyFont="1" applyFill="1" applyBorder="1" applyAlignment="1">
      <alignment horizontal="center" vertical="center"/>
    </xf>
    <xf numFmtId="9" fontId="3" fillId="0" borderId="15" xfId="7" applyFont="1" applyFill="1" applyBorder="1" applyAlignment="1">
      <alignment horizontal="center" vertical="center"/>
    </xf>
    <xf numFmtId="9" fontId="3" fillId="0" borderId="18" xfId="7"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1" fontId="3" fillId="0" borderId="1" xfId="0" applyNumberFormat="1" applyFont="1" applyBorder="1" applyAlignment="1">
      <alignment horizontal="center" vertical="center" wrapText="1"/>
    </xf>
    <xf numFmtId="1" fontId="3" fillId="0" borderId="3"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xf>
    <xf numFmtId="14" fontId="3" fillId="0" borderId="15" xfId="0" applyNumberFormat="1" applyFont="1" applyFill="1" applyBorder="1" applyAlignment="1">
      <alignment horizontal="center" vertical="center"/>
    </xf>
    <xf numFmtId="14" fontId="3" fillId="0" borderId="18" xfId="0" applyNumberFormat="1" applyFont="1" applyFill="1" applyBorder="1" applyAlignment="1">
      <alignment horizontal="center" vertical="center"/>
    </xf>
    <xf numFmtId="9" fontId="3" fillId="0" borderId="8" xfId="3" applyFont="1" applyFill="1" applyBorder="1" applyAlignment="1">
      <alignment horizontal="center" vertical="center"/>
    </xf>
    <xf numFmtId="9" fontId="3" fillId="0" borderId="15" xfId="3" applyFont="1" applyFill="1" applyBorder="1" applyAlignment="1">
      <alignment horizontal="center" vertical="center"/>
    </xf>
    <xf numFmtId="9" fontId="3" fillId="0" borderId="18" xfId="3" applyFont="1" applyFill="1" applyBorder="1" applyAlignment="1">
      <alignment horizontal="center" vertical="center"/>
    </xf>
    <xf numFmtId="0" fontId="3" fillId="0" borderId="30"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4" xfId="0" applyFont="1" applyFill="1" applyBorder="1" applyAlignment="1">
      <alignment horizontal="justify" vertical="center" wrapText="1"/>
    </xf>
    <xf numFmtId="164" fontId="3" fillId="0" borderId="18" xfId="24" applyFont="1" applyFill="1" applyBorder="1" applyAlignment="1">
      <alignment horizontal="center" vertical="center" wrapText="1"/>
    </xf>
    <xf numFmtId="0" fontId="3" fillId="0" borderId="8"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8" xfId="0" applyFont="1" applyBorder="1" applyAlignment="1">
      <alignment horizontal="justify" vertical="center" wrapText="1"/>
    </xf>
    <xf numFmtId="9" fontId="3" fillId="0" borderId="49" xfId="7" applyFont="1" applyFill="1" applyBorder="1" applyAlignment="1">
      <alignment horizontal="center"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174" fontId="3" fillId="0" borderId="8" xfId="0" applyNumberFormat="1" applyFont="1" applyBorder="1" applyAlignment="1">
      <alignment horizontal="center" vertical="center"/>
    </xf>
    <xf numFmtId="174" fontId="3" fillId="0" borderId="15" xfId="0" applyNumberFormat="1" applyFont="1" applyBorder="1" applyAlignment="1">
      <alignment horizontal="center" vertical="center"/>
    </xf>
    <xf numFmtId="174" fontId="3" fillId="0" borderId="18" xfId="0" applyNumberFormat="1" applyFont="1" applyBorder="1" applyAlignment="1">
      <alignment horizontal="center" vertical="center"/>
    </xf>
    <xf numFmtId="1" fontId="3" fillId="0" borderId="8" xfId="0" applyNumberFormat="1" applyFont="1" applyBorder="1" applyAlignment="1">
      <alignment horizontal="center" vertical="center" wrapText="1"/>
    </xf>
    <xf numFmtId="9" fontId="3" fillId="0" borderId="8" xfId="3" applyFont="1" applyBorder="1" applyAlignment="1">
      <alignment horizontal="center" vertical="center"/>
    </xf>
    <xf numFmtId="9" fontId="3" fillId="0" borderId="15" xfId="3" applyFont="1" applyBorder="1" applyAlignment="1">
      <alignment horizontal="center" vertical="center"/>
    </xf>
    <xf numFmtId="9" fontId="3" fillId="0" borderId="18" xfId="3" applyFont="1" applyBorder="1" applyAlignment="1">
      <alignment horizontal="center" vertical="center"/>
    </xf>
    <xf numFmtId="3" fontId="3" fillId="0" borderId="8"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0" fontId="3" fillId="0" borderId="0" xfId="0" applyFont="1" applyAlignment="1">
      <alignment horizontal="justify" vertical="center" wrapText="1"/>
    </xf>
    <xf numFmtId="0" fontId="3" fillId="0" borderId="16" xfId="0" applyFont="1" applyBorder="1" applyAlignment="1">
      <alignment horizontal="justify" vertical="center" wrapText="1"/>
    </xf>
    <xf numFmtId="0" fontId="3" fillId="0" borderId="5" xfId="0" applyFont="1" applyBorder="1" applyAlignment="1">
      <alignment horizontal="justify" vertical="center" wrapText="1"/>
    </xf>
    <xf numFmtId="3" fontId="3" fillId="0" borderId="1" xfId="0" applyNumberFormat="1" applyFont="1" applyBorder="1" applyAlignment="1">
      <alignment horizontal="justify" vertical="center" wrapText="1"/>
    </xf>
    <xf numFmtId="3" fontId="3" fillId="0" borderId="49" xfId="0" applyNumberFormat="1" applyFont="1" applyBorder="1" applyAlignment="1">
      <alignment horizontal="center" vertical="center"/>
    </xf>
    <xf numFmtId="0" fontId="3" fillId="0" borderId="51" xfId="0" applyFont="1" applyFill="1" applyBorder="1" applyAlignment="1">
      <alignment horizontal="center" vertical="center" wrapText="1"/>
    </xf>
    <xf numFmtId="0" fontId="3" fillId="0" borderId="3" xfId="0" applyFont="1" applyFill="1" applyBorder="1" applyAlignment="1">
      <alignment horizontal="center" vertical="center" wrapText="1"/>
    </xf>
    <xf numFmtId="9" fontId="3" fillId="0" borderId="4" xfId="7" applyFont="1" applyFill="1" applyBorder="1" applyAlignment="1">
      <alignment horizontal="center" vertical="center" wrapText="1"/>
    </xf>
    <xf numFmtId="164" fontId="3" fillId="0" borderId="1" xfId="24" applyFont="1" applyFill="1" applyBorder="1" applyAlignment="1">
      <alignment horizontal="center" vertical="center" wrapText="1"/>
    </xf>
    <xf numFmtId="174" fontId="3" fillId="0" borderId="49" xfId="0" applyNumberFormat="1" applyFont="1" applyBorder="1" applyAlignment="1">
      <alignment horizontal="center" vertical="center"/>
    </xf>
    <xf numFmtId="0" fontId="3" fillId="0" borderId="49" xfId="0" applyFont="1" applyBorder="1" applyAlignment="1">
      <alignment horizontal="justify" vertical="center" wrapText="1"/>
    </xf>
    <xf numFmtId="2" fontId="3" fillId="0" borderId="1" xfId="0" applyNumberFormat="1" applyFont="1" applyFill="1" applyBorder="1" applyAlignment="1">
      <alignment horizontal="center" vertical="center" wrapText="1"/>
    </xf>
    <xf numFmtId="0" fontId="3" fillId="0" borderId="18" xfId="0" applyFont="1" applyFill="1" applyBorder="1" applyAlignment="1">
      <alignment horizontal="justify" vertical="center" wrapText="1"/>
    </xf>
    <xf numFmtId="9" fontId="3" fillId="0" borderId="49" xfId="3" applyFont="1" applyBorder="1" applyAlignment="1">
      <alignment horizontal="center" vertical="center"/>
    </xf>
    <xf numFmtId="3" fontId="3" fillId="0" borderId="49" xfId="0" applyNumberFormat="1" applyFont="1" applyBorder="1" applyAlignment="1">
      <alignment horizontal="center" vertical="center" wrapText="1"/>
    </xf>
    <xf numFmtId="9" fontId="3" fillId="0" borderId="1" xfId="7" applyFont="1" applyFill="1" applyBorder="1" applyAlignment="1">
      <alignment horizontal="center" vertical="center" wrapText="1"/>
    </xf>
    <xf numFmtId="1" fontId="3" fillId="0" borderId="16" xfId="0" applyNumberFormat="1" applyFont="1" applyBorder="1" applyAlignment="1">
      <alignment horizontal="justify"/>
    </xf>
    <xf numFmtId="0" fontId="2" fillId="0" borderId="0" xfId="0" applyFont="1" applyBorder="1" applyAlignment="1">
      <alignment horizontal="justify" vertical="center" wrapText="1"/>
    </xf>
    <xf numFmtId="0" fontId="2" fillId="0" borderId="17" xfId="0" applyFont="1" applyBorder="1" applyAlignment="1">
      <alignment horizontal="justify" vertical="center" wrapText="1"/>
    </xf>
    <xf numFmtId="0" fontId="3" fillId="0" borderId="0" xfId="0" applyFont="1" applyBorder="1" applyAlignment="1">
      <alignment horizontal="justify"/>
    </xf>
    <xf numFmtId="0" fontId="2" fillId="0" borderId="0" xfId="0" applyFont="1" applyAlignment="1">
      <alignment horizontal="justify" vertical="center" wrapText="1"/>
    </xf>
    <xf numFmtId="0" fontId="3" fillId="0" borderId="16" xfId="0" applyFont="1" applyBorder="1" applyAlignment="1">
      <alignment horizontal="justify"/>
    </xf>
    <xf numFmtId="0" fontId="3" fillId="0" borderId="0" xfId="0" applyFont="1" applyAlignment="1">
      <alignment horizontal="justify"/>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9" fontId="3" fillId="0" borderId="3" xfId="7" applyFont="1" applyFill="1" applyBorder="1" applyAlignment="1">
      <alignment horizontal="center" vertical="center"/>
    </xf>
    <xf numFmtId="0" fontId="3" fillId="0" borderId="5" xfId="0" applyFont="1" applyBorder="1" applyAlignment="1">
      <alignment horizontal="justify" vertical="center"/>
    </xf>
    <xf numFmtId="0" fontId="3" fillId="0" borderId="52" xfId="0" applyFont="1" applyBorder="1" applyAlignment="1">
      <alignment horizontal="justify" vertical="center"/>
    </xf>
    <xf numFmtId="0" fontId="3" fillId="0" borderId="49" xfId="0" applyFont="1" applyFill="1" applyBorder="1" applyAlignment="1">
      <alignment horizontal="justify" vertical="center"/>
    </xf>
    <xf numFmtId="9" fontId="15" fillId="0" borderId="49" xfId="7" applyFont="1" applyFill="1" applyBorder="1" applyAlignment="1">
      <alignment horizontal="center" vertical="center"/>
    </xf>
    <xf numFmtId="9" fontId="15" fillId="0" borderId="18" xfId="7" applyFont="1" applyFill="1" applyBorder="1" applyAlignment="1">
      <alignment horizontal="center" vertical="center"/>
    </xf>
    <xf numFmtId="164" fontId="3" fillId="0" borderId="3" xfId="24" applyFont="1" applyFill="1" applyBorder="1" applyAlignment="1">
      <alignment horizontal="center" vertical="center"/>
    </xf>
    <xf numFmtId="164" fontId="3" fillId="0" borderId="50" xfId="24" applyFont="1" applyFill="1" applyBorder="1" applyAlignment="1">
      <alignment horizontal="center" vertical="center"/>
    </xf>
    <xf numFmtId="0" fontId="3" fillId="0" borderId="31" xfId="0" applyFont="1" applyBorder="1" applyAlignment="1">
      <alignment horizontal="justify" vertical="center" wrapText="1"/>
    </xf>
    <xf numFmtId="0" fontId="20" fillId="0" borderId="32" xfId="0" applyFont="1" applyBorder="1" applyAlignment="1">
      <alignment horizontal="justify" vertical="center" wrapText="1"/>
    </xf>
    <xf numFmtId="3" fontId="3" fillId="0" borderId="19" xfId="0" applyNumberFormat="1" applyFont="1" applyBorder="1" applyAlignment="1">
      <alignment horizontal="center" vertical="center"/>
    </xf>
    <xf numFmtId="0" fontId="15" fillId="0" borderId="4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Fill="1" applyBorder="1" applyAlignment="1">
      <alignment horizontal="justify" vertical="center" wrapText="1"/>
    </xf>
    <xf numFmtId="1" fontId="15" fillId="0" borderId="49" xfId="0" applyNumberFormat="1" applyFont="1" applyFill="1" applyBorder="1" applyAlignment="1">
      <alignment horizontal="center" vertical="center"/>
    </xf>
    <xf numFmtId="1" fontId="15" fillId="0" borderId="18" xfId="0" applyNumberFormat="1" applyFont="1" applyFill="1" applyBorder="1" applyAlignment="1">
      <alignment horizontal="center" vertical="center"/>
    </xf>
    <xf numFmtId="0" fontId="3" fillId="0" borderId="49" xfId="0" applyFont="1" applyFill="1" applyBorder="1" applyAlignment="1">
      <alignment horizontal="center" vertical="center" wrapText="1"/>
    </xf>
    <xf numFmtId="2" fontId="3" fillId="0" borderId="49" xfId="0" applyNumberFormat="1" applyFont="1" applyFill="1" applyBorder="1" applyAlignment="1">
      <alignment horizontal="center" vertical="center" wrapText="1"/>
    </xf>
    <xf numFmtId="0" fontId="15" fillId="0" borderId="1" xfId="0" applyFont="1" applyFill="1" applyBorder="1" applyAlignment="1" applyProtection="1">
      <alignment horizontal="justify" vertical="center" wrapText="1"/>
      <protection locked="0"/>
    </xf>
    <xf numFmtId="0" fontId="15" fillId="0" borderId="19" xfId="0" applyFont="1" applyBorder="1" applyAlignment="1">
      <alignment horizontal="center" vertical="center" wrapText="1"/>
    </xf>
    <xf numFmtId="1" fontId="15" fillId="0" borderId="19" xfId="0" applyNumberFormat="1" applyFont="1" applyFill="1" applyBorder="1" applyAlignment="1">
      <alignment horizontal="center" vertical="center"/>
    </xf>
    <xf numFmtId="9" fontId="3" fillId="0" borderId="19" xfId="7" applyFont="1" applyFill="1" applyBorder="1" applyAlignment="1">
      <alignment horizontal="center" vertical="center"/>
    </xf>
    <xf numFmtId="174" fontId="3" fillId="0" borderId="19" xfId="0" applyNumberFormat="1" applyFont="1" applyBorder="1" applyAlignment="1">
      <alignment horizontal="center" vertical="center"/>
    </xf>
    <xf numFmtId="9" fontId="3" fillId="0" borderId="19" xfId="3" applyFont="1" applyBorder="1" applyAlignment="1">
      <alignment horizontal="center" vertical="center"/>
    </xf>
    <xf numFmtId="3" fontId="3" fillId="0" borderId="19"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3" fontId="2"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textRotation="90" wrapText="1"/>
    </xf>
    <xf numFmtId="49" fontId="5" fillId="3" borderId="1" xfId="0" applyNumberFormat="1" applyFont="1" applyFill="1" applyBorder="1" applyAlignment="1">
      <alignment horizontal="center" vertical="center" textRotation="90"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67" fontId="5" fillId="3" borderId="1" xfId="4" applyFont="1" applyFill="1" applyBorder="1" applyAlignment="1">
      <alignment horizontal="center" vertical="center"/>
    </xf>
    <xf numFmtId="168" fontId="5" fillId="3" borderId="1" xfId="0" applyNumberFormat="1"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6" fillId="3" borderId="1" xfId="0" applyFont="1" applyFill="1" applyBorder="1" applyAlignment="1">
      <alignment horizontal="center" vertical="center" wrapText="1"/>
    </xf>
    <xf numFmtId="1" fontId="15" fillId="7" borderId="1" xfId="2" applyNumberFormat="1" applyFont="1" applyFill="1" applyBorder="1" applyAlignment="1">
      <alignment horizontal="center" vertical="center" wrapText="1"/>
    </xf>
    <xf numFmtId="173" fontId="15" fillId="7" borderId="1" xfId="25" applyFont="1" applyFill="1" applyBorder="1" applyAlignment="1">
      <alignment horizontal="right" vertical="center" wrapText="1"/>
    </xf>
    <xf numFmtId="169" fontId="18" fillId="0" borderId="8" xfId="0" applyNumberFormat="1" applyFont="1" applyFill="1" applyBorder="1" applyAlignment="1">
      <alignment horizontal="center" vertical="center" wrapText="1"/>
    </xf>
    <xf numFmtId="169" fontId="18" fillId="0" borderId="18"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168" fontId="3" fillId="0" borderId="8" xfId="0" applyNumberFormat="1" applyFont="1" applyFill="1" applyBorder="1" applyAlignment="1">
      <alignment horizontal="center" vertical="center" wrapText="1"/>
    </xf>
    <xf numFmtId="168" fontId="3" fillId="0" borderId="15" xfId="0" applyNumberFormat="1" applyFont="1" applyFill="1" applyBorder="1" applyAlignment="1">
      <alignment horizontal="center" vertical="center" wrapText="1"/>
    </xf>
    <xf numFmtId="168" fontId="3" fillId="0" borderId="18" xfId="0" applyNumberFormat="1" applyFont="1" applyFill="1" applyBorder="1" applyAlignment="1">
      <alignment horizontal="center" vertical="center" wrapText="1"/>
    </xf>
    <xf numFmtId="168" fontId="3" fillId="0" borderId="1" xfId="0" applyNumberFormat="1" applyFont="1" applyBorder="1" applyAlignment="1" applyProtection="1">
      <alignment horizontal="center" vertical="center" wrapText="1"/>
      <protection locked="0"/>
    </xf>
    <xf numFmtId="0" fontId="3" fillId="7" borderId="1" xfId="0" applyFont="1" applyFill="1" applyBorder="1" applyAlignment="1">
      <alignment horizontal="center" vertical="center" wrapText="1"/>
    </xf>
    <xf numFmtId="9" fontId="3" fillId="0" borderId="1" xfId="3" applyFont="1" applyFill="1" applyBorder="1" applyAlignment="1">
      <alignment horizontal="center" vertical="center" wrapText="1"/>
    </xf>
    <xf numFmtId="6" fontId="3" fillId="0"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0" borderId="18" xfId="0" applyNumberFormat="1" applyFont="1" applyFill="1" applyBorder="1" applyAlignment="1">
      <alignment horizontal="center" vertical="center" wrapText="1"/>
    </xf>
    <xf numFmtId="168" fontId="3" fillId="0" borderId="8" xfId="0" applyNumberFormat="1" applyFont="1" applyBorder="1" applyAlignment="1">
      <alignment horizontal="center" vertical="center" wrapText="1"/>
    </xf>
    <xf numFmtId="168" fontId="3" fillId="0" borderId="15" xfId="0" applyNumberFormat="1" applyFont="1" applyBorder="1" applyAlignment="1">
      <alignment horizontal="center" vertical="center" wrapText="1"/>
    </xf>
    <xf numFmtId="168" fontId="3" fillId="0" borderId="18" xfId="0" applyNumberFormat="1" applyFont="1" applyBorder="1" applyAlignment="1">
      <alignment horizontal="center" vertical="center" wrapText="1"/>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17" fillId="0" borderId="1" xfId="0" applyFont="1" applyBorder="1" applyAlignment="1">
      <alignment horizontal="center" vertical="center"/>
    </xf>
    <xf numFmtId="173" fontId="3" fillId="7" borderId="1" xfId="25" applyFont="1" applyFill="1" applyBorder="1" applyAlignment="1">
      <alignment horizontal="right" vertical="center" wrapText="1"/>
    </xf>
    <xf numFmtId="169" fontId="18" fillId="0" borderId="1" xfId="0" applyNumberFormat="1" applyFont="1" applyFill="1" applyBorder="1" applyAlignment="1">
      <alignment horizontal="center" vertical="center" wrapText="1"/>
    </xf>
    <xf numFmtId="1" fontId="3" fillId="0" borderId="1" xfId="25" applyNumberFormat="1" applyFont="1" applyBorder="1" applyAlignment="1">
      <alignment horizontal="center" vertical="center" wrapText="1"/>
    </xf>
    <xf numFmtId="1" fontId="3" fillId="0" borderId="1" xfId="25" applyNumberFormat="1" applyFont="1" applyBorder="1" applyAlignment="1">
      <alignment horizontal="center" vertical="center"/>
    </xf>
    <xf numFmtId="173" fontId="3" fillId="0" borderId="1" xfId="25" applyFont="1" applyFill="1" applyBorder="1" applyAlignment="1">
      <alignment horizontal="justify" vertical="center" wrapText="1"/>
    </xf>
    <xf numFmtId="174" fontId="15" fillId="0" borderId="25" xfId="0" applyNumberFormat="1" applyFont="1" applyFill="1" applyBorder="1" applyAlignment="1">
      <alignment horizontal="center" vertical="center" wrapText="1"/>
    </xf>
    <xf numFmtId="174" fontId="15" fillId="0" borderId="15" xfId="0" applyNumberFormat="1" applyFont="1" applyFill="1" applyBorder="1" applyAlignment="1">
      <alignment horizontal="center" vertical="center" wrapText="1"/>
    </xf>
    <xf numFmtId="1" fontId="15" fillId="0" borderId="25" xfId="0" applyNumberFormat="1" applyFont="1" applyFill="1" applyBorder="1" applyAlignment="1">
      <alignment horizontal="center" vertical="center" wrapText="1"/>
    </xf>
    <xf numFmtId="1" fontId="15" fillId="0" borderId="15" xfId="0" applyNumberFormat="1" applyFont="1" applyFill="1" applyBorder="1" applyAlignment="1">
      <alignment horizontal="center" vertical="center" wrapText="1"/>
    </xf>
    <xf numFmtId="1" fontId="17" fillId="0" borderId="41" xfId="0" applyNumberFormat="1" applyFont="1" applyFill="1" applyBorder="1" applyAlignment="1">
      <alignment horizontal="center" vertical="center" wrapText="1"/>
    </xf>
    <xf numFmtId="0" fontId="15" fillId="0" borderId="31" xfId="0" applyFont="1" applyFill="1" applyBorder="1" applyAlignment="1">
      <alignment horizontal="justify" vertical="center" wrapText="1"/>
    </xf>
    <xf numFmtId="0" fontId="15"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5" xfId="0" applyFont="1" applyFill="1" applyBorder="1" applyAlignment="1">
      <alignment horizontal="center" vertical="center" wrapText="1"/>
    </xf>
    <xf numFmtId="10" fontId="15" fillId="0" borderId="15" xfId="3" applyNumberFormat="1" applyFont="1" applyFill="1" applyBorder="1" applyAlignment="1">
      <alignment horizontal="center" vertical="center" wrapText="1"/>
    </xf>
    <xf numFmtId="10" fontId="15" fillId="0" borderId="18" xfId="3" applyNumberFormat="1" applyFont="1" applyFill="1" applyBorder="1" applyAlignment="1">
      <alignment horizontal="center" vertical="center" wrapText="1"/>
    </xf>
    <xf numFmtId="177" fontId="14" fillId="0" borderId="25" xfId="0" applyNumberFormat="1" applyFont="1" applyBorder="1" applyAlignment="1">
      <alignment horizontal="center" vertical="center"/>
    </xf>
    <xf numFmtId="177" fontId="14" fillId="0" borderId="15" xfId="0" applyNumberFormat="1" applyFont="1" applyBorder="1" applyAlignment="1">
      <alignment horizontal="center" vertical="center"/>
    </xf>
    <xf numFmtId="3" fontId="3" fillId="0" borderId="25" xfId="14" applyNumberFormat="1" applyFont="1" applyFill="1" applyBorder="1" applyAlignment="1">
      <alignment horizontal="center" vertical="center"/>
    </xf>
    <xf numFmtId="3" fontId="3" fillId="0" borderId="15" xfId="14" applyNumberFormat="1" applyFont="1" applyFill="1" applyBorder="1" applyAlignment="1">
      <alignment horizontal="center" vertical="center"/>
    </xf>
    <xf numFmtId="10" fontId="3" fillId="0" borderId="1" xfId="0" applyNumberFormat="1" applyFont="1" applyBorder="1" applyAlignment="1">
      <alignment horizontal="center" vertical="center"/>
    </xf>
    <xf numFmtId="10" fontId="3" fillId="0" borderId="25" xfId="0" applyNumberFormat="1" applyFont="1" applyBorder="1" applyAlignment="1">
      <alignment horizontal="center" vertical="center"/>
    </xf>
    <xf numFmtId="3" fontId="3" fillId="0" borderId="25" xfId="0" applyNumberFormat="1" applyFont="1" applyBorder="1" applyAlignment="1">
      <alignment horizontal="center" vertical="center" wrapText="1"/>
    </xf>
    <xf numFmtId="3" fontId="3" fillId="0" borderId="25" xfId="14" applyNumberFormat="1" applyFont="1" applyFill="1" applyBorder="1" applyAlignment="1">
      <alignment horizontal="center" vertical="center" wrapText="1"/>
    </xf>
    <xf numFmtId="3" fontId="3" fillId="0" borderId="15" xfId="14"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9" applyFont="1" applyFill="1" applyBorder="1" applyAlignment="1">
      <alignment horizontal="justify" vertical="center" wrapText="1"/>
    </xf>
    <xf numFmtId="41" fontId="15" fillId="0" borderId="1" xfId="2" applyFont="1" applyFill="1" applyBorder="1" applyAlignment="1">
      <alignment horizontal="center" vertical="center"/>
    </xf>
    <xf numFmtId="0" fontId="15" fillId="0" borderId="30" xfId="12" applyNumberFormat="1" applyFont="1" applyFill="1" applyBorder="1" applyAlignment="1">
      <alignment horizontal="center" vertical="center" wrapText="1"/>
    </xf>
    <xf numFmtId="0" fontId="15" fillId="0" borderId="14" xfId="12" applyNumberFormat="1" applyFont="1" applyFill="1" applyBorder="1" applyAlignment="1">
      <alignment horizontal="center" vertical="center" wrapText="1"/>
    </xf>
    <xf numFmtId="3" fontId="15" fillId="0" borderId="25" xfId="0" applyNumberFormat="1" applyFont="1" applyFill="1" applyBorder="1" applyAlignment="1">
      <alignment horizontal="center" vertical="center" wrapText="1"/>
    </xf>
    <xf numFmtId="3" fontId="15" fillId="0" borderId="18" xfId="0" applyNumberFormat="1" applyFont="1" applyFill="1" applyBorder="1" applyAlignment="1">
      <alignment horizontal="center" vertical="center" wrapText="1"/>
    </xf>
    <xf numFmtId="0" fontId="15" fillId="0" borderId="25" xfId="0" applyFont="1" applyFill="1" applyBorder="1" applyAlignment="1">
      <alignment horizontal="justify" vertical="center" wrapText="1"/>
    </xf>
    <xf numFmtId="10" fontId="15" fillId="0" borderId="25" xfId="3" applyNumberFormat="1" applyFont="1" applyFill="1" applyBorder="1" applyAlignment="1">
      <alignment horizontal="center" vertical="center" wrapText="1"/>
    </xf>
    <xf numFmtId="41" fontId="15" fillId="0" borderId="25" xfId="2" applyFont="1" applyFill="1" applyBorder="1" applyAlignment="1">
      <alignment horizontal="center" vertical="center" wrapText="1"/>
    </xf>
    <xf numFmtId="41" fontId="15" fillId="0" borderId="15" xfId="2" applyFont="1" applyFill="1" applyBorder="1" applyAlignment="1">
      <alignment horizontal="center" vertical="center" wrapText="1"/>
    </xf>
    <xf numFmtId="0" fontId="15" fillId="0" borderId="29" xfId="0" applyFont="1" applyFill="1" applyBorder="1" applyAlignment="1">
      <alignment horizontal="justify" vertical="center" wrapText="1"/>
    </xf>
    <xf numFmtId="0" fontId="15" fillId="0" borderId="16" xfId="0" applyFont="1" applyFill="1" applyBorder="1" applyAlignment="1">
      <alignment horizontal="justify" vertical="center" wrapText="1"/>
    </xf>
    <xf numFmtId="0" fontId="15" fillId="0" borderId="29"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0" xfId="0" applyFont="1" applyFill="1" applyAlignment="1">
      <alignment horizontal="center" vertical="center" wrapText="1"/>
    </xf>
    <xf numFmtId="0" fontId="17" fillId="0" borderId="2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15" fillId="0" borderId="15" xfId="0" applyFont="1" applyFill="1" applyBorder="1" applyAlignment="1">
      <alignment horizontal="left" vertical="center" wrapText="1"/>
    </xf>
    <xf numFmtId="0" fontId="15" fillId="0" borderId="18" xfId="0" applyFont="1" applyFill="1" applyBorder="1" applyAlignment="1">
      <alignment horizontal="left" vertical="center" wrapText="1"/>
    </xf>
    <xf numFmtId="3" fontId="15" fillId="7" borderId="25" xfId="0" applyNumberFormat="1" applyFont="1" applyFill="1" applyBorder="1" applyAlignment="1">
      <alignment horizontal="center" vertical="center" wrapText="1"/>
    </xf>
    <xf numFmtId="3" fontId="15" fillId="7" borderId="15" xfId="0" applyNumberFormat="1" applyFont="1" applyFill="1" applyBorder="1" applyAlignment="1">
      <alignment horizontal="center" vertical="center" wrapText="1"/>
    </xf>
    <xf numFmtId="0" fontId="20" fillId="7" borderId="1" xfId="11" applyFont="1" applyFill="1" applyBorder="1" applyAlignment="1">
      <alignment horizontal="justify" vertical="center" wrapText="1"/>
    </xf>
    <xf numFmtId="3" fontId="3" fillId="0" borderId="25" xfId="0" applyNumberFormat="1" applyFont="1" applyBorder="1" applyAlignment="1">
      <alignment horizontal="center" vertical="center"/>
    </xf>
    <xf numFmtId="10" fontId="3" fillId="0" borderId="15" xfId="0" applyNumberFormat="1" applyFont="1" applyBorder="1" applyAlignment="1">
      <alignment horizontal="center" vertical="center"/>
    </xf>
    <xf numFmtId="3" fontId="3" fillId="0" borderId="25" xfId="0" applyNumberFormat="1" applyFont="1" applyFill="1" applyBorder="1" applyAlignment="1">
      <alignment horizontal="center" vertical="center"/>
    </xf>
    <xf numFmtId="174" fontId="15" fillId="0" borderId="25" xfId="0" applyNumberFormat="1" applyFont="1" applyBorder="1" applyAlignment="1">
      <alignment horizontal="center" vertical="center" wrapText="1"/>
    </xf>
    <xf numFmtId="174" fontId="15" fillId="0" borderId="15" xfId="0" applyNumberFormat="1" applyFont="1" applyBorder="1" applyAlignment="1">
      <alignment horizontal="center" vertical="center" wrapText="1"/>
    </xf>
    <xf numFmtId="0" fontId="15" fillId="7" borderId="1" xfId="0" applyFont="1" applyFill="1" applyBorder="1" applyAlignment="1">
      <alignment horizontal="justify" vertical="center" wrapText="1"/>
    </xf>
    <xf numFmtId="174" fontId="15" fillId="0" borderId="18" xfId="0" applyNumberFormat="1" applyFont="1" applyBorder="1" applyAlignment="1">
      <alignment horizontal="center" vertical="center" wrapText="1"/>
    </xf>
    <xf numFmtId="9" fontId="3" fillId="0" borderId="25" xfId="3" applyFont="1" applyFill="1" applyBorder="1" applyAlignment="1">
      <alignment horizontal="center" vertical="center" wrapText="1"/>
    </xf>
    <xf numFmtId="9" fontId="3" fillId="0" borderId="18" xfId="3" applyFont="1" applyFill="1" applyBorder="1" applyAlignment="1">
      <alignment horizontal="center" vertical="center" wrapText="1"/>
    </xf>
    <xf numFmtId="41" fontId="3" fillId="0" borderId="25" xfId="2" applyFont="1" applyFill="1" applyBorder="1" applyAlignment="1">
      <alignment horizontal="center" vertical="center" wrapText="1"/>
    </xf>
    <xf numFmtId="41" fontId="3" fillId="0" borderId="18" xfId="2" applyFont="1" applyFill="1" applyBorder="1" applyAlignment="1">
      <alignment horizontal="center" vertical="center" wrapText="1"/>
    </xf>
    <xf numFmtId="14" fontId="3" fillId="0" borderId="25" xfId="0" applyNumberFormat="1" applyFont="1" applyFill="1" applyBorder="1" applyAlignment="1">
      <alignment horizontal="center" vertical="center"/>
    </xf>
    <xf numFmtId="3" fontId="3" fillId="0" borderId="25" xfId="11" applyNumberFormat="1" applyFont="1" applyFill="1" applyBorder="1" applyAlignment="1">
      <alignment horizontal="center" vertical="center"/>
    </xf>
    <xf numFmtId="3" fontId="3" fillId="0" borderId="15" xfId="11" applyNumberFormat="1" applyFont="1" applyFill="1" applyBorder="1" applyAlignment="1">
      <alignment horizontal="center" vertical="center"/>
    </xf>
    <xf numFmtId="3" fontId="3" fillId="0" borderId="18" xfId="11"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25" xfId="0" applyFont="1" applyFill="1" applyBorder="1" applyAlignment="1">
      <alignment horizontal="justify" vertical="center" wrapText="1"/>
    </xf>
    <xf numFmtId="0" fontId="15" fillId="7" borderId="1" xfId="0" applyFont="1" applyFill="1" applyBorder="1" applyAlignment="1">
      <alignment horizontal="center" vertical="center" wrapText="1"/>
    </xf>
    <xf numFmtId="0" fontId="17" fillId="8" borderId="4" xfId="0" applyFont="1" applyFill="1" applyBorder="1" applyAlignment="1">
      <alignment horizontal="left" vertical="center"/>
    </xf>
    <xf numFmtId="0" fontId="15" fillId="7" borderId="29" xfId="0" applyFont="1" applyFill="1" applyBorder="1" applyAlignment="1">
      <alignment horizontal="center" vertical="center" wrapText="1"/>
    </xf>
    <xf numFmtId="0" fontId="15" fillId="7" borderId="35"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7" borderId="0" xfId="0" applyFont="1" applyFill="1" applyAlignment="1">
      <alignment horizontal="center" vertical="center" wrapText="1"/>
    </xf>
    <xf numFmtId="1" fontId="15" fillId="7" borderId="25" xfId="0" applyNumberFormat="1" applyFont="1" applyFill="1" applyBorder="1" applyAlignment="1">
      <alignment horizontal="center" vertical="center" wrapText="1"/>
    </xf>
    <xf numFmtId="1" fontId="15" fillId="7" borderId="15" xfId="0" applyNumberFormat="1" applyFont="1" applyFill="1" applyBorder="1" applyAlignment="1">
      <alignment horizontal="center" vertical="center" wrapText="1"/>
    </xf>
    <xf numFmtId="0" fontId="15" fillId="7" borderId="25" xfId="0" applyFont="1" applyFill="1" applyBorder="1" applyAlignment="1">
      <alignment horizontal="justify" vertical="center" wrapText="1"/>
    </xf>
    <xf numFmtId="0" fontId="15" fillId="7" borderId="15" xfId="0" applyFont="1" applyFill="1" applyBorder="1" applyAlignment="1">
      <alignment horizontal="justify" vertical="center" wrapText="1"/>
    </xf>
    <xf numFmtId="9" fontId="15" fillId="0" borderId="25" xfId="3" applyFont="1" applyFill="1" applyBorder="1" applyAlignment="1">
      <alignment horizontal="center" vertical="center" wrapText="1"/>
    </xf>
    <xf numFmtId="9" fontId="15" fillId="0" borderId="15" xfId="3" applyFont="1" applyFill="1" applyBorder="1" applyAlignment="1">
      <alignment horizontal="center" vertical="center" wrapText="1"/>
    </xf>
    <xf numFmtId="0" fontId="15" fillId="7" borderId="3" xfId="0" applyFont="1" applyFill="1" applyBorder="1" applyAlignment="1">
      <alignment horizontal="justify" vertical="center" wrapText="1"/>
    </xf>
    <xf numFmtId="9" fontId="3" fillId="0" borderId="15" xfId="3" applyFont="1" applyFill="1" applyBorder="1" applyAlignment="1">
      <alignment horizontal="center" vertical="center" wrapText="1"/>
    </xf>
    <xf numFmtId="41" fontId="3" fillId="0" borderId="15" xfId="2" applyFont="1" applyFill="1" applyBorder="1" applyAlignment="1">
      <alignment horizontal="center" vertical="center" wrapText="1"/>
    </xf>
    <xf numFmtId="41" fontId="3" fillId="0" borderId="1" xfId="2" applyFont="1" applyFill="1" applyBorder="1" applyAlignment="1">
      <alignment horizontal="center" vertical="center" wrapText="1"/>
    </xf>
    <xf numFmtId="0" fontId="3" fillId="0" borderId="5" xfId="0" applyFont="1" applyFill="1" applyBorder="1" applyAlignment="1">
      <alignment horizontal="justify" vertical="center" wrapText="1"/>
    </xf>
    <xf numFmtId="9" fontId="3" fillId="0" borderId="1" xfId="0" applyNumberFormat="1" applyFont="1" applyFill="1" applyBorder="1" applyAlignment="1">
      <alignment horizontal="center" vertical="center" wrapText="1"/>
    </xf>
    <xf numFmtId="2" fontId="15" fillId="0" borderId="25" xfId="10" applyNumberFormat="1" applyFont="1" applyFill="1" applyBorder="1" applyAlignment="1">
      <alignment horizontal="justify" vertical="center" wrapText="1"/>
    </xf>
    <xf numFmtId="2" fontId="15" fillId="0" borderId="18" xfId="10" applyNumberFormat="1"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8" xfId="0" applyFont="1" applyFill="1" applyBorder="1" applyAlignment="1">
      <alignment horizontal="center" vertical="center" wrapText="1"/>
    </xf>
    <xf numFmtId="9" fontId="21" fillId="5" borderId="25" xfId="13" applyFont="1" applyFill="1" applyBorder="1" applyAlignment="1">
      <alignment horizontal="center" vertical="center" wrapText="1"/>
    </xf>
    <xf numFmtId="9" fontId="21" fillId="5" borderId="18" xfId="13" applyFont="1" applyFill="1" applyBorder="1" applyAlignment="1">
      <alignment horizontal="center" vertical="center" wrapText="1"/>
    </xf>
    <xf numFmtId="0" fontId="2" fillId="6" borderId="4" xfId="0" applyFont="1" applyFill="1" applyBorder="1" applyAlignment="1">
      <alignment horizontal="center" vertical="center"/>
    </xf>
    <xf numFmtId="0" fontId="17" fillId="4" borderId="5" xfId="0" applyFont="1" applyFill="1" applyBorder="1" applyAlignment="1">
      <alignment horizontal="center" vertical="center" wrapText="1"/>
    </xf>
    <xf numFmtId="0" fontId="17" fillId="3" borderId="29" xfId="0" applyFont="1" applyFill="1" applyBorder="1" applyAlignment="1">
      <alignment horizontal="center" vertical="center" textRotation="90" wrapText="1"/>
    </xf>
    <xf numFmtId="0" fontId="17" fillId="3" borderId="30" xfId="0" applyFont="1" applyFill="1" applyBorder="1" applyAlignment="1">
      <alignment horizontal="center" vertical="center" textRotation="90" wrapText="1"/>
    </xf>
    <xf numFmtId="0" fontId="17" fillId="3" borderId="13" xfId="0" applyFont="1" applyFill="1" applyBorder="1" applyAlignment="1">
      <alignment horizontal="center" vertical="center" textRotation="90" wrapText="1"/>
    </xf>
    <xf numFmtId="0" fontId="17" fillId="3" borderId="14" xfId="0" applyFont="1" applyFill="1" applyBorder="1" applyAlignment="1">
      <alignment horizontal="center" vertical="center" textRotation="90"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3" fontId="21" fillId="5" borderId="25" xfId="0" applyNumberFormat="1" applyFont="1" applyFill="1" applyBorder="1" applyAlignment="1">
      <alignment horizontal="center" vertical="center" wrapText="1"/>
    </xf>
    <xf numFmtId="3" fontId="21" fillId="5" borderId="18" xfId="0" applyNumberFormat="1" applyFont="1" applyFill="1" applyBorder="1" applyAlignment="1">
      <alignment horizontal="center" vertical="center" wrapText="1"/>
    </xf>
    <xf numFmtId="170" fontId="2" fillId="3" borderId="25" xfId="0" applyNumberFormat="1" applyFont="1" applyFill="1" applyBorder="1" applyAlignment="1">
      <alignment horizontal="center" vertical="center" wrapText="1"/>
    </xf>
    <xf numFmtId="170" fontId="2" fillId="3" borderId="18" xfId="0" applyNumberFormat="1" applyFont="1" applyFill="1" applyBorder="1" applyAlignment="1">
      <alignment horizontal="center" vertical="center" wrapText="1"/>
    </xf>
    <xf numFmtId="169" fontId="2" fillId="3" borderId="25" xfId="0" applyNumberFormat="1" applyFont="1" applyFill="1" applyBorder="1" applyAlignment="1">
      <alignment horizontal="center" vertical="center" wrapText="1"/>
    </xf>
    <xf numFmtId="169" fontId="2" fillId="3" borderId="18" xfId="0" applyNumberFormat="1" applyFont="1" applyFill="1" applyBorder="1" applyAlignment="1">
      <alignment horizontal="center" vertical="center" wrapText="1"/>
    </xf>
    <xf numFmtId="0" fontId="2" fillId="3" borderId="25" xfId="0" applyFont="1" applyFill="1" applyBorder="1" applyAlignment="1">
      <alignment horizontal="center" vertical="center" wrapText="1"/>
    </xf>
    <xf numFmtId="0" fontId="17" fillId="3" borderId="1" xfId="0" applyFont="1" applyFill="1" applyBorder="1" applyAlignment="1">
      <alignment horizontal="center" vertical="center" wrapText="1"/>
    </xf>
    <xf numFmtId="9" fontId="15" fillId="0" borderId="18" xfId="3" applyFont="1" applyFill="1" applyBorder="1" applyAlignment="1">
      <alignment horizontal="center" vertical="center" wrapText="1"/>
    </xf>
    <xf numFmtId="9" fontId="15" fillId="0" borderId="1" xfId="3"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 fontId="2" fillId="3" borderId="30" xfId="0" applyNumberFormat="1" applyFont="1" applyFill="1" applyBorder="1" applyAlignment="1">
      <alignment horizontal="center" vertical="center" wrapText="1"/>
    </xf>
    <xf numFmtId="1" fontId="2" fillId="3" borderId="17" xfId="0" applyNumberFormat="1" applyFont="1" applyFill="1" applyBorder="1" applyAlignment="1">
      <alignment horizontal="center" vertical="center" wrapText="1"/>
    </xf>
    <xf numFmtId="1" fontId="2" fillId="3" borderId="14" xfId="0" applyNumberFormat="1"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3" xfId="0" applyFont="1" applyFill="1" applyBorder="1" applyAlignment="1">
      <alignment horizontal="center" vertical="center" wrapText="1"/>
    </xf>
    <xf numFmtId="175" fontId="2" fillId="3" borderId="1" xfId="12"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3" fontId="17" fillId="4" borderId="5" xfId="0" applyNumberFormat="1" applyFont="1" applyFill="1" applyBorder="1" applyAlignment="1">
      <alignment horizontal="center" vertical="center" wrapText="1"/>
    </xf>
    <xf numFmtId="0" fontId="17" fillId="4" borderId="5" xfId="0" applyFont="1" applyFill="1" applyBorder="1" applyAlignment="1">
      <alignment horizontal="center" vertical="center"/>
    </xf>
    <xf numFmtId="172" fontId="2" fillId="3" borderId="29" xfId="0" applyNumberFormat="1" applyFont="1" applyFill="1" applyBorder="1" applyAlignment="1">
      <alignment horizontal="center" vertical="center" wrapText="1"/>
    </xf>
    <xf numFmtId="172" fontId="2" fillId="3" borderId="30" xfId="0" applyNumberFormat="1" applyFont="1" applyFill="1" applyBorder="1" applyAlignment="1">
      <alignment horizontal="center" vertical="center" wrapText="1"/>
    </xf>
    <xf numFmtId="172" fontId="2" fillId="3" borderId="13" xfId="0" applyNumberFormat="1" applyFont="1" applyFill="1" applyBorder="1" applyAlignment="1">
      <alignment horizontal="center" vertical="center" wrapText="1"/>
    </xf>
    <xf numFmtId="172" fontId="2" fillId="3" borderId="14" xfId="0" applyNumberFormat="1" applyFont="1" applyFill="1" applyBorder="1" applyAlignment="1">
      <alignment horizontal="center" vertical="center" wrapText="1"/>
    </xf>
    <xf numFmtId="3" fontId="2" fillId="3" borderId="25" xfId="0" applyNumberFormat="1"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18" xfId="0" applyFont="1" applyFill="1" applyBorder="1" applyAlignment="1">
      <alignment horizontal="center" vertical="center" wrapText="1"/>
    </xf>
    <xf numFmtId="1" fontId="25" fillId="3" borderId="67"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0" xfId="0" applyFont="1" applyAlignment="1">
      <alignment horizontal="center" vertical="center" wrapText="1"/>
    </xf>
    <xf numFmtId="0" fontId="29" fillId="0" borderId="64" xfId="0" applyFont="1" applyBorder="1" applyAlignment="1">
      <alignment horizontal="center" vertical="center" wrapText="1"/>
    </xf>
    <xf numFmtId="0" fontId="29" fillId="0" borderId="53" xfId="0" applyFont="1" applyBorder="1" applyAlignment="1">
      <alignment horizontal="center" vertical="center" wrapText="1"/>
    </xf>
    <xf numFmtId="0" fontId="25" fillId="0" borderId="77" xfId="0" applyFont="1" applyBorder="1" applyAlignment="1">
      <alignment horizontal="center" vertical="center" wrapText="1"/>
    </xf>
    <xf numFmtId="0" fontId="25" fillId="0" borderId="55" xfId="0" applyFont="1" applyBorder="1" applyAlignment="1">
      <alignment horizontal="center" vertical="center"/>
    </xf>
    <xf numFmtId="0" fontId="25" fillId="0" borderId="64" xfId="0" applyFont="1" applyBorder="1" applyAlignment="1">
      <alignment horizontal="center" vertical="center"/>
    </xf>
    <xf numFmtId="0" fontId="25" fillId="0" borderId="53" xfId="0" applyFont="1" applyBorder="1" applyAlignment="1">
      <alignment horizontal="center" vertical="center"/>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6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3" fontId="30" fillId="4" borderId="3" xfId="0" applyNumberFormat="1" applyFont="1" applyFill="1" applyBorder="1" applyAlignment="1">
      <alignment horizontal="center" vertical="center" wrapText="1"/>
    </xf>
    <xf numFmtId="3" fontId="30" fillId="4" borderId="4" xfId="0" applyNumberFormat="1" applyFont="1" applyFill="1" applyBorder="1" applyAlignment="1">
      <alignment horizontal="center" vertical="center" wrapText="1"/>
    </xf>
    <xf numFmtId="3" fontId="30" fillId="4" borderId="5" xfId="0" applyNumberFormat="1"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3"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29" xfId="0" applyFont="1" applyFill="1" applyBorder="1" applyAlignment="1">
      <alignment horizontal="center" vertical="center" textRotation="90" wrapText="1"/>
    </xf>
    <xf numFmtId="0" fontId="30" fillId="4" borderId="52" xfId="0" applyFont="1" applyFill="1" applyBorder="1" applyAlignment="1">
      <alignment horizontal="center" vertical="center" textRotation="90" wrapText="1"/>
    </xf>
    <xf numFmtId="0" fontId="30" fillId="4" borderId="58" xfId="0" applyFont="1" applyFill="1" applyBorder="1" applyAlignment="1">
      <alignment horizontal="center" vertical="center" textRotation="90" wrapText="1"/>
    </xf>
    <xf numFmtId="0" fontId="30" fillId="4" borderId="59" xfId="0" applyFont="1" applyFill="1" applyBorder="1" applyAlignment="1">
      <alignment horizontal="center" vertical="center" textRotation="90" wrapText="1"/>
    </xf>
    <xf numFmtId="0" fontId="25" fillId="5" borderId="4" xfId="0" applyFont="1" applyFill="1" applyBorder="1" applyAlignment="1">
      <alignment horizontal="center" vertical="center"/>
    </xf>
    <xf numFmtId="0" fontId="25" fillId="5" borderId="66" xfId="0" applyFont="1" applyFill="1" applyBorder="1" applyAlignment="1">
      <alignment horizontal="center" vertical="center"/>
    </xf>
    <xf numFmtId="0" fontId="25" fillId="3" borderId="1" xfId="0" applyFont="1" applyFill="1" applyBorder="1" applyAlignment="1">
      <alignment horizontal="justify" vertical="center" wrapText="1"/>
    </xf>
    <xf numFmtId="170" fontId="25" fillId="3" borderId="1" xfId="0" applyNumberFormat="1" applyFont="1" applyFill="1" applyBorder="1" applyAlignment="1">
      <alignment horizontal="center" vertical="center" wrapText="1"/>
    </xf>
    <xf numFmtId="169" fontId="25" fillId="3" borderId="1" xfId="0" applyNumberFormat="1"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5" fillId="3" borderId="52" xfId="0" applyFont="1" applyFill="1" applyBorder="1" applyAlignment="1">
      <alignment horizontal="center" vertical="center" wrapText="1"/>
    </xf>
    <xf numFmtId="3" fontId="25" fillId="3" borderId="63" xfId="0" applyNumberFormat="1" applyFont="1" applyFill="1" applyBorder="1" applyAlignment="1">
      <alignment horizontal="center" vertical="center" wrapText="1"/>
    </xf>
    <xf numFmtId="1" fontId="25" fillId="7" borderId="70" xfId="0" applyNumberFormat="1" applyFont="1" applyFill="1" applyBorder="1" applyAlignment="1">
      <alignment horizontal="center" vertical="center" wrapText="1"/>
    </xf>
    <xf numFmtId="1" fontId="25" fillId="7" borderId="71" xfId="0" applyNumberFormat="1" applyFont="1" applyFill="1" applyBorder="1" applyAlignment="1">
      <alignment horizontal="center" vertical="center" wrapText="1"/>
    </xf>
    <xf numFmtId="0" fontId="25" fillId="7" borderId="29"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5" fillId="7" borderId="17"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1" xfId="0" applyFont="1" applyFill="1" applyBorder="1" applyAlignment="1">
      <alignment horizontal="center" vertical="center" wrapText="1"/>
    </xf>
    <xf numFmtId="167" fontId="15" fillId="7" borderId="76" xfId="4" applyFont="1" applyFill="1" applyBorder="1" applyAlignment="1">
      <alignment horizontal="center" vertical="center" wrapText="1"/>
    </xf>
    <xf numFmtId="167" fontId="15" fillId="7" borderId="15" xfId="4" applyFont="1" applyFill="1" applyBorder="1" applyAlignment="1">
      <alignment horizontal="center" vertical="center" wrapText="1"/>
    </xf>
    <xf numFmtId="49" fontId="15" fillId="0" borderId="76" xfId="4" applyNumberFormat="1" applyFont="1" applyBorder="1" applyAlignment="1">
      <alignment horizontal="center" vertical="center" wrapText="1"/>
    </xf>
    <xf numFmtId="49" fontId="15" fillId="0" borderId="15" xfId="4" applyNumberFormat="1" applyFont="1" applyBorder="1" applyAlignment="1">
      <alignment horizontal="center" vertical="center" wrapText="1"/>
    </xf>
    <xf numFmtId="167" fontId="15" fillId="7" borderId="76" xfId="4" applyFont="1" applyFill="1" applyBorder="1" applyAlignment="1">
      <alignment horizontal="justify" vertical="center" wrapText="1"/>
    </xf>
    <xf numFmtId="167" fontId="15" fillId="7" borderId="15" xfId="4" applyFont="1" applyFill="1" applyBorder="1" applyAlignment="1">
      <alignment horizontal="justify" vertical="center" wrapText="1"/>
    </xf>
    <xf numFmtId="0" fontId="31" fillId="3" borderId="3" xfId="0" applyFont="1" applyFill="1" applyBorder="1" applyAlignment="1">
      <alignment horizontal="center" vertical="center" textRotation="90" wrapText="1"/>
    </xf>
    <xf numFmtId="0" fontId="31" fillId="3" borderId="5" xfId="0" applyFont="1" applyFill="1" applyBorder="1" applyAlignment="1">
      <alignment horizontal="center" vertical="center" textRotation="90" wrapText="1"/>
    </xf>
    <xf numFmtId="169" fontId="25" fillId="3" borderId="29" xfId="0" applyNumberFormat="1" applyFont="1" applyFill="1" applyBorder="1" applyAlignment="1">
      <alignment horizontal="center" vertical="center" wrapText="1"/>
    </xf>
    <xf numFmtId="169" fontId="25" fillId="3" borderId="58" xfId="0" applyNumberFormat="1" applyFont="1" applyFill="1" applyBorder="1" applyAlignment="1">
      <alignment horizontal="center" vertical="center" wrapText="1"/>
    </xf>
    <xf numFmtId="169" fontId="25" fillId="3" borderId="76" xfId="0" applyNumberFormat="1" applyFont="1" applyFill="1" applyBorder="1" applyAlignment="1">
      <alignment horizontal="center" vertical="center" wrapText="1"/>
    </xf>
    <xf numFmtId="169" fontId="25" fillId="3" borderId="57" xfId="0" applyNumberFormat="1" applyFont="1" applyFill="1" applyBorder="1" applyAlignment="1">
      <alignment horizontal="center" vertical="center" wrapText="1"/>
    </xf>
    <xf numFmtId="173" fontId="15" fillId="7" borderId="1" xfId="8" applyFont="1" applyFill="1" applyBorder="1" applyAlignment="1">
      <alignment horizontal="center" vertical="center" wrapText="1"/>
    </xf>
    <xf numFmtId="167" fontId="15" fillId="7" borderId="1" xfId="4" applyFont="1" applyFill="1" applyBorder="1" applyAlignment="1">
      <alignment horizontal="justify" vertical="center" wrapText="1"/>
    </xf>
    <xf numFmtId="167" fontId="15" fillId="7" borderId="3" xfId="4" applyFont="1" applyFill="1" applyBorder="1" applyAlignment="1">
      <alignment horizontal="justify" vertical="center" wrapText="1"/>
    </xf>
    <xf numFmtId="3" fontId="3" fillId="0" borderId="76" xfId="0" applyNumberFormat="1" applyFont="1" applyBorder="1" applyAlignment="1">
      <alignment horizontal="center" vertical="center"/>
    </xf>
    <xf numFmtId="3" fontId="3" fillId="0" borderId="57" xfId="0" applyNumberFormat="1" applyFont="1" applyBorder="1" applyAlignment="1">
      <alignment horizontal="center" vertical="center"/>
    </xf>
    <xf numFmtId="3" fontId="28" fillId="7" borderId="76" xfId="0" applyNumberFormat="1" applyFont="1" applyFill="1" applyBorder="1" applyAlignment="1">
      <alignment horizontal="center" vertical="center"/>
    </xf>
    <xf numFmtId="3" fontId="28" fillId="7" borderId="15" xfId="0" applyNumberFormat="1" applyFont="1" applyFill="1" applyBorder="1" applyAlignment="1">
      <alignment horizontal="center" vertical="center"/>
    </xf>
    <xf numFmtId="3" fontId="28" fillId="0" borderId="76" xfId="0" applyNumberFormat="1" applyFont="1" applyBorder="1" applyAlignment="1">
      <alignment horizontal="center" vertical="center"/>
    </xf>
    <xf numFmtId="3" fontId="28" fillId="0" borderId="15" xfId="0" applyNumberFormat="1" applyFont="1" applyBorder="1" applyAlignment="1">
      <alignment horizontal="center" vertical="center"/>
    </xf>
    <xf numFmtId="0" fontId="25" fillId="5" borderId="4" xfId="0" applyFont="1" applyFill="1" applyBorder="1" applyAlignment="1">
      <alignment horizontal="center" vertical="center" wrapText="1"/>
    </xf>
    <xf numFmtId="0" fontId="25" fillId="5" borderId="5" xfId="0" applyFont="1" applyFill="1" applyBorder="1" applyAlignment="1">
      <alignment horizontal="center" vertical="center" wrapText="1"/>
    </xf>
    <xf numFmtId="172" fontId="25" fillId="3" borderId="3" xfId="0" applyNumberFormat="1" applyFont="1" applyFill="1" applyBorder="1" applyAlignment="1">
      <alignment horizontal="center" vertical="center" wrapText="1"/>
    </xf>
    <xf numFmtId="172" fontId="25" fillId="3" borderId="5" xfId="0" applyNumberFormat="1" applyFont="1" applyFill="1" applyBorder="1" applyAlignment="1">
      <alignment horizontal="center" vertical="center" wrapText="1"/>
    </xf>
    <xf numFmtId="172" fontId="25" fillId="3" borderId="1" xfId="0" applyNumberFormat="1" applyFont="1" applyFill="1" applyBorder="1" applyAlignment="1">
      <alignment horizontal="center" vertical="center" wrapText="1"/>
    </xf>
    <xf numFmtId="3" fontId="28" fillId="7" borderId="76" xfId="0" applyNumberFormat="1" applyFont="1" applyFill="1" applyBorder="1" applyAlignment="1">
      <alignment horizontal="center" vertical="center" wrapText="1"/>
    </xf>
    <xf numFmtId="3" fontId="28" fillId="7" borderId="15" xfId="0" applyNumberFormat="1" applyFont="1" applyFill="1" applyBorder="1" applyAlignment="1">
      <alignment horizontal="center" vertical="center" wrapText="1"/>
    </xf>
    <xf numFmtId="3" fontId="18" fillId="0" borderId="76" xfId="0" applyNumberFormat="1" applyFont="1" applyBorder="1" applyAlignment="1">
      <alignment horizontal="center" vertical="center"/>
    </xf>
    <xf numFmtId="3" fontId="18" fillId="0" borderId="15" xfId="0" applyNumberFormat="1" applyFont="1" applyBorder="1" applyAlignment="1">
      <alignment horizontal="center" vertical="center"/>
    </xf>
    <xf numFmtId="14" fontId="19" fillId="0" borderId="76" xfId="0" applyNumberFormat="1" applyFont="1" applyBorder="1" applyAlignment="1">
      <alignment horizontal="center" vertical="center"/>
    </xf>
    <xf numFmtId="14" fontId="19" fillId="0" borderId="15" xfId="0" applyNumberFormat="1" applyFont="1" applyBorder="1" applyAlignment="1">
      <alignment horizontal="center" vertical="center"/>
    </xf>
    <xf numFmtId="14" fontId="19" fillId="0" borderId="57" xfId="0" applyNumberFormat="1" applyFont="1" applyBorder="1" applyAlignment="1">
      <alignment horizontal="center" vertical="center"/>
    </xf>
    <xf numFmtId="0" fontId="15" fillId="0" borderId="63" xfId="0" applyFont="1" applyBorder="1" applyAlignment="1">
      <alignment horizontal="center" vertical="center" wrapText="1"/>
    </xf>
    <xf numFmtId="0" fontId="33" fillId="0" borderId="63" xfId="0" applyFont="1" applyBorder="1" applyAlignment="1">
      <alignment horizontal="center" vertical="center" wrapText="1"/>
    </xf>
    <xf numFmtId="3" fontId="15" fillId="7" borderId="76" xfId="4" applyNumberFormat="1" applyFont="1" applyFill="1" applyBorder="1" applyAlignment="1">
      <alignment horizontal="center" vertical="center" wrapText="1"/>
    </xf>
    <xf numFmtId="3" fontId="15" fillId="7" borderId="15" xfId="4" applyNumberFormat="1" applyFont="1" applyFill="1" applyBorder="1" applyAlignment="1">
      <alignment horizontal="center" vertical="center" wrapText="1"/>
    </xf>
    <xf numFmtId="3" fontId="15" fillId="7" borderId="57" xfId="4" applyNumberFormat="1" applyFont="1" applyFill="1" applyBorder="1" applyAlignment="1">
      <alignment horizontal="center" vertical="center" wrapText="1"/>
    </xf>
    <xf numFmtId="167" fontId="15" fillId="7" borderId="57" xfId="4" applyFont="1" applyFill="1" applyBorder="1" applyAlignment="1">
      <alignment horizontal="center" vertical="center" wrapText="1"/>
    </xf>
    <xf numFmtId="167" fontId="15" fillId="0" borderId="76" xfId="4" applyFont="1" applyBorder="1" applyAlignment="1">
      <alignment horizontal="center" vertical="center" wrapText="1"/>
    </xf>
    <xf numFmtId="167" fontId="15" fillId="0" borderId="15" xfId="4" applyFont="1" applyBorder="1" applyAlignment="1">
      <alignment horizontal="center" vertical="center" wrapText="1"/>
    </xf>
    <xf numFmtId="167" fontId="15" fillId="0" borderId="57" xfId="4" applyFont="1" applyBorder="1" applyAlignment="1">
      <alignment horizontal="center" vertical="center" wrapText="1"/>
    </xf>
    <xf numFmtId="3" fontId="15" fillId="7" borderId="76" xfId="4" applyNumberFormat="1" applyFont="1" applyFill="1" applyBorder="1" applyAlignment="1">
      <alignment horizontal="center" vertical="center"/>
    </xf>
    <xf numFmtId="3" fontId="15" fillId="7" borderId="15" xfId="4" applyNumberFormat="1" applyFont="1" applyFill="1" applyBorder="1" applyAlignment="1">
      <alignment horizontal="center" vertical="center"/>
    </xf>
    <xf numFmtId="3" fontId="15" fillId="7" borderId="57" xfId="4" applyNumberFormat="1" applyFont="1" applyFill="1" applyBorder="1" applyAlignment="1">
      <alignment horizontal="center" vertical="center"/>
    </xf>
    <xf numFmtId="9" fontId="15" fillId="7" borderId="76" xfId="3" applyFont="1" applyFill="1" applyBorder="1" applyAlignment="1">
      <alignment horizontal="center" vertical="center" wrapText="1"/>
    </xf>
    <xf numFmtId="9" fontId="15" fillId="7" borderId="15" xfId="3" applyFont="1" applyFill="1" applyBorder="1" applyAlignment="1">
      <alignment horizontal="center" vertical="center" wrapText="1"/>
    </xf>
    <xf numFmtId="9" fontId="15" fillId="7" borderId="57" xfId="3" applyFont="1" applyFill="1" applyBorder="1" applyAlignment="1">
      <alignment horizontal="center" vertical="center" wrapText="1"/>
    </xf>
    <xf numFmtId="9" fontId="15" fillId="0" borderId="76" xfId="0" applyNumberFormat="1" applyFont="1" applyBorder="1" applyAlignment="1">
      <alignment horizontal="center" vertical="center"/>
    </xf>
    <xf numFmtId="9" fontId="15" fillId="0" borderId="15"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15" fillId="0" borderId="76" xfId="0" applyNumberFormat="1" applyFont="1" applyBorder="1" applyAlignment="1">
      <alignment horizontal="center" vertical="center" wrapText="1"/>
    </xf>
    <xf numFmtId="3" fontId="15" fillId="0" borderId="15" xfId="0" applyNumberFormat="1" applyFont="1" applyBorder="1" applyAlignment="1">
      <alignment horizontal="center" vertical="center"/>
    </xf>
    <xf numFmtId="3" fontId="15" fillId="0" borderId="57" xfId="0" applyNumberFormat="1" applyFont="1" applyBorder="1" applyAlignment="1">
      <alignment horizontal="center" vertical="center"/>
    </xf>
    <xf numFmtId="14" fontId="12" fillId="0" borderId="76" xfId="0" applyNumberFormat="1" applyFont="1" applyBorder="1" applyAlignment="1">
      <alignment horizontal="center" vertical="center"/>
    </xf>
    <xf numFmtId="14" fontId="12" fillId="0" borderId="15" xfId="0" applyNumberFormat="1" applyFont="1" applyBorder="1" applyAlignment="1">
      <alignment horizontal="center" vertical="center"/>
    </xf>
    <xf numFmtId="14" fontId="12" fillId="0" borderId="57" xfId="0" applyNumberFormat="1" applyFont="1" applyBorder="1" applyAlignment="1">
      <alignment horizontal="center" vertical="center"/>
    </xf>
    <xf numFmtId="3" fontId="15" fillId="0" borderId="76" xfId="0" applyNumberFormat="1" applyFont="1" applyBorder="1" applyAlignment="1">
      <alignment horizontal="center" vertical="center"/>
    </xf>
    <xf numFmtId="173" fontId="15" fillId="0" borderId="76" xfId="8" applyFont="1" applyBorder="1" applyAlignment="1">
      <alignment horizontal="center" vertical="center"/>
    </xf>
    <xf numFmtId="173" fontId="15" fillId="0" borderId="15" xfId="8" applyFont="1" applyBorder="1" applyAlignment="1">
      <alignment horizontal="center" vertical="center"/>
    </xf>
    <xf numFmtId="173" fontId="15" fillId="0" borderId="57" xfId="8" applyFont="1" applyBorder="1" applyAlignment="1">
      <alignment horizontal="center" vertical="center"/>
    </xf>
    <xf numFmtId="173" fontId="15" fillId="7" borderId="76" xfId="8" applyFont="1" applyFill="1" applyBorder="1" applyAlignment="1">
      <alignment horizontal="center" vertical="center"/>
    </xf>
    <xf numFmtId="173" fontId="15" fillId="7" borderId="15" xfId="8" applyFont="1" applyFill="1" applyBorder="1" applyAlignment="1">
      <alignment horizontal="center" vertical="center"/>
    </xf>
    <xf numFmtId="1" fontId="15" fillId="7" borderId="1" xfId="10" applyNumberFormat="1" applyFont="1" applyFill="1" applyBorder="1" applyAlignment="1">
      <alignment horizontal="center" vertical="center" wrapText="1"/>
    </xf>
    <xf numFmtId="1" fontId="15" fillId="7" borderId="1" xfId="4" applyNumberFormat="1" applyFont="1" applyFill="1" applyBorder="1" applyAlignment="1">
      <alignment horizontal="center" vertical="center"/>
    </xf>
    <xf numFmtId="1" fontId="15" fillId="0" borderId="1" xfId="4" applyNumberFormat="1" applyFont="1" applyBorder="1" applyAlignment="1">
      <alignment horizontal="center" vertical="center"/>
    </xf>
    <xf numFmtId="1" fontId="15" fillId="7" borderId="76" xfId="10" applyNumberFormat="1" applyFont="1" applyFill="1" applyBorder="1" applyAlignment="1">
      <alignment horizontal="center" vertical="center" wrapText="1"/>
    </xf>
    <xf numFmtId="1" fontId="15" fillId="7" borderId="57" xfId="10" applyNumberFormat="1" applyFont="1" applyFill="1" applyBorder="1" applyAlignment="1">
      <alignment horizontal="center" vertical="center" wrapText="1"/>
    </xf>
    <xf numFmtId="167" fontId="15" fillId="0" borderId="76" xfId="4" applyFont="1" applyBorder="1" applyAlignment="1">
      <alignment horizontal="justify" vertical="center" wrapText="1"/>
    </xf>
    <xf numFmtId="167" fontId="15" fillId="0" borderId="57" xfId="4" applyFont="1" applyBorder="1" applyAlignment="1">
      <alignment horizontal="justify" vertical="center" wrapText="1"/>
    </xf>
    <xf numFmtId="1" fontId="15" fillId="7" borderId="76" xfId="4" applyNumberFormat="1" applyFont="1" applyFill="1" applyBorder="1" applyAlignment="1">
      <alignment horizontal="center" vertical="center"/>
    </xf>
    <xf numFmtId="1" fontId="15" fillId="7" borderId="57" xfId="4" applyNumberFormat="1" applyFont="1" applyFill="1" applyBorder="1" applyAlignment="1">
      <alignment horizontal="center" vertical="center"/>
    </xf>
    <xf numFmtId="3" fontId="33" fillId="0" borderId="76" xfId="0" applyNumberFormat="1" applyFont="1" applyBorder="1" applyAlignment="1">
      <alignment horizontal="center" vertical="center" wrapText="1"/>
    </xf>
    <xf numFmtId="3" fontId="33" fillId="0" borderId="15" xfId="0" applyNumberFormat="1" applyFont="1" applyBorder="1" applyAlignment="1">
      <alignment horizontal="center" vertical="center" wrapText="1"/>
    </xf>
    <xf numFmtId="3" fontId="33" fillId="0" borderId="57" xfId="0" applyNumberFormat="1" applyFont="1" applyBorder="1" applyAlignment="1">
      <alignment horizontal="center" vertical="center" wrapText="1"/>
    </xf>
    <xf numFmtId="3" fontId="3" fillId="0" borderId="76" xfId="0" applyNumberFormat="1" applyFont="1" applyFill="1" applyBorder="1" applyAlignment="1">
      <alignment vertical="center" wrapText="1"/>
    </xf>
    <xf numFmtId="3" fontId="3" fillId="0" borderId="15" xfId="0" applyNumberFormat="1" applyFont="1" applyFill="1" applyBorder="1" applyAlignment="1">
      <alignment vertical="center" wrapText="1"/>
    </xf>
    <xf numFmtId="3" fontId="3" fillId="0" borderId="57" xfId="0" applyNumberFormat="1" applyFont="1" applyFill="1" applyBorder="1" applyAlignment="1">
      <alignment vertical="center" wrapText="1"/>
    </xf>
    <xf numFmtId="3" fontId="3" fillId="0" borderId="7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57" xfId="0" applyNumberFormat="1" applyFont="1" applyFill="1" applyBorder="1" applyAlignment="1">
      <alignment horizontal="center" vertical="center" wrapText="1"/>
    </xf>
    <xf numFmtId="3" fontId="3" fillId="0" borderId="52" xfId="0" applyNumberFormat="1" applyFont="1" applyFill="1" applyBorder="1" applyAlignment="1">
      <alignment vertical="center" wrapText="1"/>
    </xf>
    <xf numFmtId="3" fontId="3" fillId="0" borderId="17" xfId="0" applyNumberFormat="1" applyFont="1" applyFill="1" applyBorder="1" applyAlignment="1">
      <alignment vertical="center" wrapText="1"/>
    </xf>
    <xf numFmtId="3" fontId="3" fillId="0" borderId="59" xfId="0" applyNumberFormat="1" applyFont="1" applyFill="1" applyBorder="1" applyAlignment="1">
      <alignment vertical="center" wrapText="1"/>
    </xf>
    <xf numFmtId="3" fontId="3" fillId="7" borderId="76" xfId="0" applyNumberFormat="1" applyFont="1" applyFill="1" applyBorder="1" applyAlignment="1">
      <alignment vertical="center" wrapText="1"/>
    </xf>
    <xf numFmtId="3" fontId="3" fillId="7" borderId="15" xfId="0" applyNumberFormat="1" applyFont="1" applyFill="1" applyBorder="1" applyAlignment="1">
      <alignment vertical="center" wrapText="1"/>
    </xf>
    <xf numFmtId="3" fontId="3" fillId="7" borderId="57" xfId="0" applyNumberFormat="1" applyFont="1" applyFill="1" applyBorder="1" applyAlignment="1">
      <alignment vertical="center" wrapText="1"/>
    </xf>
    <xf numFmtId="167" fontId="15" fillId="0" borderId="15" xfId="4" applyFont="1" applyBorder="1" applyAlignment="1">
      <alignment horizontal="justify" vertical="center" wrapText="1"/>
    </xf>
    <xf numFmtId="3" fontId="15" fillId="0" borderId="76" xfId="4" applyNumberFormat="1" applyFont="1" applyBorder="1" applyAlignment="1">
      <alignment horizontal="center" vertical="center"/>
    </xf>
    <xf numFmtId="3" fontId="15" fillId="0" borderId="15" xfId="4" applyNumberFormat="1" applyFont="1" applyBorder="1" applyAlignment="1">
      <alignment horizontal="center" vertical="center"/>
    </xf>
    <xf numFmtId="3" fontId="15" fillId="0" borderId="15" xfId="0" applyNumberFormat="1" applyFont="1" applyBorder="1" applyAlignment="1">
      <alignment horizontal="center" vertical="center" wrapText="1"/>
    </xf>
    <xf numFmtId="3" fontId="15" fillId="0" borderId="57" xfId="0" applyNumberFormat="1" applyFont="1" applyBorder="1" applyAlignment="1">
      <alignment horizontal="center" vertical="center" wrapText="1"/>
    </xf>
    <xf numFmtId="172" fontId="19" fillId="0" borderId="76" xfId="0" applyNumberFormat="1" applyFont="1" applyBorder="1" applyAlignment="1">
      <alignment horizontal="center" vertical="center"/>
    </xf>
    <xf numFmtId="172" fontId="19" fillId="0" borderId="15" xfId="0" applyNumberFormat="1" applyFont="1" applyBorder="1" applyAlignment="1">
      <alignment horizontal="center" vertical="center"/>
    </xf>
    <xf numFmtId="172" fontId="19" fillId="0" borderId="57" xfId="0" applyNumberFormat="1" applyFont="1" applyBorder="1" applyAlignment="1">
      <alignment horizontal="center" vertical="center"/>
    </xf>
    <xf numFmtId="0" fontId="33" fillId="0" borderId="72" xfId="0" applyFont="1" applyBorder="1" applyAlignment="1">
      <alignment horizontal="center" vertical="center" wrapText="1"/>
    </xf>
    <xf numFmtId="0" fontId="33" fillId="0" borderId="72" xfId="0" applyFont="1" applyBorder="1" applyAlignment="1">
      <alignment horizontal="center" vertical="center"/>
    </xf>
    <xf numFmtId="0" fontId="33" fillId="0" borderId="73" xfId="0" applyFont="1" applyBorder="1" applyAlignment="1">
      <alignment horizontal="center" vertical="center"/>
    </xf>
    <xf numFmtId="3" fontId="28" fillId="0" borderId="17" xfId="0" applyNumberFormat="1" applyFont="1" applyBorder="1" applyAlignment="1">
      <alignment horizontal="center" vertical="center"/>
    </xf>
    <xf numFmtId="3" fontId="33" fillId="0" borderId="17" xfId="0" applyNumberFormat="1" applyFont="1" applyBorder="1" applyAlignment="1">
      <alignment horizontal="center" vertical="center"/>
    </xf>
    <xf numFmtId="173" fontId="15" fillId="0" borderId="15" xfId="8" applyFont="1" applyBorder="1" applyAlignment="1">
      <alignment horizontal="center" vertical="center" wrapText="1"/>
    </xf>
    <xf numFmtId="173" fontId="15" fillId="0" borderId="57" xfId="8" applyFont="1" applyBorder="1" applyAlignment="1">
      <alignment horizontal="center" vertical="center" wrapText="1"/>
    </xf>
    <xf numFmtId="173" fontId="15" fillId="7" borderId="15" xfId="8" applyFont="1" applyFill="1" applyBorder="1" applyAlignment="1">
      <alignment horizontal="center" vertical="center" wrapText="1"/>
    </xf>
    <xf numFmtId="173" fontId="15" fillId="7" borderId="57" xfId="8" applyFont="1" applyFill="1" applyBorder="1" applyAlignment="1">
      <alignment horizontal="center" vertical="center" wrapText="1"/>
    </xf>
    <xf numFmtId="9" fontId="15" fillId="0" borderId="15" xfId="0" applyNumberFormat="1" applyFont="1" applyBorder="1" applyAlignment="1">
      <alignment horizontal="center" vertical="center" wrapText="1"/>
    </xf>
    <xf numFmtId="9" fontId="15" fillId="0" borderId="57" xfId="0" applyNumberFormat="1" applyFont="1" applyBorder="1" applyAlignment="1">
      <alignment horizontal="center" vertical="center" wrapText="1"/>
    </xf>
    <xf numFmtId="3" fontId="33" fillId="0" borderId="16" xfId="0" applyNumberFormat="1" applyFont="1" applyBorder="1" applyAlignment="1">
      <alignment horizontal="center" vertical="center" wrapText="1"/>
    </xf>
    <xf numFmtId="3" fontId="33" fillId="0" borderId="58" xfId="0" applyNumberFormat="1" applyFont="1" applyBorder="1" applyAlignment="1">
      <alignment horizontal="center" vertical="center" wrapText="1"/>
    </xf>
    <xf numFmtId="3" fontId="18" fillId="0" borderId="15" xfId="0" applyNumberFormat="1" applyFont="1" applyBorder="1" applyAlignment="1">
      <alignment horizontal="center" vertical="center" wrapText="1"/>
    </xf>
    <xf numFmtId="3" fontId="18" fillId="0" borderId="57" xfId="0" applyNumberFormat="1" applyFont="1" applyBorder="1" applyAlignment="1">
      <alignment horizontal="center" vertical="center" wrapText="1"/>
    </xf>
    <xf numFmtId="3" fontId="33" fillId="0" borderId="1" xfId="0" applyNumberFormat="1" applyFont="1" applyBorder="1" applyAlignment="1">
      <alignment horizontal="center" vertical="center"/>
    </xf>
    <xf numFmtId="1" fontId="15" fillId="7" borderId="15" xfId="4" applyNumberFormat="1" applyFont="1" applyFill="1" applyBorder="1" applyAlignment="1">
      <alignment horizontal="center" vertical="center"/>
    </xf>
    <xf numFmtId="9" fontId="15" fillId="7" borderId="76" xfId="3" applyNumberFormat="1" applyFont="1" applyFill="1" applyBorder="1" applyAlignment="1">
      <alignment horizontal="center" vertical="center" wrapText="1"/>
    </xf>
    <xf numFmtId="9" fontId="15" fillId="7" borderId="57" xfId="3" applyNumberFormat="1" applyFont="1" applyFill="1" applyBorder="1" applyAlignment="1">
      <alignment horizontal="center" vertical="center" wrapText="1"/>
    </xf>
    <xf numFmtId="1" fontId="17" fillId="7" borderId="1" xfId="4" applyNumberFormat="1" applyFont="1" applyFill="1" applyBorder="1" applyAlignment="1">
      <alignment horizontal="center" vertical="center" wrapText="1"/>
    </xf>
    <xf numFmtId="1" fontId="17" fillId="7" borderId="76" xfId="4" applyNumberFormat="1" applyFont="1" applyFill="1" applyBorder="1" applyAlignment="1">
      <alignment horizontal="center" vertical="center" wrapText="1"/>
    </xf>
    <xf numFmtId="1" fontId="17" fillId="0" borderId="29" xfId="0" applyNumberFormat="1" applyFont="1" applyBorder="1" applyAlignment="1">
      <alignment horizontal="center" vertical="center" wrapText="1"/>
    </xf>
    <xf numFmtId="1" fontId="17" fillId="0" borderId="16" xfId="0" applyNumberFormat="1" applyFont="1" applyBorder="1" applyAlignment="1">
      <alignment horizontal="center" vertical="center" wrapText="1"/>
    </xf>
    <xf numFmtId="1" fontId="17" fillId="0" borderId="58" xfId="0" applyNumberFormat="1" applyFont="1" applyBorder="1" applyAlignment="1">
      <alignment horizontal="center" vertical="center" wrapText="1"/>
    </xf>
    <xf numFmtId="0" fontId="17" fillId="0" borderId="29" xfId="0" applyFont="1" applyBorder="1" applyAlignment="1">
      <alignment horizontal="center" vertical="center"/>
    </xf>
    <xf numFmtId="0" fontId="17" fillId="0" borderId="16" xfId="0" applyFont="1" applyBorder="1" applyAlignment="1">
      <alignment horizontal="center" vertical="center"/>
    </xf>
    <xf numFmtId="0" fontId="17" fillId="0" borderId="58" xfId="0" applyFont="1" applyBorder="1" applyAlignment="1">
      <alignment horizontal="center" vertical="center"/>
    </xf>
    <xf numFmtId="0" fontId="17" fillId="0" borderId="52" xfId="0" applyFont="1" applyBorder="1" applyAlignment="1">
      <alignment horizontal="center" vertical="center"/>
    </xf>
    <xf numFmtId="0" fontId="17" fillId="0" borderId="17" xfId="0" applyFont="1" applyBorder="1" applyAlignment="1">
      <alignment horizontal="center" vertical="center"/>
    </xf>
    <xf numFmtId="0" fontId="17" fillId="0" borderId="59" xfId="0" applyFont="1" applyBorder="1" applyAlignment="1">
      <alignment horizontal="center" vertical="center"/>
    </xf>
    <xf numFmtId="1" fontId="15" fillId="7" borderId="52" xfId="10" applyNumberFormat="1" applyFont="1" applyFill="1" applyBorder="1" applyAlignment="1">
      <alignment horizontal="center" vertical="center" wrapText="1"/>
    </xf>
    <xf numFmtId="1" fontId="15" fillId="7" borderId="17" xfId="10" applyNumberFormat="1" applyFont="1" applyFill="1" applyBorder="1" applyAlignment="1">
      <alignment horizontal="center" vertical="center" wrapText="1"/>
    </xf>
    <xf numFmtId="1" fontId="15" fillId="0" borderId="76" xfId="4" applyNumberFormat="1" applyFont="1" applyBorder="1" applyAlignment="1">
      <alignment horizontal="center" vertical="center"/>
    </xf>
    <xf numFmtId="1" fontId="15" fillId="0" borderId="15" xfId="4" applyNumberFormat="1" applyFont="1" applyBorder="1" applyAlignment="1">
      <alignment horizontal="center" vertical="center"/>
    </xf>
    <xf numFmtId="49" fontId="15" fillId="0" borderId="57" xfId="4" applyNumberFormat="1" applyFont="1" applyBorder="1" applyAlignment="1">
      <alignment horizontal="center" vertical="center" wrapText="1"/>
    </xf>
    <xf numFmtId="167" fontId="15" fillId="7" borderId="57" xfId="4" applyFont="1" applyFill="1" applyBorder="1" applyAlignment="1">
      <alignment horizontal="justify" vertical="center" wrapText="1"/>
    </xf>
    <xf numFmtId="9" fontId="15" fillId="7" borderId="1" xfId="3" applyFont="1" applyFill="1" applyBorder="1" applyAlignment="1">
      <alignment horizontal="center" vertical="center" wrapText="1"/>
    </xf>
    <xf numFmtId="3" fontId="15" fillId="7" borderId="52" xfId="4" applyNumberFormat="1" applyFont="1" applyFill="1" applyBorder="1" applyAlignment="1">
      <alignment horizontal="center" vertical="center" wrapText="1"/>
    </xf>
    <xf numFmtId="3" fontId="15" fillId="7" borderId="17" xfId="4" applyNumberFormat="1" applyFont="1" applyFill="1" applyBorder="1" applyAlignment="1">
      <alignment horizontal="center" vertical="center" wrapText="1"/>
    </xf>
    <xf numFmtId="3" fontId="15" fillId="7" borderId="59" xfId="4" applyNumberFormat="1" applyFont="1" applyFill="1" applyBorder="1" applyAlignment="1">
      <alignment horizontal="center" vertical="center" wrapText="1"/>
    </xf>
    <xf numFmtId="1" fontId="15" fillId="0" borderId="57" xfId="4" applyNumberFormat="1" applyFont="1" applyBorder="1" applyAlignment="1">
      <alignment horizontal="center" vertical="center"/>
    </xf>
    <xf numFmtId="3" fontId="3" fillId="0" borderId="29" xfId="0" applyNumberFormat="1" applyFont="1" applyFill="1" applyBorder="1" applyAlignment="1">
      <alignment vertical="center"/>
    </xf>
    <xf numFmtId="3" fontId="3" fillId="0" borderId="16" xfId="0" applyNumberFormat="1" applyFont="1" applyFill="1" applyBorder="1" applyAlignment="1">
      <alignment vertical="center"/>
    </xf>
    <xf numFmtId="3" fontId="3" fillId="0" borderId="58" xfId="0" applyNumberFormat="1" applyFont="1" applyFill="1" applyBorder="1" applyAlignment="1">
      <alignment vertical="center"/>
    </xf>
    <xf numFmtId="3" fontId="3" fillId="0" borderId="1" xfId="0" applyNumberFormat="1" applyFont="1" applyFill="1" applyBorder="1" applyAlignment="1">
      <alignment vertical="center"/>
    </xf>
    <xf numFmtId="3" fontId="28" fillId="0" borderId="1" xfId="0" applyNumberFormat="1" applyFont="1" applyBorder="1" applyAlignment="1">
      <alignment horizontal="center" vertical="center" wrapText="1"/>
    </xf>
    <xf numFmtId="182" fontId="15" fillId="0" borderId="1" xfId="0" applyNumberFormat="1" applyFont="1" applyBorder="1" applyAlignment="1">
      <alignment horizontal="center" vertical="center"/>
    </xf>
    <xf numFmtId="182" fontId="18" fillId="0" borderId="1" xfId="0" applyNumberFormat="1" applyFont="1" applyBorder="1" applyAlignment="1">
      <alignment horizontal="center" vertical="center"/>
    </xf>
    <xf numFmtId="3" fontId="18" fillId="0" borderId="1" xfId="0" applyNumberFormat="1" applyFont="1" applyBorder="1" applyAlignment="1">
      <alignment horizontal="center" vertical="center"/>
    </xf>
    <xf numFmtId="172" fontId="15" fillId="0" borderId="63" xfId="0" applyNumberFormat="1" applyFont="1" applyBorder="1" applyAlignment="1">
      <alignment horizontal="center" vertical="center" wrapText="1"/>
    </xf>
    <xf numFmtId="173" fontId="15" fillId="7" borderId="1" xfId="8" applyFont="1" applyFill="1" applyBorder="1" applyAlignment="1">
      <alignment horizontal="center" vertical="center"/>
    </xf>
    <xf numFmtId="9" fontId="15" fillId="0" borderId="1" xfId="0" applyNumberFormat="1" applyFont="1" applyBorder="1" applyAlignment="1">
      <alignment horizontal="center" vertical="center"/>
    </xf>
    <xf numFmtId="1" fontId="15" fillId="7" borderId="1" xfId="4" applyNumberFormat="1" applyFont="1" applyFill="1" applyBorder="1" applyAlignment="1">
      <alignment horizontal="center" vertical="center" wrapText="1"/>
    </xf>
    <xf numFmtId="0" fontId="15" fillId="0" borderId="7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7" xfId="0" applyFont="1" applyBorder="1" applyAlignment="1">
      <alignment horizontal="center" vertical="center" wrapText="1"/>
    </xf>
    <xf numFmtId="169" fontId="13" fillId="0" borderId="1" xfId="0" applyNumberFormat="1" applyFont="1" applyBorder="1" applyAlignment="1">
      <alignment horizontal="center" vertical="center"/>
    </xf>
    <xf numFmtId="173" fontId="15" fillId="0" borderId="1" xfId="8" applyFont="1" applyBorder="1" applyAlignment="1">
      <alignment horizontal="center" vertical="center"/>
    </xf>
    <xf numFmtId="3" fontId="3" fillId="0" borderId="29" xfId="0" applyNumberFormat="1" applyFont="1" applyBorder="1" applyAlignment="1">
      <alignment vertical="center"/>
    </xf>
    <xf numFmtId="3" fontId="3" fillId="0" borderId="16" xfId="0" applyNumberFormat="1" applyFont="1" applyBorder="1" applyAlignment="1">
      <alignment vertical="center"/>
    </xf>
    <xf numFmtId="9" fontId="15" fillId="7" borderId="76" xfId="3" applyFont="1" applyFill="1" applyBorder="1" applyAlignment="1">
      <alignment horizontal="center" vertical="center"/>
    </xf>
    <xf numFmtId="9" fontId="15" fillId="7" borderId="15" xfId="3" applyFont="1" applyFill="1" applyBorder="1" applyAlignment="1">
      <alignment horizontal="center" vertical="center"/>
    </xf>
    <xf numFmtId="167" fontId="15" fillId="7" borderId="3" xfId="4" applyFont="1" applyFill="1" applyBorder="1" applyAlignment="1">
      <alignment horizontal="center" vertical="center" wrapText="1"/>
    </xf>
    <xf numFmtId="3" fontId="3" fillId="0" borderId="0" xfId="0" applyNumberFormat="1" applyFont="1" applyFill="1" applyAlignment="1">
      <alignment vertical="center"/>
    </xf>
    <xf numFmtId="3" fontId="3" fillId="0" borderId="53" xfId="0" applyNumberFormat="1" applyFont="1" applyFill="1" applyBorder="1" applyAlignment="1">
      <alignment vertical="center"/>
    </xf>
    <xf numFmtId="3" fontId="3" fillId="0" borderId="55" xfId="0" applyNumberFormat="1" applyFont="1" applyBorder="1" applyAlignment="1">
      <alignment horizontal="center" vertical="center"/>
    </xf>
    <xf numFmtId="3" fontId="3" fillId="0" borderId="0" xfId="0" applyNumberFormat="1" applyFont="1" applyAlignment="1">
      <alignment horizontal="center" vertical="center"/>
    </xf>
    <xf numFmtId="3" fontId="15" fillId="0" borderId="29" xfId="0" applyNumberFormat="1" applyFont="1" applyBorder="1" applyAlignment="1">
      <alignment horizontal="center" vertical="center"/>
    </xf>
    <xf numFmtId="3" fontId="15" fillId="0" borderId="16" xfId="0" applyNumberFormat="1" applyFont="1" applyBorder="1" applyAlignment="1">
      <alignment horizontal="center" vertical="center"/>
    </xf>
    <xf numFmtId="3" fontId="33" fillId="0" borderId="16" xfId="0" applyNumberFormat="1" applyFont="1" applyBorder="1" applyAlignment="1">
      <alignment horizontal="center" vertical="center"/>
    </xf>
    <xf numFmtId="3" fontId="33" fillId="0" borderId="76" xfId="0" applyNumberFormat="1" applyFont="1" applyBorder="1" applyAlignment="1">
      <alignment horizontal="center" vertical="center"/>
    </xf>
    <xf numFmtId="3" fontId="33" fillId="0" borderId="15"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76" xfId="0" applyNumberFormat="1" applyFont="1" applyBorder="1" applyAlignment="1">
      <alignment vertical="center"/>
    </xf>
    <xf numFmtId="172" fontId="15" fillId="0" borderId="76" xfId="0" applyNumberFormat="1" applyFont="1" applyBorder="1" applyAlignment="1">
      <alignment horizontal="center" vertical="center"/>
    </xf>
    <xf numFmtId="172" fontId="15" fillId="0" borderId="15" xfId="0" applyNumberFormat="1" applyFont="1" applyBorder="1" applyAlignment="1">
      <alignment horizontal="center" vertical="center"/>
    </xf>
    <xf numFmtId="172" fontId="15" fillId="0" borderId="57" xfId="0" applyNumberFormat="1" applyFont="1" applyBorder="1" applyAlignment="1">
      <alignment horizontal="center" vertical="center"/>
    </xf>
    <xf numFmtId="0" fontId="33" fillId="0" borderId="63" xfId="0" applyFont="1" applyBorder="1" applyAlignment="1">
      <alignment horizontal="center" vertical="center"/>
    </xf>
    <xf numFmtId="0" fontId="33" fillId="0" borderId="75" xfId="0" applyFont="1" applyBorder="1" applyAlignment="1">
      <alignment horizontal="center" vertical="center"/>
    </xf>
    <xf numFmtId="0" fontId="17" fillId="10" borderId="1" xfId="0" applyFont="1" applyFill="1" applyBorder="1" applyAlignment="1">
      <alignment horizontal="center" vertical="center" wrapText="1"/>
    </xf>
    <xf numFmtId="0" fontId="15" fillId="7" borderId="76" xfId="4" applyNumberFormat="1" applyFont="1" applyFill="1" applyBorder="1" applyAlignment="1">
      <alignment horizontal="center" vertical="center" wrapText="1"/>
    </xf>
    <xf numFmtId="0" fontId="15" fillId="7" borderId="15" xfId="4" applyNumberFormat="1" applyFont="1" applyFill="1" applyBorder="1" applyAlignment="1">
      <alignment horizontal="center" vertical="center" wrapText="1"/>
    </xf>
    <xf numFmtId="167" fontId="15" fillId="7" borderId="16" xfId="4" applyFont="1" applyFill="1" applyBorder="1" applyAlignment="1">
      <alignment horizontal="justify" vertical="center" wrapText="1"/>
    </xf>
    <xf numFmtId="9" fontId="15" fillId="7" borderId="57" xfId="3" applyFont="1" applyFill="1" applyBorder="1" applyAlignment="1">
      <alignment horizontal="center" vertical="center"/>
    </xf>
    <xf numFmtId="167" fontId="15" fillId="7" borderId="29" xfId="4" applyFont="1" applyFill="1" applyBorder="1" applyAlignment="1">
      <alignment horizontal="justify" vertical="center" wrapText="1"/>
    </xf>
    <xf numFmtId="1" fontId="15" fillId="7" borderId="15" xfId="10" applyNumberFormat="1" applyFont="1" applyFill="1" applyBorder="1" applyAlignment="1">
      <alignment horizontal="center" vertical="center" wrapText="1"/>
    </xf>
    <xf numFmtId="3" fontId="15" fillId="0" borderId="57" xfId="4" applyNumberFormat="1" applyFont="1" applyBorder="1" applyAlignment="1">
      <alignment horizontal="center" vertical="center"/>
    </xf>
    <xf numFmtId="167" fontId="15" fillId="7" borderId="76" xfId="4" applyFont="1" applyFill="1" applyBorder="1" applyAlignment="1">
      <alignment horizontal="center" vertical="center"/>
    </xf>
    <xf numFmtId="167" fontId="15" fillId="7" borderId="15" xfId="4" applyFont="1" applyFill="1" applyBorder="1" applyAlignment="1">
      <alignment horizontal="center" vertical="center"/>
    </xf>
    <xf numFmtId="3" fontId="3" fillId="0" borderId="15" xfId="0" applyNumberFormat="1" applyFont="1" applyBorder="1" applyAlignment="1">
      <alignment vertical="center"/>
    </xf>
    <xf numFmtId="3" fontId="3" fillId="0" borderId="57" xfId="0" applyNumberFormat="1" applyFont="1" applyBorder="1" applyAlignment="1">
      <alignment vertical="center"/>
    </xf>
    <xf numFmtId="3" fontId="3" fillId="7" borderId="76" xfId="0" applyNumberFormat="1" applyFont="1" applyFill="1" applyBorder="1" applyAlignment="1">
      <alignment vertical="center"/>
    </xf>
    <xf numFmtId="3" fontId="3" fillId="7" borderId="15" xfId="0" applyNumberFormat="1" applyFont="1" applyFill="1" applyBorder="1" applyAlignment="1">
      <alignment vertical="center"/>
    </xf>
    <xf numFmtId="3" fontId="3" fillId="7" borderId="57" xfId="0" applyNumberFormat="1" applyFont="1" applyFill="1" applyBorder="1" applyAlignment="1">
      <alignment vertical="center"/>
    </xf>
    <xf numFmtId="181" fontId="3" fillId="0" borderId="76" xfId="4" applyNumberFormat="1" applyFont="1" applyFill="1" applyBorder="1" applyAlignment="1">
      <alignment horizontal="center" vertical="center"/>
    </xf>
    <xf numFmtId="181" fontId="3" fillId="0" borderId="57" xfId="4" applyNumberFormat="1" applyFont="1" applyFill="1" applyBorder="1" applyAlignment="1">
      <alignment horizontal="center" vertical="center"/>
    </xf>
    <xf numFmtId="181" fontId="3" fillId="0" borderId="15" xfId="4" applyNumberFormat="1" applyFont="1" applyFill="1" applyBorder="1" applyAlignment="1">
      <alignment horizontal="center" vertical="center"/>
    </xf>
    <xf numFmtId="3" fontId="18" fillId="0" borderId="76" xfId="0" applyNumberFormat="1" applyFont="1" applyBorder="1" applyAlignment="1">
      <alignment horizontal="justify" vertical="center"/>
    </xf>
    <xf numFmtId="3" fontId="18" fillId="0" borderId="15" xfId="0" applyNumberFormat="1" applyFont="1" applyBorder="1" applyAlignment="1">
      <alignment horizontal="justify" vertical="center"/>
    </xf>
    <xf numFmtId="3" fontId="15" fillId="0" borderId="76" xfId="0" applyNumberFormat="1" applyFont="1" applyBorder="1" applyAlignment="1">
      <alignment horizontal="justify" vertical="center"/>
    </xf>
    <xf numFmtId="3" fontId="15" fillId="0" borderId="15" xfId="0" applyNumberFormat="1" applyFont="1" applyBorder="1" applyAlignment="1">
      <alignment horizontal="justify" vertical="center"/>
    </xf>
    <xf numFmtId="3" fontId="15" fillId="7" borderId="76" xfId="0" applyNumberFormat="1" applyFont="1" applyFill="1" applyBorder="1" applyAlignment="1">
      <alignment horizontal="center" vertical="center"/>
    </xf>
    <xf numFmtId="3" fontId="15" fillId="7" borderId="15" xfId="0" applyNumberFormat="1" applyFont="1" applyFill="1" applyBorder="1" applyAlignment="1">
      <alignment horizontal="center" vertical="center"/>
    </xf>
    <xf numFmtId="9" fontId="15" fillId="7" borderId="1" xfId="3" applyFont="1" applyFill="1" applyBorder="1" applyAlignment="1">
      <alignment horizontal="center" vertical="center"/>
    </xf>
    <xf numFmtId="0" fontId="15" fillId="0" borderId="76" xfId="0" applyFont="1" applyFill="1" applyBorder="1" applyAlignment="1">
      <alignment horizontal="center" vertical="center" wrapText="1"/>
    </xf>
    <xf numFmtId="0" fontId="15" fillId="0" borderId="57" xfId="0" applyFont="1" applyFill="1" applyBorder="1" applyAlignment="1">
      <alignment horizontal="center" vertical="center" wrapText="1"/>
    </xf>
    <xf numFmtId="180" fontId="3" fillId="0" borderId="76" xfId="4" applyNumberFormat="1" applyFont="1" applyFill="1" applyBorder="1" applyAlignment="1">
      <alignment horizontal="center" vertical="center"/>
    </xf>
    <xf numFmtId="180" fontId="3" fillId="0" borderId="57" xfId="4" applyNumberFormat="1" applyFont="1" applyFill="1" applyBorder="1" applyAlignment="1">
      <alignment horizontal="center" vertical="center"/>
    </xf>
    <xf numFmtId="0" fontId="15" fillId="0" borderId="76" xfId="0" applyFont="1" applyFill="1" applyBorder="1" applyAlignment="1">
      <alignment horizontal="left" vertical="center" wrapText="1"/>
    </xf>
    <xf numFmtId="0" fontId="15" fillId="0" borderId="57" xfId="0" applyFont="1" applyFill="1" applyBorder="1" applyAlignment="1">
      <alignment horizontal="left" vertical="center" wrapText="1"/>
    </xf>
    <xf numFmtId="180" fontId="3" fillId="0" borderId="15" xfId="4" applyNumberFormat="1" applyFont="1" applyFill="1" applyBorder="1" applyAlignment="1">
      <alignment horizontal="center" vertical="center"/>
    </xf>
    <xf numFmtId="14" fontId="33" fillId="0" borderId="76" xfId="0" applyNumberFormat="1" applyFont="1" applyBorder="1" applyAlignment="1">
      <alignment horizontal="center" vertical="center"/>
    </xf>
    <xf numFmtId="14" fontId="33" fillId="0" borderId="15" xfId="0" applyNumberFormat="1" applyFont="1" applyBorder="1" applyAlignment="1">
      <alignment horizontal="center" vertical="center"/>
    </xf>
    <xf numFmtId="14" fontId="33" fillId="0" borderId="57" xfId="0" applyNumberFormat="1" applyFont="1" applyBorder="1" applyAlignment="1">
      <alignment horizontal="center" vertical="center"/>
    </xf>
    <xf numFmtId="3" fontId="15" fillId="0" borderId="1" xfId="4" applyNumberFormat="1" applyFont="1" applyBorder="1" applyAlignment="1">
      <alignment horizontal="center" vertical="center"/>
    </xf>
    <xf numFmtId="167" fontId="15" fillId="0" borderId="1" xfId="4" applyFont="1" applyBorder="1" applyAlignment="1">
      <alignment horizontal="justify" vertical="center" wrapText="1"/>
    </xf>
    <xf numFmtId="3" fontId="15" fillId="7" borderId="1" xfId="4" applyNumberFormat="1" applyFont="1" applyFill="1" applyBorder="1" applyAlignment="1">
      <alignment horizontal="center" vertical="center"/>
    </xf>
    <xf numFmtId="167" fontId="15" fillId="7" borderId="17" xfId="4" applyFont="1" applyFill="1" applyBorder="1" applyAlignment="1">
      <alignment horizontal="center" vertical="center"/>
    </xf>
    <xf numFmtId="9" fontId="15" fillId="0" borderId="1" xfId="4" applyNumberFormat="1" applyFont="1" applyBorder="1" applyAlignment="1">
      <alignment horizontal="justify" vertical="center" wrapText="1"/>
    </xf>
    <xf numFmtId="3" fontId="15" fillId="0" borderId="3" xfId="4" applyNumberFormat="1" applyFont="1" applyBorder="1" applyAlignment="1">
      <alignment horizontal="center" vertical="center"/>
    </xf>
    <xf numFmtId="1" fontId="15" fillId="7" borderId="1" xfId="0" applyNumberFormat="1" applyFont="1" applyFill="1" applyBorder="1" applyAlignment="1">
      <alignment horizontal="center" vertical="center"/>
    </xf>
    <xf numFmtId="9" fontId="15" fillId="0" borderId="1" xfId="3" applyFont="1" applyBorder="1" applyAlignment="1">
      <alignment horizontal="center" vertical="center"/>
    </xf>
    <xf numFmtId="3" fontId="18" fillId="0" borderId="57" xfId="0" applyNumberFormat="1" applyFont="1" applyBorder="1" applyAlignment="1">
      <alignment horizontal="center" vertical="center"/>
    </xf>
    <xf numFmtId="1" fontId="17" fillId="7" borderId="29" xfId="4" applyNumberFormat="1" applyFont="1" applyFill="1" applyBorder="1" applyAlignment="1">
      <alignment horizontal="center" vertical="center" wrapText="1"/>
    </xf>
    <xf numFmtId="1" fontId="17" fillId="7" borderId="55" xfId="4" applyNumberFormat="1" applyFont="1" applyFill="1" applyBorder="1" applyAlignment="1">
      <alignment horizontal="center" vertical="center" wrapText="1"/>
    </xf>
    <xf numFmtId="1" fontId="17" fillId="7" borderId="52" xfId="4" applyNumberFormat="1" applyFont="1" applyFill="1" applyBorder="1" applyAlignment="1">
      <alignment horizontal="center" vertical="center" wrapText="1"/>
    </xf>
    <xf numFmtId="1" fontId="17" fillId="7" borderId="16" xfId="4" applyNumberFormat="1" applyFont="1" applyFill="1" applyBorder="1" applyAlignment="1">
      <alignment horizontal="center" vertical="center" wrapText="1"/>
    </xf>
    <xf numFmtId="1" fontId="17" fillId="7" borderId="0" xfId="4" applyNumberFormat="1" applyFont="1" applyFill="1" applyBorder="1" applyAlignment="1">
      <alignment horizontal="center" vertical="center" wrapText="1"/>
    </xf>
    <xf numFmtId="1" fontId="17" fillId="7" borderId="17" xfId="4" applyNumberFormat="1" applyFont="1" applyFill="1" applyBorder="1" applyAlignment="1">
      <alignment horizontal="center" vertical="center" wrapText="1"/>
    </xf>
    <xf numFmtId="1" fontId="17" fillId="7" borderId="58" xfId="4" applyNumberFormat="1" applyFont="1" applyFill="1" applyBorder="1" applyAlignment="1">
      <alignment horizontal="center" vertical="center" wrapText="1"/>
    </xf>
    <xf numFmtId="1" fontId="17" fillId="7" borderId="53" xfId="4" applyNumberFormat="1" applyFont="1" applyFill="1" applyBorder="1" applyAlignment="1">
      <alignment horizontal="center" vertical="center" wrapText="1"/>
    </xf>
    <xf numFmtId="1" fontId="17" fillId="7" borderId="59" xfId="4" applyNumberFormat="1" applyFont="1" applyFill="1" applyBorder="1" applyAlignment="1">
      <alignment horizontal="center" vertical="center" wrapText="1"/>
    </xf>
    <xf numFmtId="167" fontId="15" fillId="7" borderId="76" xfId="4" applyFont="1" applyFill="1" applyBorder="1" applyAlignment="1">
      <alignment horizontal="justify" vertical="center" wrapText="1" shrinkToFit="1"/>
    </xf>
    <xf numFmtId="167" fontId="15" fillId="7" borderId="15" xfId="4" applyFont="1" applyFill="1" applyBorder="1" applyAlignment="1">
      <alignment horizontal="justify" vertical="center" wrapText="1" shrinkToFit="1"/>
    </xf>
    <xf numFmtId="167" fontId="15" fillId="7" borderId="17" xfId="4" applyFont="1" applyFill="1" applyBorder="1" applyAlignment="1">
      <alignment horizontal="center" vertical="center" wrapText="1"/>
    </xf>
    <xf numFmtId="173" fontId="15" fillId="7" borderId="57" xfId="8" applyFont="1" applyFill="1" applyBorder="1" applyAlignment="1">
      <alignment horizontal="center" vertical="center"/>
    </xf>
    <xf numFmtId="9" fontId="15" fillId="0" borderId="57" xfId="0" applyNumberFormat="1" applyFont="1" applyBorder="1" applyAlignment="1">
      <alignment horizontal="center" vertical="center"/>
    </xf>
    <xf numFmtId="3" fontId="15" fillId="0" borderId="1" xfId="0" applyNumberFormat="1" applyFont="1" applyBorder="1" applyAlignment="1">
      <alignment vertical="center"/>
    </xf>
    <xf numFmtId="3" fontId="33" fillId="0" borderId="1" xfId="0" applyNumberFormat="1" applyFont="1" applyBorder="1" applyAlignment="1">
      <alignment vertical="center"/>
    </xf>
    <xf numFmtId="3" fontId="33" fillId="0" borderId="76" xfId="0" applyNumberFormat="1" applyFont="1" applyBorder="1" applyAlignment="1">
      <alignment vertical="center"/>
    </xf>
    <xf numFmtId="193" fontId="15" fillId="7" borderId="76" xfId="4" applyNumberFormat="1" applyFont="1" applyFill="1" applyBorder="1" applyAlignment="1">
      <alignment horizontal="center" vertical="center"/>
    </xf>
    <xf numFmtId="193" fontId="15" fillId="7" borderId="15" xfId="4" applyNumberFormat="1" applyFont="1" applyFill="1" applyBorder="1" applyAlignment="1">
      <alignment horizontal="center" vertical="center"/>
    </xf>
    <xf numFmtId="0" fontId="33" fillId="0" borderId="75" xfId="0" applyFont="1" applyBorder="1" applyAlignment="1">
      <alignment horizontal="center" vertical="center" wrapText="1"/>
    </xf>
    <xf numFmtId="0" fontId="15" fillId="0" borderId="1" xfId="0" applyFont="1" applyBorder="1" applyAlignment="1">
      <alignment horizontal="center"/>
    </xf>
    <xf numFmtId="0" fontId="15" fillId="0" borderId="76" xfId="0" applyFont="1" applyBorder="1" applyAlignment="1">
      <alignment horizontal="center"/>
    </xf>
    <xf numFmtId="3" fontId="15" fillId="7" borderId="1" xfId="0" applyNumberFormat="1" applyFont="1" applyFill="1" applyBorder="1" applyAlignment="1">
      <alignment vertical="center"/>
    </xf>
    <xf numFmtId="3" fontId="15" fillId="7" borderId="76" xfId="0" applyNumberFormat="1" applyFont="1" applyFill="1" applyBorder="1" applyAlignment="1">
      <alignment vertical="center"/>
    </xf>
    <xf numFmtId="3" fontId="15" fillId="7" borderId="1" xfId="0" applyNumberFormat="1" applyFont="1" applyFill="1" applyBorder="1" applyAlignment="1">
      <alignment horizontal="center" vertical="center"/>
    </xf>
    <xf numFmtId="3" fontId="33" fillId="7" borderId="1" xfId="0" applyNumberFormat="1" applyFont="1" applyFill="1" applyBorder="1" applyAlignment="1">
      <alignment horizontal="center" vertical="center"/>
    </xf>
    <xf numFmtId="3" fontId="33" fillId="7" borderId="76" xfId="0" applyNumberFormat="1" applyFont="1" applyFill="1" applyBorder="1" applyAlignment="1">
      <alignment horizontal="center" vertical="center"/>
    </xf>
    <xf numFmtId="14" fontId="15" fillId="0" borderId="76" xfId="0" applyNumberFormat="1" applyFont="1" applyBorder="1" applyAlignment="1">
      <alignment horizontal="center" vertical="center"/>
    </xf>
    <xf numFmtId="14" fontId="15" fillId="0" borderId="15" xfId="0" applyNumberFormat="1" applyFont="1" applyBorder="1" applyAlignment="1">
      <alignment horizontal="center" vertical="center"/>
    </xf>
    <xf numFmtId="14" fontId="15" fillId="0" borderId="57" xfId="0" applyNumberFormat="1" applyFont="1" applyBorder="1" applyAlignment="1">
      <alignment horizontal="center" vertical="center"/>
    </xf>
    <xf numFmtId="0" fontId="17" fillId="8" borderId="1" xfId="0" applyFont="1" applyFill="1" applyBorder="1" applyAlignment="1">
      <alignment horizontal="center" vertical="center"/>
    </xf>
    <xf numFmtId="3" fontId="28" fillId="0" borderId="1" xfId="0" applyNumberFormat="1" applyFont="1" applyBorder="1" applyAlignment="1">
      <alignment horizontal="center" vertical="center"/>
    </xf>
    <xf numFmtId="0" fontId="15" fillId="0" borderId="1" xfId="0" applyFont="1" applyFill="1" applyBorder="1" applyAlignment="1">
      <alignment vertical="center"/>
    </xf>
    <xf numFmtId="0" fontId="15" fillId="0" borderId="76" xfId="0" applyFont="1" applyFill="1" applyBorder="1" applyAlignment="1">
      <alignment vertical="center"/>
    </xf>
    <xf numFmtId="0" fontId="15" fillId="0" borderId="76" xfId="0" applyFont="1" applyBorder="1" applyAlignment="1">
      <alignment horizontal="center" vertical="center"/>
    </xf>
    <xf numFmtId="0" fontId="15" fillId="0" borderId="15" xfId="0" applyFont="1" applyBorder="1" applyAlignment="1">
      <alignment horizontal="center" vertical="center"/>
    </xf>
    <xf numFmtId="0" fontId="15" fillId="0" borderId="1" xfId="0" applyFont="1" applyBorder="1" applyAlignment="1">
      <alignment horizontal="center" vertical="center"/>
    </xf>
    <xf numFmtId="0" fontId="33" fillId="0" borderId="1" xfId="0" applyFont="1" applyBorder="1" applyAlignment="1">
      <alignment horizontal="center" vertical="center"/>
    </xf>
    <xf numFmtId="0" fontId="33" fillId="0" borderId="76" xfId="0" applyFont="1" applyBorder="1" applyAlignment="1">
      <alignment horizontal="center" vertical="center"/>
    </xf>
    <xf numFmtId="0" fontId="15" fillId="0" borderId="5" xfId="0" applyFont="1" applyBorder="1" applyAlignment="1">
      <alignment horizontal="center" vertical="center"/>
    </xf>
    <xf numFmtId="0" fontId="33" fillId="0" borderId="5" xfId="0" applyFont="1" applyBorder="1" applyAlignment="1">
      <alignment horizontal="center" vertical="center"/>
    </xf>
    <xf numFmtId="0" fontId="33" fillId="0" borderId="52" xfId="0" applyFont="1" applyBorder="1" applyAlignment="1">
      <alignment horizontal="center" vertical="center"/>
    </xf>
    <xf numFmtId="0" fontId="18" fillId="0" borderId="76" xfId="0" applyFont="1" applyBorder="1" applyAlignment="1">
      <alignment horizontal="center" vertical="center"/>
    </xf>
    <xf numFmtId="0" fontId="18" fillId="0" borderId="15" xfId="0" applyFont="1" applyBorder="1" applyAlignment="1">
      <alignment horizontal="center" vertical="center"/>
    </xf>
    <xf numFmtId="0" fontId="37" fillId="0" borderId="0" xfId="0" applyFont="1" applyAlignment="1">
      <alignment horizontal="center" vertical="center"/>
    </xf>
    <xf numFmtId="172" fontId="15" fillId="0" borderId="19" xfId="0" applyNumberFormat="1" applyFont="1" applyBorder="1" applyAlignment="1">
      <alignment horizontal="center" vertical="center"/>
    </xf>
    <xf numFmtId="14" fontId="15" fillId="0" borderId="19" xfId="0" applyNumberFormat="1" applyFont="1" applyBorder="1" applyAlignment="1">
      <alignment horizontal="center" vertical="center"/>
    </xf>
    <xf numFmtId="0" fontId="18" fillId="0" borderId="1" xfId="0" applyFont="1" applyBorder="1" applyAlignment="1">
      <alignment horizontal="center" vertical="center"/>
    </xf>
    <xf numFmtId="0" fontId="28" fillId="0" borderId="1" xfId="0" applyFont="1" applyBorder="1" applyAlignment="1">
      <alignment horizontal="center" vertical="center"/>
    </xf>
    <xf numFmtId="0" fontId="28" fillId="0" borderId="76" xfId="0" applyFont="1" applyBorder="1" applyAlignment="1">
      <alignment horizontal="center" vertical="center"/>
    </xf>
    <xf numFmtId="1" fontId="15" fillId="0" borderId="76" xfId="0" applyNumberFormat="1" applyFont="1" applyBorder="1" applyAlignment="1">
      <alignment horizontal="center" vertical="center"/>
    </xf>
    <xf numFmtId="1" fontId="15" fillId="0" borderId="15" xfId="0" applyNumberFormat="1" applyFont="1" applyBorder="1" applyAlignment="1">
      <alignment horizontal="center"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77" xfId="0" applyFont="1" applyBorder="1" applyAlignment="1">
      <alignment horizontal="center" vertical="center"/>
    </xf>
    <xf numFmtId="0" fontId="6" fillId="0" borderId="55" xfId="0" applyFont="1" applyBorder="1" applyAlignment="1">
      <alignment horizontal="center" vertical="center"/>
    </xf>
    <xf numFmtId="0" fontId="6" fillId="0" borderId="52" xfId="0" applyFont="1" applyBorder="1" applyAlignment="1">
      <alignment horizontal="center" vertical="center"/>
    </xf>
    <xf numFmtId="0" fontId="6" fillId="0" borderId="64" xfId="0" applyFont="1" applyBorder="1" applyAlignment="1">
      <alignment horizontal="center" vertical="center"/>
    </xf>
    <xf numFmtId="0" fontId="6" fillId="0" borderId="53" xfId="0" applyFont="1" applyBorder="1" applyAlignment="1">
      <alignment horizontal="center" vertical="center"/>
    </xf>
    <xf numFmtId="0" fontId="6" fillId="0" borderId="59" xfId="0" applyFont="1" applyBorder="1" applyAlignment="1">
      <alignment horizontal="center" vertical="center"/>
    </xf>
    <xf numFmtId="0" fontId="6" fillId="0" borderId="1" xfId="0" applyFont="1" applyBorder="1" applyAlignment="1">
      <alignment horizontal="center" vertical="center"/>
    </xf>
    <xf numFmtId="0" fontId="6" fillId="0" borderId="63"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6" xfId="0" applyFont="1" applyBorder="1" applyAlignment="1">
      <alignment horizontal="center" vertical="center"/>
    </xf>
    <xf numFmtId="1" fontId="6" fillId="3" borderId="70" xfId="0" applyNumberFormat="1" applyFont="1" applyFill="1" applyBorder="1" applyAlignment="1">
      <alignment horizontal="center" vertical="center" wrapText="1"/>
    </xf>
    <xf numFmtId="1" fontId="6" fillId="3" borderId="71" xfId="0" applyNumberFormat="1" applyFont="1" applyFill="1" applyBorder="1" applyAlignment="1">
      <alignment horizontal="center" vertical="center" wrapText="1"/>
    </xf>
    <xf numFmtId="1" fontId="6" fillId="3" borderId="42" xfId="0" applyNumberFormat="1" applyFont="1" applyFill="1" applyBorder="1" applyAlignment="1">
      <alignment horizontal="center" vertical="center" wrapText="1"/>
    </xf>
    <xf numFmtId="0" fontId="21" fillId="5" borderId="76"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57" xfId="0" applyFont="1" applyFill="1" applyBorder="1" applyAlignment="1">
      <alignment horizontal="center" vertical="center" wrapText="1"/>
    </xf>
    <xf numFmtId="171" fontId="21" fillId="5" borderId="29" xfId="6" applyFont="1" applyFill="1" applyBorder="1" applyAlignment="1">
      <alignment horizontal="center" vertical="center" wrapText="1"/>
    </xf>
    <xf numFmtId="171" fontId="21" fillId="5" borderId="55" xfId="6" applyFont="1" applyFill="1" applyBorder="1" applyAlignment="1">
      <alignment horizontal="center" vertical="center" wrapText="1"/>
    </xf>
    <xf numFmtId="171" fontId="21" fillId="5" borderId="52" xfId="6" applyFont="1" applyFill="1" applyBorder="1" applyAlignment="1">
      <alignment horizontal="center" vertical="center" wrapText="1"/>
    </xf>
    <xf numFmtId="171" fontId="21" fillId="5" borderId="58" xfId="6" applyFont="1" applyFill="1" applyBorder="1" applyAlignment="1">
      <alignment horizontal="center" vertical="center" wrapText="1"/>
    </xf>
    <xf numFmtId="171" fontId="21" fillId="5" borderId="53" xfId="6" applyFont="1" applyFill="1" applyBorder="1" applyAlignment="1">
      <alignment horizontal="center" vertical="center" wrapText="1"/>
    </xf>
    <xf numFmtId="171" fontId="21" fillId="5" borderId="59" xfId="6" applyFont="1" applyFill="1" applyBorder="1" applyAlignment="1">
      <alignment horizontal="center" vertical="center" wrapText="1"/>
    </xf>
    <xf numFmtId="1" fontId="21" fillId="5" borderId="76" xfId="0" applyNumberFormat="1" applyFont="1" applyFill="1" applyBorder="1" applyAlignment="1">
      <alignment horizontal="center" vertical="center" wrapText="1"/>
    </xf>
    <xf numFmtId="1" fontId="21" fillId="5" borderId="15" xfId="0" applyNumberFormat="1" applyFont="1" applyFill="1" applyBorder="1" applyAlignment="1">
      <alignment horizontal="center" vertical="center" wrapText="1"/>
    </xf>
    <xf numFmtId="1" fontId="21" fillId="5" borderId="57" xfId="0" applyNumberFormat="1" applyFont="1" applyFill="1" applyBorder="1" applyAlignment="1">
      <alignment horizontal="center" vertical="center" wrapText="1"/>
    </xf>
    <xf numFmtId="0" fontId="21" fillId="5" borderId="52"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59" xfId="0" applyFont="1" applyFill="1" applyBorder="1" applyAlignment="1">
      <alignment horizontal="center" vertical="center" wrapText="1"/>
    </xf>
    <xf numFmtId="3" fontId="21" fillId="4" borderId="3" xfId="0" applyNumberFormat="1" applyFont="1" applyFill="1" applyBorder="1" applyAlignment="1">
      <alignment horizontal="center" vertical="center" wrapText="1"/>
    </xf>
    <xf numFmtId="3" fontId="21" fillId="4" borderId="4"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5" borderId="1" xfId="0" applyFont="1" applyFill="1" applyBorder="1" applyAlignment="1">
      <alignment horizontal="center" vertical="center" wrapText="1"/>
    </xf>
    <xf numFmtId="3" fontId="21" fillId="5" borderId="76" xfId="0" applyNumberFormat="1" applyFont="1" applyFill="1" applyBorder="1" applyAlignment="1">
      <alignment horizontal="center" vertical="center" wrapText="1"/>
    </xf>
    <xf numFmtId="3" fontId="21" fillId="5" borderId="15" xfId="0" applyNumberFormat="1" applyFont="1" applyFill="1" applyBorder="1" applyAlignment="1">
      <alignment horizontal="center" vertical="center" wrapText="1"/>
    </xf>
    <xf numFmtId="0" fontId="6" fillId="15" borderId="3" xfId="0" applyFont="1" applyFill="1" applyBorder="1" applyAlignment="1">
      <alignment horizontal="left" vertical="center" wrapText="1"/>
    </xf>
    <xf numFmtId="0" fontId="6" fillId="15" borderId="4" xfId="0" applyFont="1" applyFill="1" applyBorder="1" applyAlignment="1">
      <alignment horizontal="left" vertical="center" wrapText="1"/>
    </xf>
    <xf numFmtId="0" fontId="21" fillId="15" borderId="4" xfId="0" applyFont="1" applyFill="1" applyBorder="1" applyAlignment="1">
      <alignment horizontal="center" vertical="center" wrapText="1"/>
    </xf>
    <xf numFmtId="0" fontId="21" fillId="15" borderId="66" xfId="0" applyFont="1" applyFill="1" applyBorder="1" applyAlignment="1">
      <alignment horizontal="center" vertical="center" wrapText="1"/>
    </xf>
    <xf numFmtId="194" fontId="21" fillId="5" borderId="1" xfId="0" applyNumberFormat="1" applyFont="1" applyFill="1" applyBorder="1" applyAlignment="1">
      <alignment horizontal="center" vertical="center" wrapText="1"/>
    </xf>
    <xf numFmtId="0" fontId="21" fillId="18" borderId="76" xfId="0" applyFont="1" applyFill="1" applyBorder="1" applyAlignment="1">
      <alignment horizontal="center" vertical="center" wrapText="1"/>
    </xf>
    <xf numFmtId="0" fontId="21" fillId="18" borderId="15" xfId="0" applyFont="1" applyFill="1" applyBorder="1" applyAlignment="1">
      <alignment horizontal="center" vertical="center" wrapText="1"/>
    </xf>
    <xf numFmtId="0" fontId="21" fillId="18" borderId="57" xfId="0" applyFont="1" applyFill="1" applyBorder="1" applyAlignment="1">
      <alignment horizontal="center" vertical="center" wrapText="1"/>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29" xfId="0" applyFont="1" applyFill="1" applyBorder="1" applyAlignment="1">
      <alignment horizontal="center" vertical="center" textRotation="90" wrapText="1"/>
    </xf>
    <xf numFmtId="0" fontId="21" fillId="4" borderId="52" xfId="0" applyFont="1" applyFill="1" applyBorder="1" applyAlignment="1">
      <alignment horizontal="center" vertical="center" textRotation="90" wrapText="1"/>
    </xf>
    <xf numFmtId="0" fontId="21" fillId="4" borderId="58" xfId="0" applyFont="1" applyFill="1" applyBorder="1" applyAlignment="1">
      <alignment horizontal="center" vertical="center" textRotation="90" wrapText="1"/>
    </xf>
    <xf numFmtId="0" fontId="21" fillId="4" borderId="59" xfId="0" applyFont="1" applyFill="1" applyBorder="1" applyAlignment="1">
      <alignment horizontal="center" vertical="center" textRotation="90" wrapText="1"/>
    </xf>
    <xf numFmtId="167" fontId="21" fillId="5" borderId="10" xfId="4" applyFont="1" applyFill="1" applyBorder="1" applyAlignment="1">
      <alignment horizontal="center" vertical="center"/>
    </xf>
    <xf numFmtId="167" fontId="21" fillId="5" borderId="11" xfId="4" applyFont="1" applyFill="1" applyBorder="1" applyAlignment="1">
      <alignment horizontal="center" vertical="center"/>
    </xf>
    <xf numFmtId="168" fontId="21" fillId="14" borderId="29" xfId="0" applyNumberFormat="1" applyFont="1" applyFill="1" applyBorder="1" applyAlignment="1">
      <alignment horizontal="center" vertical="center" wrapText="1"/>
    </xf>
    <xf numFmtId="168" fontId="21" fillId="14" borderId="52" xfId="0" applyNumberFormat="1" applyFont="1" applyFill="1" applyBorder="1" applyAlignment="1">
      <alignment horizontal="center" vertical="center" wrapText="1"/>
    </xf>
    <xf numFmtId="168" fontId="21" fillId="14" borderId="58" xfId="0" applyNumberFormat="1" applyFont="1" applyFill="1" applyBorder="1" applyAlignment="1">
      <alignment horizontal="center" vertical="center" wrapText="1"/>
    </xf>
    <xf numFmtId="168" fontId="21" fillId="14" borderId="59" xfId="0" applyNumberFormat="1"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19" fillId="10" borderId="4" xfId="0" applyFont="1" applyFill="1" applyBorder="1" applyAlignment="1">
      <alignment horizontal="center" vertical="center" wrapText="1"/>
    </xf>
    <xf numFmtId="0" fontId="19" fillId="10" borderId="66" xfId="0" applyFont="1" applyFill="1" applyBorder="1" applyAlignment="1">
      <alignment horizontal="center" vertical="center" wrapText="1"/>
    </xf>
    <xf numFmtId="0" fontId="21" fillId="5" borderId="58" xfId="0" applyFont="1" applyFill="1" applyBorder="1" applyAlignment="1">
      <alignment horizontal="center" vertical="center" textRotation="90" wrapText="1"/>
    </xf>
    <xf numFmtId="0" fontId="21" fillId="5" borderId="59" xfId="0" applyFont="1" applyFill="1" applyBorder="1" applyAlignment="1">
      <alignment horizontal="center" vertical="center" textRotation="90" wrapText="1"/>
    </xf>
    <xf numFmtId="165" fontId="21" fillId="5" borderId="1" xfId="0" applyNumberFormat="1" applyFont="1" applyFill="1" applyBorder="1" applyAlignment="1">
      <alignment horizontal="center" vertical="center" wrapText="1"/>
    </xf>
    <xf numFmtId="3" fontId="21" fillId="5" borderId="69" xfId="0" applyNumberFormat="1" applyFont="1" applyFill="1" applyBorder="1" applyAlignment="1">
      <alignment horizontal="center" vertical="center" wrapText="1"/>
    </xf>
    <xf numFmtId="3" fontId="21" fillId="5" borderId="43" xfId="0" applyNumberFormat="1" applyFont="1" applyFill="1" applyBorder="1" applyAlignment="1">
      <alignment horizontal="center" vertical="center" wrapText="1"/>
    </xf>
    <xf numFmtId="3" fontId="21" fillId="5" borderId="65" xfId="0" applyNumberFormat="1" applyFont="1" applyFill="1" applyBorder="1" applyAlignment="1">
      <alignment horizontal="center" vertical="center" wrapText="1"/>
    </xf>
    <xf numFmtId="3" fontId="21" fillId="5" borderId="1" xfId="0" applyNumberFormat="1" applyFont="1" applyFill="1" applyBorder="1" applyAlignment="1">
      <alignment horizontal="center" vertical="center" textRotation="90" wrapText="1"/>
    </xf>
    <xf numFmtId="0" fontId="21" fillId="5" borderId="3" xfId="0" applyFont="1" applyFill="1" applyBorder="1" applyAlignment="1">
      <alignment horizontal="center" vertical="center" textRotation="90" wrapText="1"/>
    </xf>
    <xf numFmtId="0" fontId="21" fillId="5" borderId="5" xfId="0" applyFont="1" applyFill="1" applyBorder="1" applyAlignment="1">
      <alignment horizontal="center" vertical="center" textRotation="90" wrapText="1"/>
    </xf>
    <xf numFmtId="0" fontId="21" fillId="5" borderId="3" xfId="0" applyFont="1" applyFill="1" applyBorder="1" applyAlignment="1">
      <alignment horizontal="center" vertical="center" textRotation="90"/>
    </xf>
    <xf numFmtId="0" fontId="21" fillId="5" borderId="5" xfId="0" applyFont="1" applyFill="1" applyBorder="1" applyAlignment="1">
      <alignment horizontal="center" vertical="center" textRotation="90"/>
    </xf>
    <xf numFmtId="0" fontId="19" fillId="7" borderId="76"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57" xfId="0" applyFont="1" applyFill="1" applyBorder="1" applyAlignment="1">
      <alignment horizontal="center" vertical="center" wrapText="1"/>
    </xf>
    <xf numFmtId="0" fontId="19" fillId="7" borderId="29" xfId="0" applyFont="1" applyFill="1" applyBorder="1" applyAlignment="1">
      <alignment horizontal="center" vertical="center" textRotation="90" wrapText="1"/>
    </xf>
    <xf numFmtId="0" fontId="19" fillId="7" borderId="52" xfId="0" applyFont="1" applyFill="1" applyBorder="1" applyAlignment="1">
      <alignment horizontal="center" vertical="center" textRotation="90" wrapText="1"/>
    </xf>
    <xf numFmtId="0" fontId="19" fillId="7" borderId="16" xfId="0" applyFont="1" applyFill="1" applyBorder="1" applyAlignment="1">
      <alignment horizontal="center" vertical="center" textRotation="90" wrapText="1"/>
    </xf>
    <xf numFmtId="0" fontId="19" fillId="7" borderId="17" xfId="0" applyFont="1" applyFill="1" applyBorder="1" applyAlignment="1">
      <alignment horizontal="center" vertical="center" textRotation="90" wrapText="1"/>
    </xf>
    <xf numFmtId="0" fontId="19" fillId="7" borderId="58" xfId="0" applyFont="1" applyFill="1" applyBorder="1" applyAlignment="1">
      <alignment horizontal="center" vertical="center" textRotation="90" wrapText="1"/>
    </xf>
    <xf numFmtId="0" fontId="19" fillId="7" borderId="59" xfId="0" applyFont="1" applyFill="1" applyBorder="1" applyAlignment="1">
      <alignment horizontal="center" vertical="center" textRotation="90" wrapText="1"/>
    </xf>
    <xf numFmtId="195" fontId="19" fillId="7" borderId="76" xfId="0" applyNumberFormat="1" applyFont="1" applyFill="1" applyBorder="1" applyAlignment="1">
      <alignment horizontal="center" vertical="center" wrapText="1"/>
    </xf>
    <xf numFmtId="195" fontId="19" fillId="7" borderId="15" xfId="0" applyNumberFormat="1" applyFont="1" applyFill="1" applyBorder="1" applyAlignment="1">
      <alignment horizontal="center" vertical="center" wrapText="1"/>
    </xf>
    <xf numFmtId="195" fontId="19" fillId="7" borderId="57" xfId="0" applyNumberFormat="1" applyFont="1" applyFill="1" applyBorder="1" applyAlignment="1">
      <alignment horizontal="center" vertical="center" wrapText="1"/>
    </xf>
    <xf numFmtId="0" fontId="19" fillId="7" borderId="76" xfId="0" applyFont="1" applyFill="1" applyBorder="1" applyAlignment="1">
      <alignment horizontal="justify" vertical="center" wrapText="1"/>
    </xf>
    <xf numFmtId="0" fontId="19" fillId="7" borderId="15" xfId="0" applyFont="1" applyFill="1" applyBorder="1" applyAlignment="1">
      <alignment horizontal="justify" vertical="center" wrapText="1"/>
    </xf>
    <xf numFmtId="0" fontId="19" fillId="7" borderId="57" xfId="0" applyFont="1" applyFill="1" applyBorder="1" applyAlignment="1">
      <alignment horizontal="justify" vertical="center" wrapText="1"/>
    </xf>
    <xf numFmtId="0" fontId="19" fillId="0" borderId="76"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57" xfId="0" applyFont="1" applyBorder="1" applyAlignment="1">
      <alignment horizontal="justify" vertical="center" wrapText="1"/>
    </xf>
    <xf numFmtId="0" fontId="19" fillId="7" borderId="58" xfId="0" applyFont="1" applyFill="1" applyBorder="1" applyAlignment="1">
      <alignment horizontal="justify" vertical="center" wrapText="1"/>
    </xf>
    <xf numFmtId="164" fontId="19" fillId="7" borderId="76" xfId="24" applyFont="1" applyFill="1" applyBorder="1" applyAlignment="1">
      <alignment horizontal="center" vertical="center" wrapText="1"/>
    </xf>
    <xf numFmtId="164" fontId="19" fillId="7" borderId="57" xfId="24" applyFont="1" applyFill="1" applyBorder="1" applyAlignment="1">
      <alignment horizontal="center" vertical="center" wrapText="1"/>
    </xf>
    <xf numFmtId="1" fontId="19" fillId="7" borderId="79" xfId="26" applyNumberFormat="1" applyFont="1" applyFill="1" applyBorder="1" applyAlignment="1">
      <alignment horizontal="center" vertical="center" wrapText="1"/>
    </xf>
    <xf numFmtId="1" fontId="19" fillId="7" borderId="81" xfId="26" applyNumberFormat="1" applyFont="1" applyFill="1" applyBorder="1" applyAlignment="1">
      <alignment horizontal="center" vertical="center" wrapText="1"/>
    </xf>
    <xf numFmtId="9" fontId="19" fillId="7" borderId="76" xfId="0" applyNumberFormat="1" applyFont="1" applyFill="1" applyBorder="1" applyAlignment="1">
      <alignment horizontal="center" vertical="center" wrapText="1"/>
    </xf>
    <xf numFmtId="9" fontId="19" fillId="7" borderId="15" xfId="0" applyNumberFormat="1" applyFont="1" applyFill="1" applyBorder="1" applyAlignment="1">
      <alignment horizontal="center" vertical="center" wrapText="1"/>
    </xf>
    <xf numFmtId="9" fontId="19" fillId="7" borderId="57" xfId="0" applyNumberFormat="1" applyFont="1" applyFill="1" applyBorder="1" applyAlignment="1">
      <alignment horizontal="center" vertical="center" wrapText="1"/>
    </xf>
    <xf numFmtId="194" fontId="19" fillId="7" borderId="76" xfId="0" applyNumberFormat="1" applyFont="1" applyFill="1" applyBorder="1" applyAlignment="1">
      <alignment horizontal="center" vertical="center" wrapText="1"/>
    </xf>
    <xf numFmtId="194" fontId="19" fillId="7" borderId="15" xfId="0" applyNumberFormat="1" applyFont="1" applyFill="1" applyBorder="1" applyAlignment="1">
      <alignment horizontal="center" vertical="center" wrapText="1"/>
    </xf>
    <xf numFmtId="194" fontId="19" fillId="7" borderId="57" xfId="0" applyNumberFormat="1" applyFont="1" applyFill="1" applyBorder="1" applyAlignment="1">
      <alignment horizontal="center" vertical="center" wrapText="1"/>
    </xf>
    <xf numFmtId="3" fontId="19" fillId="7" borderId="76" xfId="0" applyNumberFormat="1" applyFont="1" applyFill="1" applyBorder="1" applyAlignment="1">
      <alignment horizontal="center" vertical="center" wrapText="1"/>
    </xf>
    <xf numFmtId="3" fontId="19" fillId="7" borderId="15" xfId="0" applyNumberFormat="1" applyFont="1" applyFill="1" applyBorder="1" applyAlignment="1">
      <alignment horizontal="center" vertical="center" wrapText="1"/>
    </xf>
    <xf numFmtId="3" fontId="19" fillId="7" borderId="57" xfId="0" applyNumberFormat="1" applyFont="1" applyFill="1" applyBorder="1" applyAlignment="1">
      <alignment horizontal="center" vertical="center" wrapText="1"/>
    </xf>
    <xf numFmtId="0" fontId="19" fillId="7" borderId="80" xfId="21" applyFont="1" applyFill="1" applyBorder="1" applyAlignment="1">
      <alignment horizontal="left" vertical="center" wrapText="1"/>
    </xf>
    <xf numFmtId="0" fontId="19" fillId="7" borderId="82" xfId="21" applyFont="1" applyFill="1" applyBorder="1" applyAlignment="1">
      <alignment horizontal="left" vertical="center" wrapText="1"/>
    </xf>
    <xf numFmtId="3" fontId="19" fillId="7" borderId="75" xfId="0" applyNumberFormat="1" applyFont="1" applyFill="1" applyBorder="1" applyAlignment="1">
      <alignment horizontal="left" vertical="center" wrapText="1"/>
    </xf>
    <xf numFmtId="3" fontId="19" fillId="7" borderId="72" xfId="0" applyNumberFormat="1" applyFont="1" applyFill="1" applyBorder="1" applyAlignment="1">
      <alignment horizontal="left" vertical="center" wrapText="1"/>
    </xf>
    <xf numFmtId="3" fontId="19" fillId="7" borderId="73" xfId="0" applyNumberFormat="1" applyFont="1" applyFill="1" applyBorder="1" applyAlignment="1">
      <alignment horizontal="left" vertical="center" wrapText="1"/>
    </xf>
    <xf numFmtId="195" fontId="19" fillId="7" borderId="1" xfId="0" applyNumberFormat="1" applyFont="1" applyFill="1" applyBorder="1" applyAlignment="1">
      <alignment horizontal="center" vertical="center" wrapText="1"/>
    </xf>
    <xf numFmtId="173" fontId="19" fillId="7" borderId="76" xfId="8" applyFont="1" applyFill="1" applyBorder="1" applyAlignment="1">
      <alignment horizontal="center" vertical="center" wrapText="1"/>
    </xf>
    <xf numFmtId="173" fontId="19" fillId="7" borderId="15" xfId="8" applyFont="1" applyFill="1" applyBorder="1" applyAlignment="1">
      <alignment horizontal="center" vertical="center" wrapText="1"/>
    </xf>
    <xf numFmtId="173" fontId="19" fillId="7" borderId="57" xfId="8" applyFont="1" applyFill="1" applyBorder="1" applyAlignment="1">
      <alignment horizontal="center" vertical="center" wrapText="1"/>
    </xf>
    <xf numFmtId="0" fontId="19" fillId="7" borderId="76" xfId="0" applyNumberFormat="1" applyFont="1" applyFill="1" applyBorder="1" applyAlignment="1">
      <alignment horizontal="center" vertical="center" wrapText="1"/>
    </xf>
    <xf numFmtId="0" fontId="19" fillId="7" borderId="15" xfId="0" applyNumberFormat="1" applyFont="1" applyFill="1" applyBorder="1" applyAlignment="1">
      <alignment horizontal="center" vertical="center" wrapText="1"/>
    </xf>
    <xf numFmtId="3" fontId="19" fillId="7" borderId="29" xfId="0" applyNumberFormat="1" applyFont="1" applyFill="1" applyBorder="1" applyAlignment="1">
      <alignment horizontal="center" vertical="center" wrapText="1"/>
    </xf>
    <xf numFmtId="3" fontId="19" fillId="7" borderId="16" xfId="0" applyNumberFormat="1" applyFont="1" applyFill="1" applyBorder="1" applyAlignment="1">
      <alignment horizontal="center" vertical="center" wrapText="1"/>
    </xf>
    <xf numFmtId="3" fontId="19" fillId="7" borderId="58" xfId="0" applyNumberFormat="1" applyFont="1" applyFill="1" applyBorder="1" applyAlignment="1">
      <alignment horizontal="center" vertical="center" wrapText="1"/>
    </xf>
    <xf numFmtId="168" fontId="19" fillId="7" borderId="76" xfId="0" applyNumberFormat="1" applyFont="1" applyFill="1" applyBorder="1" applyAlignment="1">
      <alignment horizontal="center" vertical="center" wrapText="1"/>
    </xf>
    <xf numFmtId="168" fontId="19" fillId="7" borderId="15" xfId="0" applyNumberFormat="1" applyFont="1" applyFill="1" applyBorder="1" applyAlignment="1">
      <alignment horizontal="center" vertical="center" wrapText="1"/>
    </xf>
    <xf numFmtId="168" fontId="19" fillId="7" borderId="57" xfId="0" applyNumberFormat="1" applyFont="1" applyFill="1" applyBorder="1" applyAlignment="1">
      <alignment horizontal="center" vertical="center" wrapText="1"/>
    </xf>
    <xf numFmtId="0" fontId="19" fillId="7" borderId="57" xfId="0" applyNumberFormat="1" applyFont="1" applyFill="1" applyBorder="1" applyAlignment="1">
      <alignment horizontal="center" vertical="center" wrapText="1"/>
    </xf>
    <xf numFmtId="0" fontId="19" fillId="0" borderId="29" xfId="0" applyFont="1" applyBorder="1" applyAlignment="1">
      <alignment horizontal="justify" vertical="center" wrapText="1"/>
    </xf>
    <xf numFmtId="1" fontId="19" fillId="7" borderId="84" xfId="0" applyNumberFormat="1" applyFont="1" applyFill="1" applyBorder="1" applyAlignment="1">
      <alignment horizontal="center" vertical="center" wrapText="1"/>
    </xf>
    <xf numFmtId="1" fontId="19" fillId="7" borderId="86" xfId="0" applyNumberFormat="1" applyFont="1" applyFill="1" applyBorder="1" applyAlignment="1">
      <alignment horizontal="center" vertical="center" wrapText="1"/>
    </xf>
    <xf numFmtId="0" fontId="19" fillId="7" borderId="85" xfId="0" applyFont="1" applyFill="1" applyBorder="1" applyAlignment="1">
      <alignment horizontal="left" vertical="center" wrapText="1"/>
    </xf>
    <xf numFmtId="0" fontId="19" fillId="7" borderId="82" xfId="0" applyFont="1" applyFill="1" applyBorder="1" applyAlignment="1">
      <alignment horizontal="left" vertical="center" wrapText="1"/>
    </xf>
    <xf numFmtId="0" fontId="19" fillId="7" borderId="75" xfId="0" applyFont="1" applyFill="1" applyBorder="1" applyAlignment="1">
      <alignment horizontal="center" vertical="center" wrapText="1"/>
    </xf>
    <xf numFmtId="0" fontId="19" fillId="7" borderId="72" xfId="0" applyFont="1" applyFill="1" applyBorder="1" applyAlignment="1">
      <alignment horizontal="center" vertical="center" wrapText="1"/>
    </xf>
    <xf numFmtId="0" fontId="19" fillId="7" borderId="73" xfId="0" applyFont="1" applyFill="1" applyBorder="1" applyAlignment="1">
      <alignment horizontal="center" vertical="center" wrapText="1"/>
    </xf>
    <xf numFmtId="10" fontId="19" fillId="7" borderId="76" xfId="0" applyNumberFormat="1" applyFont="1" applyFill="1" applyBorder="1" applyAlignment="1">
      <alignment horizontal="center" vertical="center"/>
    </xf>
    <xf numFmtId="10" fontId="19" fillId="7" borderId="15" xfId="0" applyNumberFormat="1" applyFont="1" applyFill="1" applyBorder="1" applyAlignment="1">
      <alignment horizontal="center" vertical="center"/>
    </xf>
    <xf numFmtId="10" fontId="19" fillId="7" borderId="57" xfId="0" applyNumberFormat="1" applyFont="1" applyFill="1" applyBorder="1" applyAlignment="1">
      <alignment horizontal="center" vertical="center"/>
    </xf>
    <xf numFmtId="1" fontId="19" fillId="7" borderId="76" xfId="0" applyNumberFormat="1" applyFont="1" applyFill="1" applyBorder="1" applyAlignment="1">
      <alignment horizontal="center" vertical="center" wrapText="1"/>
    </xf>
    <xf numFmtId="1" fontId="19" fillId="7" borderId="15" xfId="0" applyNumberFormat="1" applyFont="1" applyFill="1" applyBorder="1" applyAlignment="1">
      <alignment horizontal="center" vertical="center" wrapText="1"/>
    </xf>
    <xf numFmtId="1" fontId="19" fillId="7" borderId="57" xfId="0" applyNumberFormat="1" applyFont="1" applyFill="1" applyBorder="1" applyAlignment="1">
      <alignment horizontal="center" vertical="center" wrapText="1"/>
    </xf>
    <xf numFmtId="14" fontId="19" fillId="7" borderId="76" xfId="0" applyNumberFormat="1" applyFont="1" applyFill="1" applyBorder="1" applyAlignment="1">
      <alignment horizontal="center" vertical="center"/>
    </xf>
    <xf numFmtId="14" fontId="19" fillId="7" borderId="15" xfId="0" applyNumberFormat="1" applyFont="1" applyFill="1" applyBorder="1" applyAlignment="1">
      <alignment horizontal="center" vertical="center"/>
    </xf>
    <xf numFmtId="14" fontId="19" fillId="7" borderId="57" xfId="0" applyNumberFormat="1" applyFont="1" applyFill="1" applyBorder="1" applyAlignment="1">
      <alignment horizontal="center" vertical="center"/>
    </xf>
    <xf numFmtId="0" fontId="19" fillId="7" borderId="29" xfId="0" applyFont="1" applyFill="1" applyBorder="1" applyAlignment="1">
      <alignment horizontal="left" vertical="center" wrapText="1"/>
    </xf>
    <xf numFmtId="0" fontId="19" fillId="7" borderId="58" xfId="0" applyFont="1" applyFill="1" applyBorder="1" applyAlignment="1">
      <alignment horizontal="left" vertical="center" wrapText="1"/>
    </xf>
    <xf numFmtId="0" fontId="19" fillId="7" borderId="15" xfId="0" applyFont="1" applyFill="1" applyBorder="1" applyAlignment="1">
      <alignment horizontal="center" vertical="center"/>
    </xf>
    <xf numFmtId="0" fontId="19" fillId="7" borderId="57" xfId="0" applyFont="1" applyFill="1" applyBorder="1" applyAlignment="1">
      <alignment horizontal="center" vertical="center"/>
    </xf>
    <xf numFmtId="3" fontId="19" fillId="0" borderId="76" xfId="0" applyNumberFormat="1" applyFont="1" applyBorder="1" applyAlignment="1">
      <alignment horizontal="center" vertical="center" wrapText="1"/>
    </xf>
    <xf numFmtId="3" fontId="19" fillId="0" borderId="15" xfId="0" applyNumberFormat="1" applyFont="1" applyBorder="1" applyAlignment="1">
      <alignment horizontal="center" vertical="center" wrapText="1"/>
    </xf>
    <xf numFmtId="3" fontId="19" fillId="0" borderId="57" xfId="0" applyNumberFormat="1" applyFont="1" applyBorder="1" applyAlignment="1">
      <alignment horizontal="center" vertical="center" wrapText="1"/>
    </xf>
    <xf numFmtId="0" fontId="19" fillId="10" borderId="3" xfId="0" applyFont="1" applyFill="1" applyBorder="1" applyAlignment="1">
      <alignment horizontal="left" vertical="center" wrapText="1"/>
    </xf>
    <xf numFmtId="0" fontId="19" fillId="10" borderId="4" xfId="0" applyFont="1" applyFill="1" applyBorder="1" applyAlignment="1">
      <alignment horizontal="left" vertical="center" wrapText="1"/>
    </xf>
    <xf numFmtId="0" fontId="19" fillId="7" borderId="1" xfId="0" applyFont="1" applyFill="1" applyBorder="1" applyAlignment="1">
      <alignment horizontal="justify" vertical="center" wrapText="1"/>
    </xf>
    <xf numFmtId="9" fontId="19" fillId="7" borderId="76" xfId="3" applyFont="1" applyFill="1" applyBorder="1" applyAlignment="1">
      <alignment horizontal="center" vertical="center" wrapText="1"/>
    </xf>
    <xf numFmtId="9" fontId="19" fillId="7" borderId="15" xfId="3" applyFont="1" applyFill="1" applyBorder="1" applyAlignment="1">
      <alignment horizontal="center" vertical="center" wrapText="1"/>
    </xf>
    <xf numFmtId="9" fontId="19" fillId="7" borderId="57" xfId="3" applyFont="1" applyFill="1" applyBorder="1" applyAlignment="1">
      <alignment horizontal="center" vertical="center" wrapText="1"/>
    </xf>
    <xf numFmtId="164" fontId="19" fillId="7" borderId="1" xfId="24" applyFont="1" applyFill="1" applyBorder="1" applyAlignment="1">
      <alignment horizontal="right" vertical="center" wrapText="1"/>
    </xf>
    <xf numFmtId="10" fontId="19" fillId="7" borderId="76" xfId="0" applyNumberFormat="1" applyFont="1" applyFill="1" applyBorder="1" applyAlignment="1">
      <alignment horizontal="center" vertical="center" wrapText="1"/>
    </xf>
    <xf numFmtId="10" fontId="19" fillId="7" borderId="15" xfId="0" applyNumberFormat="1" applyFont="1" applyFill="1" applyBorder="1" applyAlignment="1">
      <alignment horizontal="center" vertical="center" wrapText="1"/>
    </xf>
    <xf numFmtId="10" fontId="19" fillId="7" borderId="57" xfId="0" applyNumberFormat="1" applyFont="1" applyFill="1" applyBorder="1" applyAlignment="1">
      <alignment horizontal="center" vertical="center" wrapText="1"/>
    </xf>
    <xf numFmtId="0" fontId="19" fillId="7" borderId="76" xfId="0" applyFont="1" applyFill="1" applyBorder="1" applyAlignment="1">
      <alignment horizontal="left" vertical="center" wrapText="1"/>
    </xf>
    <xf numFmtId="0" fontId="19" fillId="7" borderId="57" xfId="0" applyFont="1" applyFill="1" applyBorder="1" applyAlignment="1">
      <alignment horizontal="left" vertical="center" wrapText="1"/>
    </xf>
    <xf numFmtId="9" fontId="19" fillId="7" borderId="76" xfId="0" applyNumberFormat="1" applyFont="1" applyFill="1" applyBorder="1" applyAlignment="1">
      <alignment horizontal="center" vertical="center"/>
    </xf>
    <xf numFmtId="9" fontId="19" fillId="7" borderId="15" xfId="0" applyNumberFormat="1" applyFont="1" applyFill="1" applyBorder="1" applyAlignment="1">
      <alignment horizontal="center" vertical="center"/>
    </xf>
    <xf numFmtId="9" fontId="19" fillId="7" borderId="57" xfId="0" applyNumberFormat="1" applyFont="1" applyFill="1" applyBorder="1" applyAlignment="1">
      <alignment horizontal="center" vertical="center"/>
    </xf>
    <xf numFmtId="0" fontId="19" fillId="15" borderId="3" xfId="0" applyFont="1" applyFill="1" applyBorder="1" applyAlignment="1">
      <alignment horizontal="left" vertical="center" wrapText="1"/>
    </xf>
    <xf numFmtId="0" fontId="19" fillId="15" borderId="4" xfId="0" applyFont="1" applyFill="1" applyBorder="1" applyAlignment="1">
      <alignment horizontal="left" vertical="center" wrapText="1"/>
    </xf>
    <xf numFmtId="164" fontId="19" fillId="7" borderId="1" xfId="24" applyFont="1" applyFill="1" applyBorder="1" applyAlignment="1">
      <alignment horizontal="center" vertical="center" wrapText="1"/>
    </xf>
    <xf numFmtId="164" fontId="19" fillId="7" borderId="15" xfId="24" applyFont="1" applyFill="1" applyBorder="1" applyAlignment="1">
      <alignment horizontal="center" vertical="center" wrapText="1"/>
    </xf>
    <xf numFmtId="1" fontId="12" fillId="0" borderId="76" xfId="0" applyNumberFormat="1" applyFont="1" applyFill="1" applyBorder="1" applyAlignment="1">
      <alignment horizontal="center" vertical="center" wrapText="1"/>
    </xf>
    <xf numFmtId="1" fontId="12" fillId="0" borderId="57" xfId="0" applyNumberFormat="1"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9" fillId="0" borderId="1" xfId="0" applyFont="1" applyBorder="1" applyAlignment="1">
      <alignment horizontal="justify" vertical="center" wrapText="1"/>
    </xf>
    <xf numFmtId="0" fontId="19" fillId="7" borderId="17" xfId="0" applyFont="1" applyFill="1" applyBorder="1" applyAlignment="1">
      <alignment horizontal="center" vertical="center" wrapText="1"/>
    </xf>
    <xf numFmtId="164" fontId="19" fillId="7" borderId="55" xfId="24" applyFont="1" applyFill="1" applyBorder="1" applyAlignment="1">
      <alignment horizontal="center" vertical="center" wrapText="1"/>
    </xf>
    <xf numFmtId="164" fontId="19" fillId="7" borderId="87" xfId="24" applyFont="1" applyFill="1" applyBorder="1" applyAlignment="1">
      <alignment horizontal="center" vertical="center" wrapText="1"/>
    </xf>
    <xf numFmtId="10" fontId="19" fillId="7" borderId="1" xfId="0" applyNumberFormat="1" applyFont="1" applyFill="1" applyBorder="1" applyAlignment="1">
      <alignment horizontal="center" vertical="center" wrapText="1"/>
    </xf>
    <xf numFmtId="1" fontId="19" fillId="7" borderId="52" xfId="0" applyNumberFormat="1" applyFont="1" applyFill="1" applyBorder="1" applyAlignment="1">
      <alignment horizontal="center" vertical="center" wrapText="1"/>
    </xf>
    <xf numFmtId="1" fontId="19" fillId="7" borderId="17" xfId="0" applyNumberFormat="1"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12" fillId="7" borderId="0" xfId="0" applyFont="1" applyFill="1" applyAlignment="1">
      <alignment horizontal="center" vertical="center"/>
    </xf>
    <xf numFmtId="0" fontId="17" fillId="0" borderId="0"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1" fillId="3" borderId="5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57"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3" fontId="21" fillId="5" borderId="1" xfId="0" applyNumberFormat="1" applyFont="1" applyFill="1" applyBorder="1" applyAlignment="1">
      <alignment horizontal="center" vertical="center" wrapText="1"/>
    </xf>
    <xf numFmtId="9" fontId="21" fillId="5" borderId="1" xfId="5"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7" xfId="0"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3" borderId="1" xfId="0" applyFont="1" applyFill="1" applyBorder="1" applyAlignment="1">
      <alignment horizontal="center" vertical="center" textRotation="90" wrapText="1"/>
    </xf>
    <xf numFmtId="49" fontId="7" fillId="3" borderId="1" xfId="0" applyNumberFormat="1" applyFont="1" applyFill="1" applyBorder="1" applyAlignment="1">
      <alignment horizontal="center" vertical="center" textRotation="90" wrapText="1"/>
    </xf>
    <xf numFmtId="167" fontId="7" fillId="3" borderId="10" xfId="4" applyFont="1" applyFill="1" applyBorder="1" applyAlignment="1">
      <alignment horizontal="center" vertical="center"/>
    </xf>
    <xf numFmtId="167" fontId="7" fillId="3" borderId="11" xfId="4" applyFont="1" applyFill="1" applyBorder="1" applyAlignment="1">
      <alignment horizontal="center" vertical="center"/>
    </xf>
    <xf numFmtId="167" fontId="7" fillId="3" borderId="12" xfId="4" applyFont="1" applyFill="1" applyBorder="1" applyAlignment="1">
      <alignment horizontal="center" vertical="center"/>
    </xf>
    <xf numFmtId="168" fontId="7" fillId="3" borderId="29" xfId="0" applyNumberFormat="1" applyFont="1" applyFill="1" applyBorder="1" applyAlignment="1">
      <alignment horizontal="center" vertical="center" wrapText="1"/>
    </xf>
    <xf numFmtId="168" fontId="7" fillId="3" borderId="30" xfId="0" applyNumberFormat="1" applyFont="1" applyFill="1" applyBorder="1" applyAlignment="1">
      <alignment horizontal="center" vertical="center" wrapText="1"/>
    </xf>
    <xf numFmtId="168" fontId="7" fillId="3" borderId="51" xfId="0" applyNumberFormat="1" applyFont="1" applyFill="1" applyBorder="1" applyAlignment="1">
      <alignment horizontal="center" vertical="center" wrapText="1"/>
    </xf>
    <xf numFmtId="168" fontId="7" fillId="3" borderId="54" xfId="0" applyNumberFormat="1" applyFont="1" applyFill="1" applyBorder="1" applyAlignment="1">
      <alignment horizontal="center" vertical="center" wrapText="1"/>
    </xf>
    <xf numFmtId="0" fontId="15" fillId="0" borderId="56" xfId="0" applyFont="1" applyFill="1" applyBorder="1" applyAlignment="1">
      <alignment horizontal="left" vertical="center" wrapText="1"/>
    </xf>
    <xf numFmtId="0" fontId="15" fillId="0" borderId="56" xfId="0" applyFont="1" applyFill="1" applyBorder="1" applyAlignment="1">
      <alignment horizontal="center" vertical="center" wrapText="1"/>
    </xf>
    <xf numFmtId="0" fontId="21" fillId="5" borderId="56" xfId="0" applyFont="1" applyFill="1" applyBorder="1" applyAlignment="1">
      <alignment horizontal="center" vertical="center" wrapText="1"/>
    </xf>
    <xf numFmtId="3" fontId="15" fillId="0" borderId="56" xfId="0" applyNumberFormat="1" applyFont="1" applyFill="1" applyBorder="1" applyAlignment="1">
      <alignment horizontal="center" vertical="center"/>
    </xf>
    <xf numFmtId="3" fontId="15" fillId="0" borderId="15" xfId="0" applyNumberFormat="1" applyFont="1" applyFill="1" applyBorder="1" applyAlignment="1">
      <alignment horizontal="center" vertical="center"/>
    </xf>
    <xf numFmtId="3" fontId="15" fillId="0" borderId="57" xfId="0" applyNumberFormat="1" applyFont="1" applyFill="1" applyBorder="1" applyAlignment="1">
      <alignment horizontal="center" vertical="center"/>
    </xf>
    <xf numFmtId="168" fontId="15" fillId="0" borderId="56" xfId="0" applyNumberFormat="1" applyFont="1" applyFill="1" applyBorder="1" applyAlignment="1">
      <alignment horizontal="center" vertical="center" wrapText="1"/>
    </xf>
    <xf numFmtId="168" fontId="15" fillId="0" borderId="15" xfId="0" applyNumberFormat="1" applyFont="1" applyFill="1" applyBorder="1" applyAlignment="1">
      <alignment horizontal="center" vertical="center" wrapText="1"/>
    </xf>
    <xf numFmtId="0" fontId="15" fillId="0" borderId="56" xfId="0" applyFont="1" applyFill="1" applyBorder="1" applyAlignment="1">
      <alignment horizontal="center" vertical="center" textRotation="180" wrapText="1"/>
    </xf>
    <xf numFmtId="0" fontId="15" fillId="0" borderId="15" xfId="0" applyFont="1" applyFill="1" applyBorder="1" applyAlignment="1">
      <alignment horizontal="center" vertical="center" textRotation="180" wrapText="1"/>
    </xf>
    <xf numFmtId="3" fontId="15" fillId="0" borderId="56"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0" fontId="17" fillId="8" borderId="4" xfId="0" applyFont="1" applyFill="1" applyBorder="1" applyAlignment="1">
      <alignment horizontal="center" vertical="center"/>
    </xf>
    <xf numFmtId="0" fontId="17" fillId="9" borderId="3"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5" fillId="7" borderId="56"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29" xfId="0" applyFont="1" applyFill="1" applyBorder="1" applyAlignment="1">
      <alignment horizontal="left" vertical="center" wrapText="1"/>
    </xf>
    <xf numFmtId="0" fontId="15" fillId="7" borderId="30" xfId="0" applyFont="1" applyFill="1" applyBorder="1" applyAlignment="1">
      <alignment horizontal="left" vertical="center" wrapText="1"/>
    </xf>
    <xf numFmtId="0" fontId="15" fillId="7" borderId="16" xfId="0" applyFont="1" applyFill="1" applyBorder="1" applyAlignment="1">
      <alignment horizontal="left" vertical="center" wrapText="1"/>
    </xf>
    <xf numFmtId="0" fontId="15" fillId="7" borderId="17" xfId="0" applyFont="1" applyFill="1" applyBorder="1" applyAlignment="1">
      <alignment horizontal="left" vertical="center" wrapText="1"/>
    </xf>
    <xf numFmtId="0" fontId="15" fillId="7" borderId="56" xfId="0" applyFont="1" applyFill="1" applyBorder="1" applyAlignment="1">
      <alignment horizontal="left" vertical="center" wrapText="1"/>
    </xf>
    <xf numFmtId="0" fontId="15" fillId="7" borderId="15" xfId="0" applyFont="1" applyFill="1" applyBorder="1" applyAlignment="1">
      <alignment horizontal="left" vertical="center" wrapText="1"/>
    </xf>
    <xf numFmtId="9" fontId="15" fillId="0" borderId="56" xfId="0" applyNumberFormat="1" applyFont="1" applyFill="1" applyBorder="1" applyAlignment="1">
      <alignment horizontal="center" vertical="center" wrapText="1"/>
    </xf>
    <xf numFmtId="9" fontId="15" fillId="0" borderId="15" xfId="0" applyNumberFormat="1" applyFont="1" applyFill="1" applyBorder="1" applyAlignment="1">
      <alignment horizontal="center" vertical="center" wrapText="1"/>
    </xf>
    <xf numFmtId="169" fontId="15" fillId="0" borderId="56" xfId="0" applyNumberFormat="1" applyFont="1" applyFill="1" applyBorder="1" applyAlignment="1">
      <alignment horizontal="center" vertical="center" wrapText="1"/>
    </xf>
    <xf numFmtId="169" fontId="15" fillId="0" borderId="15" xfId="0" applyNumberFormat="1" applyFont="1" applyFill="1" applyBorder="1" applyAlignment="1">
      <alignment horizontal="center" vertical="center" wrapText="1"/>
    </xf>
    <xf numFmtId="0" fontId="15" fillId="0" borderId="56" xfId="0" applyFont="1" applyFill="1" applyBorder="1" applyAlignment="1">
      <alignment horizontal="left" vertical="center" wrapText="1" readingOrder="2"/>
    </xf>
    <xf numFmtId="0" fontId="15" fillId="0" borderId="15" xfId="0" applyFont="1" applyFill="1" applyBorder="1" applyAlignment="1">
      <alignment horizontal="left" vertical="center" wrapText="1" readingOrder="2"/>
    </xf>
    <xf numFmtId="0" fontId="15" fillId="0" borderId="30" xfId="0" applyFont="1" applyFill="1" applyBorder="1" applyAlignment="1">
      <alignment horizontal="center" vertical="center" wrapText="1"/>
    </xf>
    <xf numFmtId="0" fontId="15" fillId="0" borderId="56" xfId="0" applyFont="1" applyFill="1" applyBorder="1" applyAlignment="1">
      <alignment horizontal="justify" vertical="center" wrapText="1"/>
    </xf>
    <xf numFmtId="171" fontId="15" fillId="0" borderId="15" xfId="0" applyNumberFormat="1" applyFont="1" applyFill="1" applyBorder="1" applyAlignment="1">
      <alignment horizontal="center" vertical="center" wrapText="1"/>
    </xf>
    <xf numFmtId="10" fontId="15" fillId="0" borderId="56" xfId="0" applyNumberFormat="1" applyFont="1" applyFill="1" applyBorder="1" applyAlignment="1">
      <alignment horizontal="center" vertical="center" textRotation="180" wrapText="1"/>
    </xf>
    <xf numFmtId="10" fontId="15" fillId="0" borderId="15" xfId="0" applyNumberFormat="1" applyFont="1" applyFill="1" applyBorder="1" applyAlignment="1">
      <alignment horizontal="center" vertical="center" textRotation="180" wrapText="1"/>
    </xf>
    <xf numFmtId="0" fontId="15" fillId="10" borderId="1" xfId="0" applyFont="1" applyFill="1" applyBorder="1" applyAlignment="1">
      <alignment horizontal="center" vertical="center" wrapText="1"/>
    </xf>
    <xf numFmtId="0" fontId="15" fillId="7" borderId="1" xfId="0" applyFont="1" applyFill="1" applyBorder="1" applyAlignment="1">
      <alignment horizontal="left" vertical="center" wrapText="1"/>
    </xf>
    <xf numFmtId="0" fontId="15" fillId="7" borderId="1" xfId="0" applyFont="1" applyFill="1" applyBorder="1" applyAlignment="1">
      <alignment vertical="center" wrapText="1"/>
    </xf>
    <xf numFmtId="9" fontId="15" fillId="7" borderId="56" xfId="0" applyNumberFormat="1" applyFont="1" applyFill="1" applyBorder="1" applyAlignment="1">
      <alignment horizontal="center" vertical="center" wrapText="1"/>
    </xf>
    <xf numFmtId="9" fontId="15" fillId="7" borderId="57" xfId="0" applyNumberFormat="1" applyFont="1" applyFill="1" applyBorder="1" applyAlignment="1">
      <alignment horizontal="center" vertical="center" wrapText="1"/>
    </xf>
    <xf numFmtId="173" fontId="15" fillId="7" borderId="1" xfId="0" applyNumberFormat="1" applyFont="1" applyFill="1" applyBorder="1" applyAlignment="1">
      <alignment horizontal="center" vertical="center" wrapText="1"/>
    </xf>
    <xf numFmtId="14" fontId="15" fillId="7" borderId="56" xfId="0" applyNumberFormat="1" applyFont="1" applyFill="1" applyBorder="1" applyAlignment="1">
      <alignment horizontal="center" vertical="center" wrapText="1"/>
    </xf>
    <xf numFmtId="14" fontId="15" fillId="7" borderId="15" xfId="0" applyNumberFormat="1" applyFont="1" applyFill="1" applyBorder="1" applyAlignment="1">
      <alignment horizontal="center" vertical="center" wrapText="1"/>
    </xf>
    <xf numFmtId="14" fontId="15" fillId="7" borderId="57" xfId="0" applyNumberFormat="1" applyFont="1" applyFill="1" applyBorder="1" applyAlignment="1">
      <alignment horizontal="center" vertical="center" wrapText="1"/>
    </xf>
    <xf numFmtId="0" fontId="15" fillId="7" borderId="57"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7" borderId="29" xfId="0" applyFont="1" applyFill="1" applyBorder="1" applyAlignment="1">
      <alignment vertical="center" wrapText="1"/>
    </xf>
    <xf numFmtId="0" fontId="15" fillId="7" borderId="30" xfId="0" applyFont="1" applyFill="1" applyBorder="1" applyAlignment="1">
      <alignment vertical="center" wrapText="1"/>
    </xf>
    <xf numFmtId="0" fontId="15" fillId="7" borderId="58" xfId="0" applyFont="1" applyFill="1" applyBorder="1" applyAlignment="1">
      <alignment vertical="center" wrapText="1"/>
    </xf>
    <xf numFmtId="0" fontId="15" fillId="7" borderId="59" xfId="0" applyFont="1" applyFill="1" applyBorder="1" applyAlignment="1">
      <alignment vertical="center" wrapText="1"/>
    </xf>
    <xf numFmtId="0" fontId="15" fillId="7" borderId="57" xfId="0" applyFont="1" applyFill="1" applyBorder="1" applyAlignment="1">
      <alignment horizontal="left" vertical="center" wrapText="1"/>
    </xf>
    <xf numFmtId="0" fontId="15" fillId="7" borderId="30" xfId="0" applyFont="1" applyFill="1" applyBorder="1" applyAlignment="1">
      <alignment horizontal="center" vertical="center" wrapText="1"/>
    </xf>
    <xf numFmtId="0" fontId="15" fillId="7" borderId="58" xfId="0" applyFont="1" applyFill="1" applyBorder="1" applyAlignment="1">
      <alignment horizontal="center" vertical="center" wrapText="1"/>
    </xf>
    <xf numFmtId="0" fontId="15" fillId="7" borderId="59" xfId="0" applyFont="1" applyFill="1" applyBorder="1" applyAlignment="1">
      <alignment horizontal="center" vertical="center" wrapText="1"/>
    </xf>
    <xf numFmtId="9" fontId="15" fillId="7" borderId="1" xfId="0" applyNumberFormat="1" applyFont="1" applyFill="1" applyBorder="1" applyAlignment="1">
      <alignment horizontal="center" vertical="center" wrapText="1"/>
    </xf>
    <xf numFmtId="192" fontId="15" fillId="7" borderId="1" xfId="0" applyNumberFormat="1" applyFont="1" applyFill="1" applyBorder="1" applyAlignment="1">
      <alignment horizontal="center" vertical="center" wrapText="1"/>
    </xf>
    <xf numFmtId="0" fontId="15" fillId="7" borderId="56" xfId="0" applyFont="1" applyFill="1" applyBorder="1" applyAlignment="1">
      <alignment horizontal="justify" vertical="center" wrapText="1"/>
    </xf>
    <xf numFmtId="0" fontId="15" fillId="7" borderId="57" xfId="0" applyFont="1" applyFill="1" applyBorder="1" applyAlignment="1">
      <alignment horizontal="justify" vertical="center" wrapText="1"/>
    </xf>
    <xf numFmtId="192" fontId="15" fillId="7" borderId="56" xfId="0" applyNumberFormat="1" applyFont="1" applyFill="1" applyBorder="1" applyAlignment="1">
      <alignment horizontal="center" vertical="center" wrapText="1"/>
    </xf>
    <xf numFmtId="192" fontId="15" fillId="7" borderId="57" xfId="0" applyNumberFormat="1" applyFont="1" applyFill="1" applyBorder="1" applyAlignment="1">
      <alignment horizontal="center" vertical="center" wrapText="1"/>
    </xf>
    <xf numFmtId="10" fontId="15" fillId="7" borderId="56" xfId="0" applyNumberFormat="1" applyFont="1" applyFill="1" applyBorder="1" applyAlignment="1">
      <alignment horizontal="center" vertical="center" wrapText="1"/>
    </xf>
    <xf numFmtId="10" fontId="15" fillId="7" borderId="57" xfId="0" applyNumberFormat="1" applyFont="1" applyFill="1" applyBorder="1" applyAlignment="1">
      <alignment horizontal="center" vertical="center" wrapText="1"/>
    </xf>
    <xf numFmtId="0" fontId="15" fillId="7" borderId="3" xfId="0" applyFont="1" applyFill="1" applyBorder="1" applyAlignment="1">
      <alignment horizontal="left" vertical="center" wrapText="1"/>
    </xf>
    <xf numFmtId="0" fontId="15" fillId="7" borderId="5" xfId="0" applyFont="1" applyFill="1" applyBorder="1" applyAlignment="1">
      <alignment horizontal="left" vertical="center" wrapText="1"/>
    </xf>
    <xf numFmtId="14" fontId="15" fillId="7" borderId="19" xfId="0" applyNumberFormat="1" applyFont="1" applyFill="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192" fontId="15" fillId="7" borderId="15" xfId="0" applyNumberFormat="1" applyFont="1" applyFill="1" applyBorder="1" applyAlignment="1">
      <alignment horizontal="center" vertical="center" wrapText="1"/>
    </xf>
    <xf numFmtId="9" fontId="15" fillId="7" borderId="15" xfId="0" applyNumberFormat="1" applyFont="1" applyFill="1" applyBorder="1" applyAlignment="1">
      <alignment horizontal="center" vertical="center" wrapText="1"/>
    </xf>
    <xf numFmtId="0" fontId="15" fillId="7" borderId="19" xfId="0" applyFont="1" applyFill="1" applyBorder="1" applyAlignment="1">
      <alignment horizontal="center" vertical="center" wrapText="1"/>
    </xf>
    <xf numFmtId="0" fontId="3" fillId="7" borderId="1" xfId="0" applyFont="1" applyFill="1" applyBorder="1" applyAlignment="1">
      <alignment vertical="center" wrapText="1"/>
    </xf>
    <xf numFmtId="14" fontId="3" fillId="7"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7" borderId="76" xfId="0" applyFont="1" applyFill="1" applyBorder="1" applyAlignment="1">
      <alignment horizontal="center" vertical="center" wrapText="1"/>
    </xf>
    <xf numFmtId="0" fontId="3" fillId="7" borderId="57" xfId="0" applyFont="1" applyFill="1" applyBorder="1" applyAlignment="1">
      <alignment horizontal="center" vertical="center" wrapText="1"/>
    </xf>
    <xf numFmtId="169" fontId="3" fillId="0" borderId="76" xfId="0" applyNumberFormat="1" applyFont="1" applyBorder="1" applyAlignment="1">
      <alignment horizontal="center" vertical="center"/>
    </xf>
    <xf numFmtId="169" fontId="3" fillId="0" borderId="57" xfId="0" applyNumberFormat="1" applyFont="1" applyBorder="1" applyAlignment="1">
      <alignment horizontal="center" vertical="center"/>
    </xf>
    <xf numFmtId="9" fontId="3" fillId="0" borderId="76" xfId="3" applyFont="1" applyBorder="1" applyAlignment="1">
      <alignment horizontal="center" vertical="center"/>
    </xf>
    <xf numFmtId="9" fontId="3" fillId="0" borderId="57" xfId="3" applyFont="1" applyBorder="1" applyAlignment="1">
      <alignment horizontal="center" vertical="center"/>
    </xf>
    <xf numFmtId="0" fontId="3" fillId="0" borderId="0" xfId="0" applyFont="1" applyBorder="1" applyAlignment="1">
      <alignment horizontal="center" vertical="center"/>
    </xf>
    <xf numFmtId="0" fontId="3" fillId="0" borderId="53" xfId="0" applyFont="1" applyBorder="1" applyAlignment="1">
      <alignment horizontal="center" vertical="center"/>
    </xf>
    <xf numFmtId="0" fontId="3" fillId="7" borderId="76" xfId="0" applyFont="1" applyFill="1" applyBorder="1" applyAlignment="1">
      <alignment horizontal="justify" vertical="center" wrapText="1"/>
    </xf>
    <xf numFmtId="0" fontId="3" fillId="7" borderId="57" xfId="0" applyFont="1" applyFill="1" applyBorder="1" applyAlignment="1">
      <alignment horizontal="justify" vertical="center" wrapText="1"/>
    </xf>
    <xf numFmtId="169" fontId="3" fillId="7" borderId="76" xfId="0" applyNumberFormat="1" applyFont="1" applyFill="1" applyBorder="1" applyAlignment="1">
      <alignment horizontal="center" vertical="center"/>
    </xf>
    <xf numFmtId="169" fontId="3" fillId="7" borderId="57"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2" xfId="0" applyFont="1" applyBorder="1" applyAlignment="1">
      <alignment horizontal="center" vertical="center"/>
    </xf>
    <xf numFmtId="0" fontId="3" fillId="0" borderId="76" xfId="0" applyFont="1" applyBorder="1" applyAlignment="1">
      <alignment horizontal="center" vertical="center"/>
    </xf>
    <xf numFmtId="0" fontId="3" fillId="0" borderId="57" xfId="0" applyFont="1" applyBorder="1" applyAlignment="1">
      <alignment horizontal="center" vertical="center"/>
    </xf>
    <xf numFmtId="0" fontId="3" fillId="0" borderId="50" xfId="0" applyFont="1" applyBorder="1" applyAlignment="1">
      <alignment horizontal="center" vertical="center"/>
    </xf>
    <xf numFmtId="0" fontId="3" fillId="0" borderId="58" xfId="0" applyFont="1" applyBorder="1" applyAlignment="1">
      <alignment horizontal="center" vertical="center"/>
    </xf>
    <xf numFmtId="169" fontId="15" fillId="7" borderId="76" xfId="0" applyNumberFormat="1" applyFont="1" applyFill="1" applyBorder="1" applyAlignment="1">
      <alignment horizontal="right" vertical="center" wrapText="1"/>
    </xf>
    <xf numFmtId="169" fontId="15" fillId="7" borderId="57" xfId="0" applyNumberFormat="1" applyFont="1" applyFill="1" applyBorder="1" applyAlignment="1">
      <alignment horizontal="right" vertical="center" wrapText="1"/>
    </xf>
    <xf numFmtId="1" fontId="3" fillId="7" borderId="76" xfId="0" applyNumberFormat="1" applyFont="1" applyFill="1" applyBorder="1" applyAlignment="1">
      <alignment horizontal="center" vertical="center"/>
    </xf>
    <xf numFmtId="1" fontId="3" fillId="7" borderId="15" xfId="0" applyNumberFormat="1" applyFont="1" applyFill="1" applyBorder="1" applyAlignment="1">
      <alignment horizontal="center" vertical="center"/>
    </xf>
    <xf numFmtId="169" fontId="15" fillId="0" borderId="76" xfId="0" applyNumberFormat="1" applyFont="1" applyFill="1" applyBorder="1" applyAlignment="1">
      <alignment horizontal="center" vertical="center" wrapText="1"/>
    </xf>
    <xf numFmtId="169" fontId="15" fillId="0" borderId="76" xfId="0" applyNumberFormat="1" applyFont="1" applyFill="1" applyBorder="1" applyAlignment="1">
      <alignment horizontal="right" vertical="center"/>
    </xf>
    <xf numFmtId="169" fontId="15" fillId="0" borderId="57" xfId="0" applyNumberFormat="1" applyFont="1" applyFill="1" applyBorder="1" applyAlignment="1">
      <alignment horizontal="right" vertical="center"/>
    </xf>
    <xf numFmtId="169" fontId="3" fillId="0" borderId="15" xfId="0" applyNumberFormat="1" applyFont="1" applyBorder="1" applyAlignment="1">
      <alignment horizontal="center" vertical="center"/>
    </xf>
    <xf numFmtId="0" fontId="15" fillId="0" borderId="1" xfId="0" applyFont="1" applyFill="1" applyBorder="1" applyAlignment="1">
      <alignment horizontal="center" vertical="center"/>
    </xf>
    <xf numFmtId="186" fontId="15" fillId="0" borderId="76" xfId="19" applyNumberFormat="1" applyFont="1" applyFill="1" applyBorder="1" applyAlignment="1">
      <alignment horizontal="center" vertical="center"/>
    </xf>
    <xf numFmtId="186" fontId="15" fillId="0" borderId="15" xfId="19" applyNumberFormat="1" applyFont="1" applyFill="1" applyBorder="1" applyAlignment="1">
      <alignment horizontal="center" vertical="center"/>
    </xf>
    <xf numFmtId="186" fontId="15" fillId="0" borderId="57" xfId="19" applyNumberFormat="1" applyFont="1" applyFill="1" applyBorder="1" applyAlignment="1">
      <alignment horizontal="center" vertical="center"/>
    </xf>
    <xf numFmtId="0" fontId="3" fillId="0" borderId="15" xfId="0" applyFont="1" applyBorder="1" applyAlignment="1">
      <alignment horizontal="center" vertical="center"/>
    </xf>
    <xf numFmtId="0" fontId="15" fillId="0" borderId="76" xfId="0" applyFont="1" applyFill="1" applyBorder="1" applyAlignment="1">
      <alignment horizontal="justify" vertical="center" wrapText="1"/>
    </xf>
    <xf numFmtId="0" fontId="15" fillId="0" borderId="57" xfId="0" applyFont="1" applyFill="1" applyBorder="1" applyAlignment="1">
      <alignment horizontal="justify" vertical="center" wrapText="1"/>
    </xf>
    <xf numFmtId="9" fontId="15" fillId="0" borderId="76" xfId="0" applyNumberFormat="1" applyFont="1" applyFill="1" applyBorder="1" applyAlignment="1">
      <alignment horizontal="center" vertical="center"/>
    </xf>
    <xf numFmtId="9" fontId="15" fillId="0" borderId="57" xfId="0" applyNumberFormat="1" applyFont="1" applyFill="1" applyBorder="1" applyAlignment="1">
      <alignment horizontal="center" vertical="center"/>
    </xf>
    <xf numFmtId="169" fontId="15" fillId="0" borderId="57" xfId="0" applyNumberFormat="1" applyFont="1" applyFill="1" applyBorder="1" applyAlignment="1">
      <alignment horizontal="center" vertical="center" wrapText="1"/>
    </xf>
    <xf numFmtId="0" fontId="15" fillId="0" borderId="76" xfId="0" applyFont="1" applyFill="1" applyBorder="1" applyAlignment="1">
      <alignment horizontal="center" vertical="center"/>
    </xf>
    <xf numFmtId="0" fontId="15" fillId="0" borderId="57" xfId="0" applyFont="1" applyFill="1" applyBorder="1" applyAlignment="1">
      <alignment horizontal="center" vertical="center"/>
    </xf>
    <xf numFmtId="0" fontId="3" fillId="0" borderId="76" xfId="0" applyFont="1" applyBorder="1" applyAlignment="1">
      <alignment horizontal="center"/>
    </xf>
    <xf numFmtId="0" fontId="3" fillId="0" borderId="57" xfId="0" applyFont="1" applyBorder="1" applyAlignment="1">
      <alignment horizontal="center"/>
    </xf>
    <xf numFmtId="0" fontId="3" fillId="7" borderId="15" xfId="0" applyFont="1" applyFill="1" applyBorder="1" applyAlignment="1">
      <alignment horizontal="justify" vertical="center" wrapText="1"/>
    </xf>
    <xf numFmtId="0" fontId="3" fillId="0" borderId="76"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15" xfId="0" applyFont="1" applyBorder="1" applyAlignment="1">
      <alignment horizontal="center"/>
    </xf>
    <xf numFmtId="9" fontId="3" fillId="7" borderId="76" xfId="0" applyNumberFormat="1" applyFont="1" applyFill="1" applyBorder="1" applyAlignment="1">
      <alignment horizontal="center" vertical="center"/>
    </xf>
    <xf numFmtId="9" fontId="3" fillId="7" borderId="57" xfId="0" applyNumberFormat="1" applyFont="1" applyFill="1" applyBorder="1" applyAlignment="1">
      <alignment horizontal="center" vertical="center"/>
    </xf>
    <xf numFmtId="0" fontId="15" fillId="7" borderId="76" xfId="0" applyFont="1" applyFill="1" applyBorder="1" applyAlignment="1">
      <alignment horizontal="justify" vertical="center" wrapText="1"/>
    </xf>
    <xf numFmtId="0" fontId="3" fillId="0" borderId="7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7" xfId="0" applyFont="1" applyBorder="1" applyAlignment="1">
      <alignment horizontal="center" vertical="center" wrapText="1"/>
    </xf>
    <xf numFmtId="169" fontId="3" fillId="0" borderId="76" xfId="0" applyNumberFormat="1" applyFont="1" applyBorder="1" applyAlignment="1">
      <alignment horizontal="justify" vertical="center" wrapText="1"/>
    </xf>
    <xf numFmtId="169" fontId="3" fillId="0" borderId="15" xfId="0" applyNumberFormat="1" applyFont="1" applyBorder="1" applyAlignment="1">
      <alignment horizontal="justify" vertical="center" wrapText="1"/>
    </xf>
    <xf numFmtId="169" fontId="3" fillId="0" borderId="57" xfId="0" applyNumberFormat="1" applyFont="1" applyBorder="1" applyAlignment="1">
      <alignment horizontal="justify" vertical="center" wrapText="1"/>
    </xf>
    <xf numFmtId="9" fontId="3" fillId="0" borderId="76" xfId="0" applyNumberFormat="1" applyFont="1" applyBorder="1" applyAlignment="1">
      <alignment horizontal="center" vertical="center"/>
    </xf>
    <xf numFmtId="9" fontId="3" fillId="0" borderId="57" xfId="0" applyNumberFormat="1" applyFont="1" applyBorder="1" applyAlignment="1">
      <alignment horizontal="center" vertical="center"/>
    </xf>
    <xf numFmtId="0" fontId="3" fillId="7" borderId="53" xfId="0" applyFont="1" applyFill="1" applyBorder="1" applyAlignment="1">
      <alignment horizontal="center" vertical="center" wrapText="1"/>
    </xf>
    <xf numFmtId="0" fontId="3" fillId="7" borderId="59"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190" fontId="15" fillId="0" borderId="76" xfId="0" applyNumberFormat="1" applyFont="1" applyBorder="1" applyAlignment="1">
      <alignment horizontal="center" vertical="center"/>
    </xf>
    <xf numFmtId="190" fontId="15" fillId="0" borderId="57" xfId="0" applyNumberFormat="1" applyFont="1" applyBorder="1" applyAlignment="1">
      <alignment horizontal="center" vertical="center"/>
    </xf>
    <xf numFmtId="169" fontId="3" fillId="0" borderId="76" xfId="0" applyNumberFormat="1" applyFont="1" applyFill="1" applyBorder="1" applyAlignment="1">
      <alignment horizontal="center" vertical="center" wrapText="1"/>
    </xf>
    <xf numFmtId="169" fontId="3" fillId="0" borderId="57" xfId="0" applyNumberFormat="1" applyFont="1" applyFill="1" applyBorder="1" applyAlignment="1">
      <alignment horizontal="center" vertical="center" wrapText="1"/>
    </xf>
    <xf numFmtId="9" fontId="3" fillId="0" borderId="76" xfId="3" applyFont="1" applyFill="1" applyBorder="1" applyAlignment="1">
      <alignment horizontal="center" vertical="center" wrapText="1"/>
    </xf>
    <xf numFmtId="9" fontId="3" fillId="0" borderId="57" xfId="3" applyFont="1" applyFill="1" applyBorder="1" applyAlignment="1">
      <alignment horizontal="center" vertical="center" wrapText="1"/>
    </xf>
    <xf numFmtId="186" fontId="15" fillId="0" borderId="76" xfId="0" applyNumberFormat="1" applyFont="1" applyBorder="1" applyAlignment="1">
      <alignment horizontal="center" vertical="center"/>
    </xf>
    <xf numFmtId="186" fontId="15" fillId="0" borderId="57" xfId="0" applyNumberFormat="1" applyFont="1" applyBorder="1" applyAlignment="1">
      <alignment horizontal="center" vertical="center"/>
    </xf>
    <xf numFmtId="0" fontId="15" fillId="0" borderId="57" xfId="0" applyFont="1" applyBorder="1" applyAlignment="1">
      <alignment horizontal="center" vertical="center"/>
    </xf>
    <xf numFmtId="0" fontId="3" fillId="7" borderId="0" xfId="0" applyFont="1" applyFill="1" applyBorder="1" applyAlignment="1">
      <alignment horizontal="center" vertical="center" wrapText="1"/>
    </xf>
    <xf numFmtId="3" fontId="3" fillId="7" borderId="76" xfId="0" applyNumberFormat="1" applyFont="1" applyFill="1" applyBorder="1" applyAlignment="1">
      <alignment horizontal="center" vertical="center"/>
    </xf>
    <xf numFmtId="3" fontId="3" fillId="7" borderId="57" xfId="0" applyNumberFormat="1" applyFont="1" applyFill="1" applyBorder="1" applyAlignment="1">
      <alignment horizontal="center" vertical="center"/>
    </xf>
    <xf numFmtId="14" fontId="3" fillId="7" borderId="76" xfId="0" applyNumberFormat="1" applyFont="1" applyFill="1" applyBorder="1" applyAlignment="1">
      <alignment horizontal="center" vertical="center" wrapText="1"/>
    </xf>
    <xf numFmtId="14" fontId="3" fillId="7" borderId="57"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0" borderId="52" xfId="0" applyFont="1" applyBorder="1" applyAlignment="1">
      <alignment horizontal="center" vertical="center"/>
    </xf>
    <xf numFmtId="0" fontId="2" fillId="0" borderId="76" xfId="0" applyFont="1" applyBorder="1" applyAlignment="1">
      <alignment horizontal="center" vertical="center"/>
    </xf>
    <xf numFmtId="186" fontId="15" fillId="0" borderId="1" xfId="0" applyNumberFormat="1" applyFont="1" applyBorder="1" applyAlignment="1">
      <alignment horizontal="center" vertical="center"/>
    </xf>
    <xf numFmtId="186" fontId="15" fillId="0" borderId="76" xfId="0" applyNumberFormat="1" applyFont="1" applyBorder="1" applyAlignment="1">
      <alignment horizontal="center" vertical="center" wrapText="1"/>
    </xf>
    <xf numFmtId="186" fontId="15" fillId="0" borderId="15" xfId="0" applyNumberFormat="1" applyFont="1" applyBorder="1" applyAlignment="1">
      <alignment horizontal="center" vertical="center" wrapText="1"/>
    </xf>
    <xf numFmtId="186" fontId="15" fillId="0" borderId="57" xfId="0" applyNumberFormat="1" applyFont="1" applyBorder="1" applyAlignment="1">
      <alignment horizontal="center" vertical="center" wrapText="1"/>
    </xf>
    <xf numFmtId="169" fontId="3" fillId="0" borderId="76" xfId="0" applyNumberFormat="1" applyFont="1" applyFill="1" applyBorder="1" applyAlignment="1">
      <alignment horizontal="center" vertical="center"/>
    </xf>
    <xf numFmtId="169" fontId="3" fillId="0" borderId="15" xfId="0" applyNumberFormat="1" applyFont="1" applyFill="1" applyBorder="1" applyAlignment="1">
      <alignment horizontal="center" vertical="center"/>
    </xf>
    <xf numFmtId="169" fontId="3" fillId="0" borderId="57" xfId="0" applyNumberFormat="1" applyFont="1" applyFill="1" applyBorder="1" applyAlignment="1">
      <alignment horizontal="center" vertical="center"/>
    </xf>
    <xf numFmtId="169" fontId="3" fillId="0" borderId="15" xfId="0" applyNumberFormat="1" applyFont="1" applyFill="1" applyBorder="1" applyAlignment="1">
      <alignment horizontal="center" vertical="center" wrapText="1"/>
    </xf>
    <xf numFmtId="186" fontId="15" fillId="0" borderId="1" xfId="0" applyNumberFormat="1" applyFont="1" applyBorder="1" applyAlignment="1">
      <alignment horizontal="center" vertical="center" wrapText="1"/>
    </xf>
    <xf numFmtId="0" fontId="20" fillId="0" borderId="1" xfId="0" applyFont="1" applyBorder="1" applyAlignment="1">
      <alignment horizontal="justify" vertical="center" wrapText="1"/>
    </xf>
    <xf numFmtId="169" fontId="15" fillId="7" borderId="1" xfId="0" applyNumberFormat="1" applyFont="1" applyFill="1" applyBorder="1" applyAlignment="1">
      <alignment horizontal="right" vertical="center" wrapText="1"/>
    </xf>
    <xf numFmtId="169" fontId="15" fillId="0" borderId="76" xfId="0" applyNumberFormat="1" applyFont="1" applyFill="1" applyBorder="1" applyAlignment="1">
      <alignment horizontal="right" vertical="center" wrapText="1"/>
    </xf>
    <xf numFmtId="169" fontId="15" fillId="0" borderId="57" xfId="0" applyNumberFormat="1" applyFont="1" applyFill="1" applyBorder="1" applyAlignment="1">
      <alignment horizontal="right" vertical="center" wrapText="1"/>
    </xf>
    <xf numFmtId="3" fontId="3" fillId="0" borderId="1" xfId="1" applyNumberFormat="1" applyFont="1" applyFill="1" applyBorder="1" applyAlignment="1">
      <alignment horizontal="center" vertical="center" wrapText="1"/>
    </xf>
    <xf numFmtId="0" fontId="3" fillId="7" borderId="1" xfId="0" applyFont="1" applyFill="1" applyBorder="1" applyAlignment="1">
      <alignment horizontal="justify" vertical="center" wrapText="1"/>
    </xf>
    <xf numFmtId="1" fontId="2" fillId="6" borderId="1" xfId="0" applyNumberFormat="1" applyFont="1" applyFill="1" applyBorder="1" applyAlignment="1">
      <alignment horizontal="left" vertical="center"/>
    </xf>
    <xf numFmtId="0" fontId="3" fillId="7" borderId="50" xfId="0" applyFont="1" applyFill="1" applyBorder="1" applyAlignment="1">
      <alignment horizontal="center" vertical="center" wrapText="1"/>
    </xf>
    <xf numFmtId="0" fontId="3" fillId="7" borderId="55" xfId="0" applyFont="1" applyFill="1" applyBorder="1" applyAlignment="1">
      <alignment horizontal="center" vertical="center" wrapText="1"/>
    </xf>
    <xf numFmtId="0" fontId="3" fillId="7" borderId="52" xfId="0" applyFont="1" applyFill="1" applyBorder="1" applyAlignment="1">
      <alignment horizontal="center" vertical="center" wrapText="1"/>
    </xf>
    <xf numFmtId="0" fontId="2" fillId="3" borderId="1" xfId="0" applyFont="1" applyFill="1" applyBorder="1" applyAlignment="1">
      <alignment horizontal="justify" vertical="center" wrapText="1"/>
    </xf>
    <xf numFmtId="1" fontId="3" fillId="7" borderId="1" xfId="0" applyNumberFormat="1"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169" fontId="3" fillId="7"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9" fontId="4" fillId="5" borderId="1" xfId="3"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3" fontId="4" fillId="5" borderId="1" xfId="0" applyNumberFormat="1" applyFont="1" applyFill="1" applyBorder="1" applyAlignment="1">
      <alignment horizontal="center" vertical="center" wrapText="1"/>
    </xf>
    <xf numFmtId="167" fontId="2" fillId="3" borderId="1" xfId="4" applyFont="1" applyFill="1" applyBorder="1" applyAlignment="1">
      <alignment horizontal="center" vertical="center"/>
    </xf>
    <xf numFmtId="0" fontId="2" fillId="0" borderId="0" xfId="0" applyFont="1" applyBorder="1" applyAlignment="1">
      <alignment horizontal="center" vertical="center" wrapText="1"/>
    </xf>
    <xf numFmtId="0" fontId="2" fillId="0" borderId="50" xfId="0" applyFont="1" applyBorder="1" applyAlignment="1">
      <alignment horizontal="center" vertical="center"/>
    </xf>
    <xf numFmtId="0" fontId="2" fillId="0" borderId="55" xfId="0" applyFont="1" applyBorder="1" applyAlignment="1">
      <alignment horizontal="center" vertical="center"/>
    </xf>
    <xf numFmtId="0" fontId="7" fillId="3" borderId="50"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7" xfId="0" applyFont="1" applyBorder="1" applyAlignment="1">
      <alignment horizontal="center" vertical="center"/>
    </xf>
    <xf numFmtId="0" fontId="17" fillId="0" borderId="63" xfId="0" applyFont="1" applyBorder="1" applyAlignment="1">
      <alignment horizontal="center" vertical="center"/>
    </xf>
    <xf numFmtId="0" fontId="17" fillId="0" borderId="66" xfId="0" applyFont="1" applyBorder="1" applyAlignment="1">
      <alignment horizontal="center" vertical="center"/>
    </xf>
    <xf numFmtId="0" fontId="17" fillId="3" borderId="67" xfId="0" applyFont="1" applyFill="1" applyBorder="1" applyAlignment="1">
      <alignment horizontal="center" vertical="center" wrapText="1"/>
    </xf>
    <xf numFmtId="3" fontId="17" fillId="3" borderId="63" xfId="0" applyNumberFormat="1" applyFont="1" applyFill="1" applyBorder="1" applyAlignment="1">
      <alignment horizontal="center" vertical="center" wrapText="1"/>
    </xf>
    <xf numFmtId="168" fontId="7" fillId="3" borderId="50" xfId="0" applyNumberFormat="1" applyFont="1" applyFill="1" applyBorder="1" applyAlignment="1">
      <alignment horizontal="center" vertical="center" wrapText="1"/>
    </xf>
    <xf numFmtId="168" fontId="7" fillId="3" borderId="52" xfId="0" applyNumberFormat="1" applyFont="1" applyFill="1" applyBorder="1" applyAlignment="1">
      <alignment horizontal="center" vertical="center" wrapText="1"/>
    </xf>
    <xf numFmtId="168" fontId="7" fillId="3" borderId="58" xfId="0" applyNumberFormat="1" applyFont="1" applyFill="1" applyBorder="1" applyAlignment="1">
      <alignment horizontal="center" vertical="center" wrapText="1"/>
    </xf>
    <xf numFmtId="168" fontId="7" fillId="3" borderId="59" xfId="0" applyNumberFormat="1" applyFont="1" applyFill="1" applyBorder="1" applyAlignment="1">
      <alignment horizontal="center" vertical="center" wrapText="1"/>
    </xf>
    <xf numFmtId="0" fontId="15" fillId="7" borderId="70" xfId="0" applyFont="1" applyFill="1" applyBorder="1" applyAlignment="1">
      <alignment horizontal="center" vertical="center" wrapText="1"/>
    </xf>
    <xf numFmtId="0" fontId="15" fillId="7" borderId="71" xfId="0" applyFont="1" applyFill="1" applyBorder="1" applyAlignment="1">
      <alignment horizontal="center" vertical="center" wrapText="1"/>
    </xf>
    <xf numFmtId="0" fontId="7" fillId="3" borderId="55" xfId="0" applyFont="1" applyFill="1" applyBorder="1" applyAlignment="1">
      <alignment horizontal="center" vertical="center" wrapText="1"/>
    </xf>
    <xf numFmtId="9" fontId="15" fillId="0" borderId="57" xfId="0" applyNumberFormat="1" applyFont="1" applyFill="1" applyBorder="1" applyAlignment="1">
      <alignment horizontal="center" vertical="center" wrapText="1"/>
    </xf>
    <xf numFmtId="0" fontId="15" fillId="0" borderId="56" xfId="0" applyFont="1" applyFill="1" applyBorder="1" applyAlignment="1">
      <alignment horizontal="justify" vertical="center" wrapText="1" readingOrder="2"/>
    </xf>
    <xf numFmtId="0" fontId="15" fillId="0" borderId="57" xfId="0" applyFont="1" applyFill="1" applyBorder="1" applyAlignment="1">
      <alignment horizontal="justify" vertical="center" wrapText="1" readingOrder="2"/>
    </xf>
    <xf numFmtId="3" fontId="15" fillId="0" borderId="56" xfId="1" applyNumberFormat="1" applyFont="1" applyFill="1" applyBorder="1" applyAlignment="1">
      <alignment horizontal="center" vertical="center" wrapText="1"/>
    </xf>
    <xf numFmtId="3" fontId="15" fillId="0" borderId="57" xfId="1" applyNumberFormat="1" applyFont="1" applyFill="1" applyBorder="1" applyAlignment="1">
      <alignment horizontal="center" vertical="center" wrapText="1"/>
    </xf>
    <xf numFmtId="41" fontId="15" fillId="0" borderId="56" xfId="2" applyFont="1" applyFill="1" applyBorder="1" applyAlignment="1">
      <alignment horizontal="center" vertical="center" wrapText="1"/>
    </xf>
    <xf numFmtId="41" fontId="15" fillId="0" borderId="57" xfId="2" applyFont="1" applyFill="1" applyBorder="1" applyAlignment="1">
      <alignment horizontal="center" vertical="center" wrapText="1"/>
    </xf>
    <xf numFmtId="10" fontId="15" fillId="0" borderId="56" xfId="3" applyNumberFormat="1" applyFont="1" applyFill="1" applyBorder="1" applyAlignment="1">
      <alignment horizontal="center" vertical="center" wrapText="1"/>
    </xf>
    <xf numFmtId="10" fontId="15" fillId="0" borderId="57" xfId="3" applyNumberFormat="1"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9" xfId="0" applyFont="1" applyFill="1" applyBorder="1" applyAlignment="1">
      <alignment horizontal="justify" vertical="center" wrapText="1"/>
    </xf>
    <xf numFmtId="9" fontId="15" fillId="0" borderId="19" xfId="0" applyNumberFormat="1" applyFont="1" applyFill="1" applyBorder="1" applyAlignment="1">
      <alignment horizontal="center" vertical="center" wrapText="1"/>
    </xf>
    <xf numFmtId="3" fontId="15" fillId="0" borderId="75" xfId="0" applyNumberFormat="1" applyFont="1" applyFill="1" applyBorder="1" applyAlignment="1">
      <alignment horizontal="center" vertical="center" wrapText="1"/>
    </xf>
    <xf numFmtId="3" fontId="15" fillId="0" borderId="73" xfId="0" applyNumberFormat="1" applyFont="1" applyFill="1" applyBorder="1" applyAlignment="1">
      <alignment horizontal="center" vertical="center" wrapText="1"/>
    </xf>
    <xf numFmtId="0" fontId="15" fillId="7" borderId="88" xfId="0" applyFont="1" applyFill="1" applyBorder="1" applyAlignment="1">
      <alignment horizontal="center" vertical="center" wrapText="1"/>
    </xf>
    <xf numFmtId="0" fontId="15" fillId="7" borderId="89" xfId="0" applyFont="1" applyFill="1" applyBorder="1" applyAlignment="1">
      <alignment horizontal="center" vertical="center" wrapText="1"/>
    </xf>
    <xf numFmtId="168" fontId="15" fillId="0" borderId="57" xfId="0" applyNumberFormat="1" applyFont="1" applyFill="1" applyBorder="1" applyAlignment="1">
      <alignment horizontal="center" vertical="center" wrapText="1"/>
    </xf>
    <xf numFmtId="169" fontId="15" fillId="0" borderId="19" xfId="0" applyNumberFormat="1" applyFont="1" applyFill="1" applyBorder="1" applyAlignment="1">
      <alignment horizontal="center" vertical="center" wrapText="1"/>
    </xf>
    <xf numFmtId="0" fontId="15" fillId="0" borderId="15" xfId="0" applyFont="1" applyFill="1" applyBorder="1" applyAlignment="1">
      <alignment horizontal="justify" vertical="center" wrapText="1" readingOrder="2"/>
    </xf>
    <xf numFmtId="0" fontId="15" fillId="0" borderId="19" xfId="0" applyFont="1" applyFill="1" applyBorder="1" applyAlignment="1">
      <alignment horizontal="justify" vertical="center" wrapText="1" readingOrder="2"/>
    </xf>
    <xf numFmtId="3" fontId="15" fillId="0" borderId="15" xfId="1" applyNumberFormat="1" applyFont="1" applyFill="1" applyBorder="1" applyAlignment="1">
      <alignment horizontal="center" vertical="center" wrapText="1"/>
    </xf>
    <xf numFmtId="3" fontId="15" fillId="0" borderId="19" xfId="1" applyNumberFormat="1" applyFont="1" applyFill="1" applyBorder="1" applyAlignment="1">
      <alignment horizontal="center" vertical="center" wrapText="1"/>
    </xf>
    <xf numFmtId="168" fontId="15" fillId="0" borderId="19" xfId="0" applyNumberFormat="1" applyFont="1" applyFill="1" applyBorder="1" applyAlignment="1">
      <alignment horizontal="center" vertical="center" wrapText="1"/>
    </xf>
    <xf numFmtId="3" fontId="15" fillId="0" borderId="72" xfId="0" applyNumberFormat="1" applyFont="1" applyFill="1" applyBorder="1" applyAlignment="1">
      <alignment horizontal="center" vertical="center" wrapText="1"/>
    </xf>
    <xf numFmtId="3" fontId="15" fillId="0" borderId="90" xfId="0" applyNumberFormat="1" applyFont="1" applyFill="1" applyBorder="1" applyAlignment="1">
      <alignment horizontal="center" vertical="center" wrapText="1"/>
    </xf>
    <xf numFmtId="41" fontId="15" fillId="0" borderId="19" xfId="2" applyFont="1" applyFill="1" applyBorder="1" applyAlignment="1">
      <alignment horizontal="center" vertical="center" wrapText="1"/>
    </xf>
    <xf numFmtId="10" fontId="15" fillId="0" borderId="19" xfId="3" applyNumberFormat="1" applyFont="1" applyFill="1" applyBorder="1" applyAlignment="1">
      <alignment horizontal="center" vertical="center" wrapText="1"/>
    </xf>
    <xf numFmtId="0" fontId="56" fillId="3" borderId="76" xfId="0" applyFont="1" applyFill="1" applyBorder="1" applyAlignment="1">
      <alignment horizontal="center" vertical="center" wrapText="1"/>
    </xf>
    <xf numFmtId="0" fontId="56" fillId="3" borderId="15" xfId="0" applyFont="1" applyFill="1" applyBorder="1" applyAlignment="1">
      <alignment horizontal="center" vertical="center" wrapText="1"/>
    </xf>
    <xf numFmtId="170" fontId="56" fillId="3" borderId="76" xfId="0" applyNumberFormat="1" applyFont="1" applyFill="1" applyBorder="1" applyAlignment="1">
      <alignment horizontal="center" vertical="center" wrapText="1"/>
    </xf>
    <xf numFmtId="170" fontId="56" fillId="3" borderId="15" xfId="0" applyNumberFormat="1" applyFont="1" applyFill="1" applyBorder="1" applyAlignment="1">
      <alignment horizontal="center" vertical="center" wrapText="1"/>
    </xf>
    <xf numFmtId="0" fontId="55" fillId="0" borderId="0" xfId="0" applyFont="1" applyAlignment="1">
      <alignment horizontal="center" vertical="center" wrapText="1"/>
    </xf>
    <xf numFmtId="0" fontId="55" fillId="0" borderId="17" xfId="0" applyFont="1" applyBorder="1" applyAlignment="1">
      <alignment horizontal="center" vertical="center" wrapText="1"/>
    </xf>
    <xf numFmtId="0" fontId="55" fillId="0" borderId="53" xfId="0" applyFont="1" applyBorder="1" applyAlignment="1">
      <alignment horizontal="center" vertical="center" wrapText="1"/>
    </xf>
    <xf numFmtId="0" fontId="55" fillId="0" borderId="59" xfId="0" applyFont="1" applyBorder="1" applyAlignment="1">
      <alignment horizontal="center" vertical="center" wrapText="1"/>
    </xf>
    <xf numFmtId="0" fontId="56" fillId="0" borderId="1" xfId="0" applyFont="1" applyBorder="1" applyAlignment="1">
      <alignment horizontal="center" vertical="center"/>
    </xf>
    <xf numFmtId="1" fontId="56" fillId="3" borderId="76" xfId="0" applyNumberFormat="1" applyFont="1" applyFill="1" applyBorder="1" applyAlignment="1">
      <alignment horizontal="center" vertical="center" wrapText="1"/>
    </xf>
    <xf numFmtId="1" fontId="56" fillId="3" borderId="15" xfId="0" applyNumberFormat="1" applyFont="1" applyFill="1" applyBorder="1" applyAlignment="1">
      <alignment horizontal="center" vertical="center" wrapText="1"/>
    </xf>
    <xf numFmtId="0" fontId="56" fillId="3" borderId="50" xfId="0" applyFont="1" applyFill="1" applyBorder="1" applyAlignment="1">
      <alignment horizontal="center" vertical="center" wrapText="1"/>
    </xf>
    <xf numFmtId="0" fontId="56" fillId="3" borderId="52" xfId="0" applyFont="1" applyFill="1" applyBorder="1" applyAlignment="1">
      <alignment horizontal="center" vertical="center" wrapText="1"/>
    </xf>
    <xf numFmtId="0" fontId="56" fillId="3" borderId="16" xfId="0" applyFont="1" applyFill="1" applyBorder="1" applyAlignment="1">
      <alignment horizontal="center" vertical="center" wrapText="1"/>
    </xf>
    <xf numFmtId="0" fontId="56" fillId="3" borderId="17" xfId="0" applyFont="1" applyFill="1" applyBorder="1" applyAlignment="1">
      <alignment horizontal="center" vertical="center" wrapText="1"/>
    </xf>
    <xf numFmtId="168" fontId="57" fillId="3" borderId="50" xfId="0" applyNumberFormat="1" applyFont="1" applyFill="1" applyBorder="1" applyAlignment="1">
      <alignment horizontal="center" vertical="center" wrapText="1"/>
    </xf>
    <xf numFmtId="168" fontId="57" fillId="3" borderId="52" xfId="0" applyNumberFormat="1" applyFont="1" applyFill="1" applyBorder="1" applyAlignment="1">
      <alignment horizontal="center" vertical="center" wrapText="1"/>
    </xf>
    <xf numFmtId="168" fontId="57" fillId="3" borderId="58" xfId="0" applyNumberFormat="1" applyFont="1" applyFill="1" applyBorder="1" applyAlignment="1">
      <alignment horizontal="center" vertical="center" wrapText="1"/>
    </xf>
    <xf numFmtId="168" fontId="57" fillId="3" borderId="59" xfId="0" applyNumberFormat="1" applyFont="1" applyFill="1" applyBorder="1" applyAlignment="1">
      <alignment horizontal="center" vertical="center" wrapText="1"/>
    </xf>
    <xf numFmtId="3" fontId="56" fillId="3" borderId="76" xfId="0" applyNumberFormat="1" applyFont="1" applyFill="1" applyBorder="1" applyAlignment="1">
      <alignment horizontal="center" vertical="center" wrapText="1"/>
    </xf>
    <xf numFmtId="3" fontId="56" fillId="3" borderId="57" xfId="0" applyNumberFormat="1" applyFont="1" applyFill="1" applyBorder="1" applyAlignment="1">
      <alignment horizontal="center" vertical="center" wrapText="1"/>
    </xf>
    <xf numFmtId="0" fontId="15" fillId="3" borderId="3" xfId="0" applyFont="1" applyFill="1" applyBorder="1" applyAlignment="1">
      <alignment horizontal="center" vertical="center" textRotation="90" wrapText="1"/>
    </xf>
    <xf numFmtId="0" fontId="15" fillId="3" borderId="5" xfId="0" applyFont="1" applyFill="1" applyBorder="1" applyAlignment="1">
      <alignment horizontal="center" vertical="center" textRotation="90" wrapText="1"/>
    </xf>
    <xf numFmtId="0" fontId="30" fillId="4" borderId="50" xfId="0" applyFont="1" applyFill="1" applyBorder="1" applyAlignment="1">
      <alignment horizontal="center" vertical="center" wrapText="1"/>
    </xf>
    <xf numFmtId="0" fontId="30" fillId="4" borderId="55" xfId="0" applyFont="1" applyFill="1" applyBorder="1" applyAlignment="1">
      <alignment horizontal="center" vertical="center" wrapText="1"/>
    </xf>
    <xf numFmtId="0" fontId="30" fillId="4" borderId="52" xfId="0" applyFont="1" applyFill="1" applyBorder="1" applyAlignment="1">
      <alignment horizontal="center" vertical="center" wrapText="1"/>
    </xf>
    <xf numFmtId="0" fontId="2" fillId="4" borderId="50" xfId="0" applyFont="1" applyFill="1" applyBorder="1" applyAlignment="1">
      <alignment horizontal="center" vertical="center" textRotation="90" wrapText="1"/>
    </xf>
    <xf numFmtId="0" fontId="2" fillId="4" borderId="52" xfId="0" applyFont="1" applyFill="1" applyBorder="1" applyAlignment="1">
      <alignment horizontal="center" vertical="center" textRotation="90" wrapText="1"/>
    </xf>
    <xf numFmtId="0" fontId="2" fillId="4" borderId="58" xfId="0" applyFont="1" applyFill="1" applyBorder="1" applyAlignment="1">
      <alignment horizontal="center" vertical="center" textRotation="90" wrapText="1"/>
    </xf>
    <xf numFmtId="0" fontId="2" fillId="4" borderId="59" xfId="0" applyFont="1" applyFill="1" applyBorder="1" applyAlignment="1">
      <alignment horizontal="center" vertical="center" textRotation="90" wrapText="1"/>
    </xf>
    <xf numFmtId="4" fontId="21" fillId="5" borderId="76" xfId="0" applyNumberFormat="1" applyFont="1" applyFill="1" applyBorder="1" applyAlignment="1">
      <alignment horizontal="center" vertical="center" wrapText="1"/>
    </xf>
    <xf numFmtId="4" fontId="21" fillId="5" borderId="57" xfId="0" applyNumberFormat="1" applyFont="1" applyFill="1" applyBorder="1" applyAlignment="1">
      <alignment horizontal="center" vertical="center" wrapText="1"/>
    </xf>
    <xf numFmtId="9" fontId="21" fillId="5" borderId="1" xfId="3" applyFont="1" applyFill="1" applyBorder="1" applyAlignment="1">
      <alignment horizontal="center" vertical="center" wrapText="1"/>
    </xf>
    <xf numFmtId="0" fontId="22" fillId="0" borderId="15" xfId="0" applyFont="1" applyBorder="1" applyAlignment="1">
      <alignment horizontal="center" vertical="center" wrapText="1"/>
    </xf>
    <xf numFmtId="0" fontId="22" fillId="7" borderId="15" xfId="0" applyFont="1" applyFill="1" applyBorder="1" applyAlignment="1">
      <alignment horizontal="justify" vertical="center" wrapText="1"/>
    </xf>
    <xf numFmtId="0" fontId="22" fillId="7" borderId="15" xfId="0" applyFont="1" applyFill="1" applyBorder="1" applyAlignment="1">
      <alignment horizontal="center" vertical="center" wrapText="1"/>
    </xf>
    <xf numFmtId="0" fontId="24" fillId="7" borderId="76"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2" fillId="7" borderId="17" xfId="0" applyFont="1" applyFill="1" applyBorder="1" applyAlignment="1">
      <alignment horizontal="center" vertical="center" wrapText="1"/>
    </xf>
    <xf numFmtId="4" fontId="21" fillId="5" borderId="1" xfId="0" applyNumberFormat="1" applyFont="1" applyFill="1" applyBorder="1" applyAlignment="1">
      <alignment horizontal="center" vertical="center" wrapText="1"/>
    </xf>
    <xf numFmtId="169" fontId="56" fillId="3" borderId="3" xfId="0" applyNumberFormat="1" applyFont="1" applyFill="1" applyBorder="1" applyAlignment="1">
      <alignment horizontal="center" vertical="center" wrapText="1"/>
    </xf>
    <xf numFmtId="169" fontId="56" fillId="3" borderId="4" xfId="0" applyNumberFormat="1" applyFont="1" applyFill="1" applyBorder="1" applyAlignment="1">
      <alignment horizontal="center" vertical="center" wrapText="1"/>
    </xf>
    <xf numFmtId="169" fontId="56" fillId="3" borderId="5" xfId="0" applyNumberFormat="1" applyFont="1" applyFill="1" applyBorder="1" applyAlignment="1">
      <alignment horizontal="center" vertical="center" wrapText="1"/>
    </xf>
    <xf numFmtId="4" fontId="22" fillId="0" borderId="31" xfId="8" applyNumberFormat="1" applyFont="1" applyFill="1" applyBorder="1" applyAlignment="1">
      <alignment horizontal="right" vertical="center"/>
    </xf>
    <xf numFmtId="173" fontId="24" fillId="0" borderId="85" xfId="8" applyFont="1" applyFill="1" applyBorder="1" applyAlignment="1" applyProtection="1">
      <alignment horizontal="center" vertical="center"/>
      <protection locked="0"/>
    </xf>
    <xf numFmtId="173" fontId="24" fillId="0" borderId="93" xfId="8" applyFont="1" applyFill="1" applyBorder="1" applyAlignment="1" applyProtection="1">
      <alignment horizontal="center" vertical="center"/>
      <protection locked="0"/>
    </xf>
    <xf numFmtId="173" fontId="15" fillId="0" borderId="1" xfId="8" applyFont="1" applyFill="1" applyBorder="1" applyAlignment="1" applyProtection="1">
      <alignment horizontal="center" vertical="center" wrapText="1"/>
      <protection locked="0"/>
    </xf>
    <xf numFmtId="1" fontId="22" fillId="0" borderId="110" xfId="0" applyNumberFormat="1" applyFont="1" applyFill="1" applyBorder="1" applyAlignment="1">
      <alignment horizontal="center" vertical="center" wrapText="1"/>
    </xf>
    <xf numFmtId="1" fontId="22" fillId="0" borderId="107" xfId="0" applyNumberFormat="1" applyFont="1" applyFill="1" applyBorder="1" applyAlignment="1">
      <alignment horizontal="center" vertical="center" wrapText="1"/>
    </xf>
    <xf numFmtId="171" fontId="22" fillId="0" borderId="31" xfId="0" applyNumberFormat="1" applyFont="1" applyFill="1" applyBorder="1" applyAlignment="1">
      <alignment horizontal="left" vertical="center"/>
    </xf>
    <xf numFmtId="0" fontId="22" fillId="0" borderId="17" xfId="0" applyFont="1" applyBorder="1" applyAlignment="1">
      <alignment horizontal="center" vertical="center" wrapText="1"/>
    </xf>
    <xf numFmtId="0" fontId="22" fillId="7" borderId="76" xfId="0" applyFont="1" applyFill="1" applyBorder="1" applyAlignment="1">
      <alignment horizontal="justify" vertical="center" wrapText="1"/>
    </xf>
    <xf numFmtId="188" fontId="22" fillId="7" borderId="15" xfId="0" applyNumberFormat="1" applyFont="1" applyFill="1" applyBorder="1" applyAlignment="1">
      <alignment horizontal="center" vertical="center"/>
    </xf>
    <xf numFmtId="173" fontId="22" fillId="7" borderId="15" xfId="8" applyFont="1" applyFill="1" applyBorder="1" applyAlignment="1">
      <alignment horizontal="center" vertical="center" wrapText="1"/>
    </xf>
    <xf numFmtId="0" fontId="22" fillId="7" borderId="16" xfId="0" applyFont="1" applyFill="1" applyBorder="1" applyAlignment="1">
      <alignment horizontal="justify" vertical="center" wrapText="1"/>
    </xf>
    <xf numFmtId="0" fontId="22" fillId="0" borderId="31" xfId="0" applyFont="1" applyBorder="1" applyAlignment="1">
      <alignment horizontal="justify" vertical="center"/>
    </xf>
    <xf numFmtId="0" fontId="22" fillId="0" borderId="74" xfId="0" applyFont="1" applyBorder="1" applyAlignment="1">
      <alignment horizontal="justify" vertical="center"/>
    </xf>
    <xf numFmtId="0" fontId="22" fillId="0" borderId="108" xfId="0" applyFont="1" applyBorder="1" applyAlignment="1">
      <alignment horizontal="justify" vertical="center" wrapText="1"/>
    </xf>
    <xf numFmtId="0" fontId="22" fillId="0" borderId="57" xfId="0" applyFont="1" applyBorder="1" applyAlignment="1">
      <alignment horizontal="justify" vertical="center" wrapText="1"/>
    </xf>
    <xf numFmtId="0" fontId="22" fillId="0" borderId="76" xfId="0" applyFont="1" applyBorder="1" applyAlignment="1">
      <alignment horizontal="center" vertical="center"/>
    </xf>
    <xf numFmtId="0" fontId="22" fillId="0" borderId="15" xfId="0" applyFont="1" applyBorder="1" applyAlignment="1">
      <alignment horizontal="center" vertical="center"/>
    </xf>
    <xf numFmtId="173" fontId="22" fillId="0" borderId="1" xfId="8" applyFont="1" applyBorder="1" applyAlignment="1">
      <alignment horizontal="center" vertical="center"/>
    </xf>
    <xf numFmtId="10" fontId="22"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14" fontId="22" fillId="0" borderId="1" xfId="0" applyNumberFormat="1" applyFont="1" applyBorder="1" applyAlignment="1">
      <alignment horizontal="center" vertical="center"/>
    </xf>
    <xf numFmtId="0" fontId="22" fillId="0" borderId="76" xfId="0" applyFont="1" applyBorder="1" applyAlignment="1">
      <alignment horizontal="center" vertical="center" wrapText="1"/>
    </xf>
    <xf numFmtId="0" fontId="22" fillId="0" borderId="57" xfId="0" applyFont="1" applyBorder="1" applyAlignment="1">
      <alignment horizontal="center" vertical="center" wrapText="1"/>
    </xf>
    <xf numFmtId="0" fontId="22" fillId="7" borderId="76" xfId="0" applyFont="1" applyFill="1" applyBorder="1" applyAlignment="1">
      <alignment horizontal="center" vertical="center" wrapText="1"/>
    </xf>
    <xf numFmtId="188" fontId="22" fillId="7" borderId="76" xfId="0" applyNumberFormat="1" applyFont="1" applyFill="1" applyBorder="1" applyAlignment="1">
      <alignment horizontal="center" vertical="center" wrapText="1"/>
    </xf>
    <xf numFmtId="188" fontId="22" fillId="7" borderId="15" xfId="0" applyNumberFormat="1" applyFont="1" applyFill="1" applyBorder="1" applyAlignment="1">
      <alignment horizontal="center" vertical="center" wrapText="1"/>
    </xf>
    <xf numFmtId="0" fontId="22" fillId="0" borderId="83" xfId="0" applyFont="1" applyBorder="1" applyAlignment="1">
      <alignment horizontal="justify" vertical="center" wrapText="1"/>
    </xf>
    <xf numFmtId="0" fontId="22" fillId="0" borderId="31" xfId="0" applyFont="1" applyBorder="1" applyAlignment="1">
      <alignment horizontal="justify" vertical="center" wrapText="1"/>
    </xf>
    <xf numFmtId="0" fontId="22" fillId="0" borderId="57" xfId="0" applyFont="1" applyBorder="1" applyAlignment="1">
      <alignment horizontal="center" vertical="center"/>
    </xf>
    <xf numFmtId="173" fontId="22" fillId="0" borderId="76" xfId="8" applyFont="1" applyBorder="1" applyAlignment="1">
      <alignment horizontal="center" vertical="center" wrapText="1"/>
    </xf>
    <xf numFmtId="173" fontId="22" fillId="0" borderId="57" xfId="8" applyFont="1" applyBorder="1" applyAlignment="1">
      <alignment horizontal="center" vertical="center" wrapText="1"/>
    </xf>
    <xf numFmtId="188" fontId="22" fillId="7" borderId="76" xfId="0" applyNumberFormat="1" applyFont="1" applyFill="1" applyBorder="1" applyAlignment="1">
      <alignment horizontal="center" vertical="center"/>
    </xf>
    <xf numFmtId="0" fontId="22" fillId="0" borderId="76" xfId="0" applyFont="1" applyBorder="1" applyAlignment="1">
      <alignment horizontal="justify" vertical="center" wrapText="1"/>
    </xf>
    <xf numFmtId="0" fontId="22" fillId="0" borderId="15" xfId="0" applyFont="1" applyBorder="1" applyAlignment="1">
      <alignment horizontal="justify" vertical="center" wrapText="1"/>
    </xf>
    <xf numFmtId="0" fontId="22" fillId="0" borderId="1" xfId="0" applyFont="1" applyBorder="1" applyAlignment="1">
      <alignment horizontal="center" vertical="center"/>
    </xf>
    <xf numFmtId="173" fontId="22" fillId="0" borderId="1" xfId="8" applyFont="1" applyBorder="1" applyAlignment="1">
      <alignment horizontal="center" vertical="center" wrapText="1"/>
    </xf>
    <xf numFmtId="171" fontId="22" fillId="0" borderId="76" xfId="0" applyNumberFormat="1" applyFont="1" applyFill="1" applyBorder="1" applyAlignment="1">
      <alignment horizontal="center" vertical="center" wrapText="1"/>
    </xf>
    <xf numFmtId="171" fontId="22" fillId="0" borderId="15" xfId="0" applyNumberFormat="1" applyFont="1" applyFill="1" applyBorder="1" applyAlignment="1">
      <alignment horizontal="center" vertical="center"/>
    </xf>
    <xf numFmtId="171" fontId="22" fillId="0" borderId="57" xfId="0" applyNumberFormat="1" applyFont="1" applyFill="1" applyBorder="1" applyAlignment="1">
      <alignment horizontal="center" vertical="center"/>
    </xf>
    <xf numFmtId="0" fontId="22" fillId="7" borderId="57" xfId="0" applyFont="1" applyFill="1" applyBorder="1" applyAlignment="1">
      <alignment horizontal="justify" vertical="center" wrapText="1"/>
    </xf>
    <xf numFmtId="1" fontId="22" fillId="7" borderId="76" xfId="0" applyNumberFormat="1" applyFont="1" applyFill="1" applyBorder="1" applyAlignment="1">
      <alignment horizontal="center" vertical="center"/>
    </xf>
    <xf numFmtId="1" fontId="22" fillId="7" borderId="57" xfId="0" applyNumberFormat="1" applyFont="1" applyFill="1" applyBorder="1" applyAlignment="1">
      <alignment horizontal="center" vertical="center"/>
    </xf>
    <xf numFmtId="10" fontId="22" fillId="7" borderId="76" xfId="7" applyNumberFormat="1" applyFont="1" applyFill="1" applyBorder="1" applyAlignment="1">
      <alignment horizontal="center" vertical="center"/>
    </xf>
    <xf numFmtId="10" fontId="22" fillId="7" borderId="57" xfId="7" applyNumberFormat="1" applyFont="1" applyFill="1" applyBorder="1" applyAlignment="1">
      <alignment horizontal="center" vertical="center"/>
    </xf>
    <xf numFmtId="173" fontId="22" fillId="0" borderId="76" xfId="8" applyFont="1" applyBorder="1" applyAlignment="1">
      <alignment horizontal="center" vertical="center"/>
    </xf>
    <xf numFmtId="173" fontId="22" fillId="0" borderId="57" xfId="8" applyFont="1" applyBorder="1" applyAlignment="1">
      <alignment horizontal="center" vertical="center"/>
    </xf>
    <xf numFmtId="10" fontId="22" fillId="0" borderId="76" xfId="0" applyNumberFormat="1" applyFont="1" applyBorder="1" applyAlignment="1">
      <alignment horizontal="center" vertical="center"/>
    </xf>
    <xf numFmtId="10" fontId="22" fillId="0" borderId="57" xfId="0" applyNumberFormat="1" applyFont="1" applyBorder="1" applyAlignment="1">
      <alignment horizontal="center" vertical="center"/>
    </xf>
    <xf numFmtId="0" fontId="22" fillId="0" borderId="15" xfId="0" applyFont="1" applyBorder="1" applyAlignment="1">
      <alignment horizontal="left" vertical="center" wrapText="1"/>
    </xf>
    <xf numFmtId="14" fontId="22" fillId="0" borderId="76" xfId="0" applyNumberFormat="1" applyFont="1" applyBorder="1" applyAlignment="1">
      <alignment horizontal="center" vertical="center" wrapText="1"/>
    </xf>
    <xf numFmtId="14" fontId="22" fillId="0" borderId="57" xfId="0" applyNumberFormat="1" applyFont="1" applyBorder="1" applyAlignment="1">
      <alignment horizontal="center" vertical="center" wrapText="1"/>
    </xf>
    <xf numFmtId="14" fontId="22" fillId="0" borderId="76" xfId="0" applyNumberFormat="1" applyFont="1" applyBorder="1" applyAlignment="1">
      <alignment horizontal="center" vertical="center"/>
    </xf>
    <xf numFmtId="14" fontId="22" fillId="0" borderId="57" xfId="0" applyNumberFormat="1" applyFont="1" applyBorder="1" applyAlignment="1">
      <alignment horizontal="center" vertical="center"/>
    </xf>
    <xf numFmtId="1" fontId="22" fillId="0" borderId="108" xfId="0" applyNumberFormat="1" applyFont="1" applyFill="1" applyBorder="1" applyAlignment="1">
      <alignment horizontal="center" vertical="center" wrapText="1"/>
    </xf>
    <xf numFmtId="1" fontId="22" fillId="0" borderId="57" xfId="0" applyNumberFormat="1" applyFont="1" applyFill="1" applyBorder="1" applyAlignment="1">
      <alignment horizontal="center" vertical="center" wrapText="1"/>
    </xf>
    <xf numFmtId="0" fontId="22" fillId="0" borderId="108" xfId="0" applyFont="1" applyFill="1" applyBorder="1" applyAlignment="1">
      <alignment horizontal="center" vertical="center"/>
    </xf>
    <xf numFmtId="0" fontId="22" fillId="0" borderId="57" xfId="0" applyFont="1" applyFill="1" applyBorder="1" applyAlignment="1">
      <alignment horizontal="center" vertical="center"/>
    </xf>
    <xf numFmtId="0" fontId="22" fillId="7" borderId="1" xfId="0" applyFont="1" applyFill="1" applyBorder="1" applyAlignment="1">
      <alignment horizontal="justify" vertical="center" wrapText="1"/>
    </xf>
    <xf numFmtId="0" fontId="22" fillId="0" borderId="108" xfId="0" applyFont="1" applyBorder="1" applyAlignment="1">
      <alignment horizontal="left" vertical="center" wrapText="1"/>
    </xf>
    <xf numFmtId="0" fontId="22" fillId="0" borderId="57" xfId="0" applyFont="1" applyBorder="1" applyAlignment="1">
      <alignment horizontal="left" vertical="center" wrapText="1"/>
    </xf>
    <xf numFmtId="173" fontId="22" fillId="0" borderId="108" xfId="8" applyFont="1" applyFill="1" applyBorder="1" applyAlignment="1">
      <alignment horizontal="center" vertical="center"/>
    </xf>
    <xf numFmtId="173" fontId="22" fillId="0" borderId="57" xfId="8" applyFont="1" applyFill="1" applyBorder="1" applyAlignment="1">
      <alignment horizontal="center" vertical="center"/>
    </xf>
    <xf numFmtId="14" fontId="22" fillId="0" borderId="15" xfId="0" applyNumberFormat="1" applyFont="1" applyBorder="1" applyAlignment="1">
      <alignment horizontal="center" vertical="center" wrapText="1"/>
    </xf>
    <xf numFmtId="14" fontId="58" fillId="0" borderId="15" xfId="0" applyNumberFormat="1" applyFont="1" applyFill="1" applyBorder="1" applyAlignment="1">
      <alignment horizontal="center" vertical="center"/>
    </xf>
    <xf numFmtId="0" fontId="22" fillId="7" borderId="16" xfId="0" applyFont="1" applyFill="1" applyBorder="1" applyAlignment="1">
      <alignment horizontal="center" vertical="center"/>
    </xf>
    <xf numFmtId="0" fontId="22" fillId="7" borderId="17" xfId="0" applyFont="1" applyFill="1" applyBorder="1" applyAlignment="1">
      <alignment horizontal="center" vertical="center"/>
    </xf>
    <xf numFmtId="0" fontId="22" fillId="7" borderId="0" xfId="0" applyFont="1" applyFill="1" applyAlignment="1">
      <alignment horizontal="center" vertical="center"/>
    </xf>
    <xf numFmtId="0" fontId="22" fillId="0" borderId="31" xfId="0" applyFont="1" applyBorder="1" applyAlignment="1">
      <alignment horizontal="center" vertical="center"/>
    </xf>
    <xf numFmtId="0" fontId="22" fillId="7" borderId="31" xfId="0" applyFont="1" applyFill="1" applyBorder="1" applyAlignment="1">
      <alignment vertical="center" wrapText="1"/>
    </xf>
    <xf numFmtId="0" fontId="22" fillId="7" borderId="52" xfId="0" applyFont="1" applyFill="1" applyBorder="1" applyAlignment="1">
      <alignment vertical="center" wrapText="1"/>
    </xf>
    <xf numFmtId="0" fontId="22" fillId="7" borderId="17" xfId="0" applyFont="1" applyFill="1" applyBorder="1" applyAlignment="1">
      <alignment vertical="center" wrapText="1"/>
    </xf>
    <xf numFmtId="173" fontId="22" fillId="0" borderId="15" xfId="8" applyFont="1" applyBorder="1" applyAlignment="1">
      <alignment horizontal="center" vertical="center"/>
    </xf>
    <xf numFmtId="10" fontId="22" fillId="0" borderId="15" xfId="0" applyNumberFormat="1" applyFont="1" applyBorder="1" applyAlignment="1">
      <alignment horizontal="center" vertical="center" wrapText="1"/>
    </xf>
    <xf numFmtId="0" fontId="22" fillId="0" borderId="16" xfId="0" applyFont="1" applyBorder="1" applyAlignment="1">
      <alignment horizontal="justify" vertical="center" wrapText="1"/>
    </xf>
    <xf numFmtId="0" fontId="22" fillId="7" borderId="52" xfId="0" applyFont="1" applyFill="1" applyBorder="1" applyAlignment="1">
      <alignment horizontal="center" vertical="center"/>
    </xf>
    <xf numFmtId="0" fontId="22" fillId="7" borderId="76" xfId="0" applyFont="1" applyFill="1" applyBorder="1" applyAlignment="1">
      <alignment horizontal="center" vertical="center"/>
    </xf>
    <xf numFmtId="0" fontId="22" fillId="7" borderId="15" xfId="0" applyFont="1" applyFill="1" applyBorder="1" applyAlignment="1">
      <alignment horizontal="center" vertical="center"/>
    </xf>
    <xf numFmtId="1" fontId="22" fillId="7" borderId="15" xfId="0" applyNumberFormat="1" applyFont="1" applyFill="1" applyBorder="1" applyAlignment="1">
      <alignment horizontal="center" vertical="center"/>
    </xf>
    <xf numFmtId="0" fontId="22" fillId="7" borderId="1" xfId="0" applyFont="1" applyFill="1" applyBorder="1" applyAlignment="1">
      <alignment horizontal="center" vertical="center" wrapText="1"/>
    </xf>
    <xf numFmtId="9" fontId="22" fillId="7" borderId="76" xfId="7" applyFont="1" applyFill="1" applyBorder="1" applyAlignment="1">
      <alignment horizontal="center" vertical="center" wrapText="1"/>
    </xf>
    <xf numFmtId="9" fontId="22" fillId="7" borderId="15" xfId="7" applyFont="1" applyFill="1" applyBorder="1" applyAlignment="1">
      <alignment horizontal="center" vertical="center" wrapText="1"/>
    </xf>
    <xf numFmtId="173" fontId="22" fillId="7" borderId="1" xfId="8" applyFont="1" applyFill="1" applyBorder="1" applyAlignment="1">
      <alignment horizontal="justify" vertical="center" wrapText="1"/>
    </xf>
    <xf numFmtId="1" fontId="58" fillId="0" borderId="76" xfId="0" applyNumberFormat="1" applyFont="1" applyBorder="1" applyAlignment="1">
      <alignment horizontal="center" vertical="center"/>
    </xf>
    <xf numFmtId="1" fontId="58" fillId="0" borderId="15" xfId="0" applyNumberFormat="1" applyFont="1" applyBorder="1" applyAlignment="1">
      <alignment horizontal="center" vertical="center"/>
    </xf>
    <xf numFmtId="14" fontId="58" fillId="0" borderId="76" xfId="0" applyNumberFormat="1" applyFont="1" applyBorder="1" applyAlignment="1">
      <alignment horizontal="center" vertical="center" wrapText="1"/>
    </xf>
    <xf numFmtId="14" fontId="58" fillId="0" borderId="15" xfId="0" applyNumberFormat="1" applyFont="1" applyBorder="1" applyAlignment="1">
      <alignment horizontal="center" vertical="center" wrapText="1"/>
    </xf>
    <xf numFmtId="0" fontId="58" fillId="0" borderId="76" xfId="0" applyFont="1" applyBorder="1" applyAlignment="1">
      <alignment horizontal="center" vertical="center" wrapText="1"/>
    </xf>
    <xf numFmtId="0" fontId="58" fillId="0" borderId="15" xfId="0" applyFont="1" applyBorder="1" applyAlignment="1">
      <alignment horizontal="center" vertical="center" wrapText="1"/>
    </xf>
    <xf numFmtId="0" fontId="22" fillId="0" borderId="0" xfId="0" applyFont="1" applyAlignment="1">
      <alignment horizontal="center"/>
    </xf>
    <xf numFmtId="0" fontId="22" fillId="0" borderId="17" xfId="0" applyFont="1" applyBorder="1" applyAlignment="1">
      <alignment horizontal="center"/>
    </xf>
    <xf numFmtId="173" fontId="58" fillId="0" borderId="76" xfId="8" applyFont="1" applyBorder="1" applyAlignment="1">
      <alignment horizontal="center" vertical="center"/>
    </xf>
    <xf numFmtId="173" fontId="58" fillId="0" borderId="15" xfId="8" applyFont="1" applyBorder="1" applyAlignment="1">
      <alignment horizontal="center" vertical="center"/>
    </xf>
    <xf numFmtId="10" fontId="58" fillId="0" borderId="76" xfId="0" applyNumberFormat="1" applyFont="1" applyBorder="1" applyAlignment="1">
      <alignment horizontal="center" vertical="center"/>
    </xf>
    <xf numFmtId="10" fontId="58" fillId="0" borderId="15" xfId="0" applyNumberFormat="1" applyFont="1" applyBorder="1" applyAlignment="1">
      <alignment horizontal="center" vertical="center"/>
    </xf>
    <xf numFmtId="0" fontId="58" fillId="0" borderId="15" xfId="0" applyFont="1" applyBorder="1" applyAlignment="1">
      <alignment horizontal="center" vertical="center"/>
    </xf>
    <xf numFmtId="0" fontId="58" fillId="0" borderId="76" xfId="0" applyFont="1" applyBorder="1" applyAlignment="1">
      <alignment horizontal="center" vertical="center"/>
    </xf>
    <xf numFmtId="0" fontId="22" fillId="0" borderId="76" xfId="0" applyFont="1" applyBorder="1" applyAlignment="1">
      <alignment vertical="center" wrapText="1"/>
    </xf>
    <xf numFmtId="0" fontId="22" fillId="0" borderId="57" xfId="0" applyFont="1" applyBorder="1" applyAlignment="1">
      <alignment vertical="center" wrapText="1"/>
    </xf>
    <xf numFmtId="10" fontId="22" fillId="0" borderId="76" xfId="7" applyNumberFormat="1" applyFont="1" applyBorder="1" applyAlignment="1">
      <alignment horizontal="center" vertical="center"/>
    </xf>
    <xf numFmtId="10" fontId="22" fillId="0" borderId="57" xfId="7" applyNumberFormat="1" applyFont="1" applyBorder="1" applyAlignment="1">
      <alignment horizontal="center" vertical="center"/>
    </xf>
    <xf numFmtId="1" fontId="22" fillId="0" borderId="76" xfId="0" applyNumberFormat="1" applyFont="1" applyBorder="1" applyAlignment="1">
      <alignment horizontal="center" vertical="center"/>
    </xf>
    <xf numFmtId="1" fontId="22" fillId="0" borderId="15" xfId="0" applyNumberFormat="1" applyFont="1" applyBorder="1" applyAlignment="1">
      <alignment horizontal="center" vertical="center"/>
    </xf>
    <xf numFmtId="14" fontId="58" fillId="0" borderId="76" xfId="0" applyNumberFormat="1" applyFont="1" applyBorder="1" applyAlignment="1">
      <alignment horizontal="center" vertical="center"/>
    </xf>
    <xf numFmtId="14" fontId="58" fillId="0" borderId="57" xfId="0" applyNumberFormat="1" applyFont="1" applyBorder="1" applyAlignment="1">
      <alignment horizontal="center" vertical="center"/>
    </xf>
    <xf numFmtId="10" fontId="22" fillId="0" borderId="15" xfId="7" applyNumberFormat="1" applyFont="1" applyBorder="1" applyAlignment="1">
      <alignment horizontal="center" vertical="center"/>
    </xf>
    <xf numFmtId="0" fontId="22" fillId="0" borderId="58" xfId="0" applyFont="1" applyBorder="1" applyAlignment="1">
      <alignment horizontal="justify" vertical="center" wrapText="1"/>
    </xf>
    <xf numFmtId="0" fontId="58" fillId="0" borderId="76" xfId="0" applyFont="1" applyBorder="1" applyAlignment="1">
      <alignment horizontal="center"/>
    </xf>
    <xf numFmtId="0" fontId="58" fillId="0" borderId="57" xfId="0" applyFont="1" applyBorder="1" applyAlignment="1">
      <alignment horizontal="center"/>
    </xf>
    <xf numFmtId="1" fontId="22" fillId="0" borderId="76"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1" fontId="22" fillId="0" borderId="57" xfId="0" applyNumberFormat="1" applyFont="1" applyBorder="1" applyAlignment="1">
      <alignment horizontal="center" vertical="center" wrapText="1"/>
    </xf>
    <xf numFmtId="1" fontId="22" fillId="0" borderId="76" xfId="0" applyNumberFormat="1" applyFont="1" applyFill="1" applyBorder="1" applyAlignment="1">
      <alignment horizontal="center" vertical="center" wrapText="1"/>
    </xf>
    <xf numFmtId="1" fontId="22" fillId="0" borderId="15" xfId="0" applyNumberFormat="1" applyFont="1" applyFill="1" applyBorder="1" applyAlignment="1">
      <alignment horizontal="center" vertical="center" wrapText="1"/>
    </xf>
    <xf numFmtId="14" fontId="58" fillId="0" borderId="15" xfId="0" applyNumberFormat="1" applyFont="1" applyBorder="1" applyAlignment="1">
      <alignment horizontal="center" vertical="center"/>
    </xf>
    <xf numFmtId="0" fontId="22" fillId="0" borderId="1" xfId="0" applyFont="1" applyBorder="1" applyAlignment="1">
      <alignment horizontal="left" vertical="center" wrapText="1"/>
    </xf>
    <xf numFmtId="1" fontId="22" fillId="0" borderId="57" xfId="0" applyNumberFormat="1" applyFont="1" applyBorder="1" applyAlignment="1">
      <alignment horizontal="center" vertical="center"/>
    </xf>
    <xf numFmtId="10" fontId="22" fillId="0" borderId="15" xfId="0" applyNumberFormat="1" applyFont="1" applyBorder="1" applyAlignment="1">
      <alignment horizontal="center" vertical="center"/>
    </xf>
    <xf numFmtId="0" fontId="22" fillId="0" borderId="0" xfId="0" applyFont="1" applyAlignment="1">
      <alignment horizontal="center" vertical="center" wrapText="1"/>
    </xf>
    <xf numFmtId="0" fontId="22" fillId="7" borderId="57" xfId="0" applyFont="1" applyFill="1" applyBorder="1" applyAlignment="1">
      <alignment horizontal="center" vertical="center"/>
    </xf>
    <xf numFmtId="0" fontId="22" fillId="7" borderId="57" xfId="0" applyFont="1" applyFill="1" applyBorder="1" applyAlignment="1">
      <alignment horizontal="center" vertical="center" wrapText="1"/>
    </xf>
    <xf numFmtId="3" fontId="22" fillId="0" borderId="76" xfId="0" applyNumberFormat="1" applyFont="1" applyBorder="1" applyAlignment="1">
      <alignment horizontal="center" vertical="center"/>
    </xf>
    <xf numFmtId="3" fontId="22" fillId="0" borderId="57" xfId="0" applyNumberFormat="1" applyFont="1" applyBorder="1" applyAlignment="1">
      <alignment horizontal="center" vertical="center"/>
    </xf>
    <xf numFmtId="9" fontId="22" fillId="0" borderId="76" xfId="7" applyNumberFormat="1" applyFont="1" applyBorder="1" applyAlignment="1">
      <alignment horizontal="center" vertical="center"/>
    </xf>
    <xf numFmtId="9" fontId="22" fillId="0" borderId="57" xfId="7" applyNumberFormat="1" applyFont="1" applyBorder="1" applyAlignment="1">
      <alignment horizontal="center" vertical="center"/>
    </xf>
    <xf numFmtId="0" fontId="22" fillId="0" borderId="17" xfId="0" applyFont="1" applyBorder="1" applyAlignment="1">
      <alignment horizontal="center" vertical="center"/>
    </xf>
    <xf numFmtId="9" fontId="22" fillId="7" borderId="76" xfId="7" applyFont="1" applyFill="1" applyBorder="1" applyAlignment="1">
      <alignment horizontal="center" vertical="center"/>
    </xf>
    <xf numFmtId="9" fontId="22" fillId="7" borderId="15" xfId="7" applyFont="1" applyFill="1" applyBorder="1" applyAlignment="1">
      <alignment horizontal="center" vertical="center"/>
    </xf>
    <xf numFmtId="9" fontId="22" fillId="7" borderId="57" xfId="7" applyFont="1" applyFill="1" applyBorder="1" applyAlignment="1">
      <alignment horizontal="center" vertical="center"/>
    </xf>
    <xf numFmtId="173" fontId="22" fillId="7" borderId="76" xfId="8" applyFont="1" applyFill="1" applyBorder="1" applyAlignment="1">
      <alignment horizontal="center" vertical="center"/>
    </xf>
    <xf numFmtId="173" fontId="22" fillId="7" borderId="15" xfId="8" applyFont="1" applyFill="1" applyBorder="1" applyAlignment="1">
      <alignment horizontal="center" vertical="center"/>
    </xf>
    <xf numFmtId="173" fontId="22" fillId="7" borderId="57" xfId="8" applyFont="1" applyFill="1" applyBorder="1" applyAlignment="1">
      <alignment horizontal="center" vertical="center"/>
    </xf>
    <xf numFmtId="0" fontId="22" fillId="7" borderId="50" xfId="0" applyFont="1" applyFill="1" applyBorder="1" applyAlignment="1">
      <alignment horizontal="justify" vertical="center" wrapText="1"/>
    </xf>
    <xf numFmtId="0" fontId="22" fillId="7" borderId="58" xfId="0" applyFont="1" applyFill="1" applyBorder="1" applyAlignment="1">
      <alignment horizontal="justify" vertical="center" wrapText="1"/>
    </xf>
    <xf numFmtId="0" fontId="24" fillId="0" borderId="74" xfId="0" applyFont="1" applyBorder="1" applyAlignment="1">
      <alignment horizontal="left" vertical="center" wrapText="1"/>
    </xf>
    <xf numFmtId="0" fontId="24" fillId="0" borderId="97" xfId="0" applyFont="1" applyBorder="1" applyAlignment="1">
      <alignment horizontal="left" vertical="center" wrapText="1"/>
    </xf>
    <xf numFmtId="0" fontId="24" fillId="0" borderId="83" xfId="0" applyFont="1" applyBorder="1" applyAlignment="1">
      <alignment horizontal="left" vertical="center" wrapText="1"/>
    </xf>
    <xf numFmtId="173" fontId="24" fillId="0" borderId="74" xfId="8" applyFont="1" applyFill="1" applyBorder="1" applyAlignment="1">
      <alignment horizontal="center" vertical="center" wrapText="1"/>
    </xf>
    <xf numFmtId="173" fontId="24" fillId="0" borderId="97" xfId="8" applyFont="1" applyFill="1" applyBorder="1" applyAlignment="1">
      <alignment horizontal="center" vertical="center" wrapText="1"/>
    </xf>
    <xf numFmtId="173" fontId="24" fillId="0" borderId="83" xfId="8" applyFont="1" applyFill="1" applyBorder="1" applyAlignment="1">
      <alignment horizontal="center" vertical="center" wrapText="1"/>
    </xf>
    <xf numFmtId="173" fontId="24" fillId="0" borderId="111" xfId="8" applyFont="1" applyFill="1" applyBorder="1" applyAlignment="1">
      <alignment horizontal="center" vertical="center" wrapText="1"/>
    </xf>
    <xf numFmtId="173" fontId="24" fillId="0" borderId="98" xfId="8" applyFont="1" applyFill="1" applyBorder="1" applyAlignment="1">
      <alignment horizontal="center" vertical="center" wrapText="1"/>
    </xf>
    <xf numFmtId="173" fontId="24" fillId="0" borderId="112" xfId="8" applyFont="1" applyFill="1" applyBorder="1" applyAlignment="1">
      <alignment horizontal="center" vertical="center" wrapText="1"/>
    </xf>
    <xf numFmtId="173" fontId="24" fillId="0" borderId="1" xfId="8" applyFont="1" applyFill="1" applyBorder="1" applyAlignment="1">
      <alignment horizontal="center" vertical="center"/>
    </xf>
    <xf numFmtId="0" fontId="22" fillId="0" borderId="110" xfId="0" applyFont="1" applyFill="1" applyBorder="1" applyAlignment="1">
      <alignment horizontal="center" vertical="center"/>
    </xf>
    <xf numFmtId="0" fontId="22" fillId="0" borderId="99" xfId="0" applyFont="1" applyFill="1" applyBorder="1" applyAlignment="1">
      <alignment horizontal="center" vertical="center"/>
    </xf>
    <xf numFmtId="0" fontId="22" fillId="0" borderId="107"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97" xfId="0" applyFont="1" applyFill="1" applyBorder="1" applyAlignment="1">
      <alignment horizontal="center" vertical="center"/>
    </xf>
    <xf numFmtId="0" fontId="22" fillId="0" borderId="83" xfId="0" applyFont="1" applyFill="1" applyBorder="1" applyAlignment="1">
      <alignment horizontal="center" vertical="center"/>
    </xf>
    <xf numFmtId="0" fontId="22" fillId="7" borderId="92" xfId="0" applyFont="1" applyFill="1" applyBorder="1" applyAlignment="1">
      <alignment horizontal="center" vertical="center"/>
    </xf>
    <xf numFmtId="0" fontId="22" fillId="7" borderId="93" xfId="0" applyFont="1" applyFill="1" applyBorder="1" applyAlignment="1">
      <alignment horizontal="center" vertical="center"/>
    </xf>
    <xf numFmtId="14" fontId="22" fillId="7" borderId="76" xfId="0" applyNumberFormat="1" applyFont="1" applyFill="1" applyBorder="1" applyAlignment="1">
      <alignment horizontal="center" vertical="center"/>
    </xf>
    <xf numFmtId="14" fontId="22" fillId="7" borderId="15" xfId="0" applyNumberFormat="1" applyFont="1" applyFill="1" applyBorder="1" applyAlignment="1">
      <alignment horizontal="center" vertical="center"/>
    </xf>
    <xf numFmtId="14" fontId="22" fillId="7" borderId="57" xfId="0" applyNumberFormat="1" applyFont="1" applyFill="1" applyBorder="1" applyAlignment="1">
      <alignment horizontal="center" vertical="center"/>
    </xf>
    <xf numFmtId="0" fontId="58" fillId="0" borderId="57" xfId="0" applyFont="1" applyBorder="1" applyAlignment="1">
      <alignment horizontal="center" vertical="center" wrapText="1"/>
    </xf>
    <xf numFmtId="173" fontId="22" fillId="7" borderId="1" xfId="8" applyFont="1" applyFill="1" applyBorder="1" applyAlignment="1">
      <alignment horizontal="center" vertical="center"/>
    </xf>
    <xf numFmtId="10" fontId="22" fillId="7" borderId="76" xfId="0" applyNumberFormat="1" applyFont="1" applyFill="1" applyBorder="1" applyAlignment="1">
      <alignment horizontal="center" vertical="center"/>
    </xf>
    <xf numFmtId="10" fontId="22" fillId="7" borderId="15" xfId="0" applyNumberFormat="1" applyFont="1" applyFill="1" applyBorder="1" applyAlignment="1">
      <alignment horizontal="center" vertical="center"/>
    </xf>
    <xf numFmtId="10" fontId="22" fillId="7" borderId="57" xfId="0" applyNumberFormat="1" applyFont="1" applyFill="1" applyBorder="1" applyAlignment="1">
      <alignment horizontal="center" vertical="center"/>
    </xf>
    <xf numFmtId="0" fontId="22" fillId="0" borderId="15" xfId="0" applyFont="1" applyFill="1" applyBorder="1" applyAlignment="1">
      <alignment horizontal="justify" vertical="center" wrapText="1"/>
    </xf>
    <xf numFmtId="0" fontId="22" fillId="0" borderId="15" xfId="0" applyFont="1" applyFill="1" applyBorder="1" applyAlignment="1">
      <alignment horizontal="left" vertical="center" wrapText="1"/>
    </xf>
    <xf numFmtId="14" fontId="22" fillId="7" borderId="76" xfId="0" applyNumberFormat="1" applyFont="1" applyFill="1" applyBorder="1" applyAlignment="1">
      <alignment horizontal="center" vertical="center" wrapText="1"/>
    </xf>
    <xf numFmtId="14" fontId="22" fillId="7" borderId="57" xfId="0" applyNumberFormat="1" applyFont="1" applyFill="1" applyBorder="1" applyAlignment="1">
      <alignment horizontal="center" vertical="center" wrapText="1"/>
    </xf>
    <xf numFmtId="173" fontId="22" fillId="7" borderId="76" xfId="8" applyFont="1" applyFill="1" applyBorder="1" applyAlignment="1">
      <alignment horizontal="center" vertical="center" wrapText="1"/>
    </xf>
    <xf numFmtId="173" fontId="22" fillId="7" borderId="57" xfId="8" applyFont="1" applyFill="1" applyBorder="1" applyAlignment="1">
      <alignment horizontal="center" vertical="center" wrapText="1"/>
    </xf>
    <xf numFmtId="10" fontId="22" fillId="7" borderId="76" xfId="0" applyNumberFormat="1" applyFont="1" applyFill="1" applyBorder="1" applyAlignment="1">
      <alignment horizontal="center" vertical="center" wrapText="1"/>
    </xf>
    <xf numFmtId="10" fontId="22" fillId="7" borderId="57" xfId="0" applyNumberFormat="1" applyFont="1" applyFill="1" applyBorder="1" applyAlignment="1">
      <alignment horizontal="center" vertical="center" wrapText="1"/>
    </xf>
    <xf numFmtId="0" fontId="58" fillId="0" borderId="57" xfId="0" applyFont="1" applyBorder="1" applyAlignment="1">
      <alignment horizontal="center" vertical="center"/>
    </xf>
    <xf numFmtId="14" fontId="22" fillId="7" borderId="1" xfId="0" applyNumberFormat="1" applyFont="1" applyFill="1" applyBorder="1" applyAlignment="1">
      <alignment horizontal="center" vertical="center" wrapText="1"/>
    </xf>
    <xf numFmtId="1" fontId="22" fillId="0" borderId="1" xfId="0" applyNumberFormat="1" applyFont="1" applyBorder="1" applyAlignment="1">
      <alignment horizontal="center" vertical="center" wrapText="1"/>
    </xf>
    <xf numFmtId="0" fontId="22" fillId="0" borderId="1" xfId="0" applyFont="1" applyBorder="1" applyAlignment="1">
      <alignment horizontal="justify" vertical="center" wrapText="1"/>
    </xf>
    <xf numFmtId="9" fontId="22" fillId="0" borderId="76" xfId="7" applyFont="1" applyBorder="1" applyAlignment="1">
      <alignment horizontal="center" vertical="center" wrapText="1"/>
    </xf>
    <xf numFmtId="9" fontId="22" fillId="0" borderId="15" xfId="7" applyFont="1" applyBorder="1" applyAlignment="1">
      <alignment horizontal="center" vertical="center" wrapText="1"/>
    </xf>
    <xf numFmtId="9" fontId="22" fillId="0" borderId="57" xfId="7" applyFont="1" applyBorder="1" applyAlignment="1">
      <alignment horizontal="center" vertical="center" wrapText="1"/>
    </xf>
    <xf numFmtId="0" fontId="22" fillId="0" borderId="76" xfId="0" applyFont="1" applyBorder="1" applyAlignment="1">
      <alignment horizontal="left" vertical="center" wrapText="1"/>
    </xf>
    <xf numFmtId="1" fontId="22" fillId="0" borderId="1" xfId="0" applyNumberFormat="1" applyFont="1" applyBorder="1" applyAlignment="1">
      <alignment horizontal="center" vertical="center"/>
    </xf>
    <xf numFmtId="1" fontId="58" fillId="0" borderId="1" xfId="0" applyNumberFormat="1" applyFont="1" applyBorder="1" applyAlignment="1">
      <alignment horizontal="center" vertical="center" wrapText="1"/>
    </xf>
    <xf numFmtId="1" fontId="58" fillId="0" borderId="76" xfId="0" applyNumberFormat="1" applyFont="1" applyBorder="1" applyAlignment="1">
      <alignment horizontal="center" vertical="center" wrapText="1"/>
    </xf>
    <xf numFmtId="1" fontId="58" fillId="0" borderId="15" xfId="0" applyNumberFormat="1" applyFont="1" applyBorder="1" applyAlignment="1">
      <alignment horizontal="center" vertical="center" wrapText="1"/>
    </xf>
    <xf numFmtId="1" fontId="58" fillId="0" borderId="57" xfId="0" applyNumberFormat="1" applyFont="1" applyBorder="1" applyAlignment="1">
      <alignment horizontal="center" vertical="center" wrapText="1"/>
    </xf>
    <xf numFmtId="14" fontId="22" fillId="7" borderId="15" xfId="0" applyNumberFormat="1" applyFont="1" applyFill="1" applyBorder="1" applyAlignment="1">
      <alignment horizontal="center" vertical="center" wrapText="1"/>
    </xf>
    <xf numFmtId="14" fontId="22" fillId="0" borderId="76" xfId="0" applyNumberFormat="1" applyFont="1" applyFill="1" applyBorder="1" applyAlignment="1">
      <alignment horizontal="center" vertical="center" wrapText="1"/>
    </xf>
    <xf numFmtId="14" fontId="22" fillId="0" borderId="15" xfId="0" applyNumberFormat="1" applyFont="1" applyFill="1" applyBorder="1" applyAlignment="1">
      <alignment horizontal="center" vertical="center" wrapText="1"/>
    </xf>
    <xf numFmtId="14" fontId="22" fillId="0" borderId="57" xfId="0" applyNumberFormat="1" applyFont="1" applyFill="1" applyBorder="1" applyAlignment="1">
      <alignment horizontal="center" vertical="center" wrapText="1"/>
    </xf>
    <xf numFmtId="0" fontId="58" fillId="0" borderId="1" xfId="0" applyFont="1" applyBorder="1" applyAlignment="1">
      <alignment horizontal="center" vertical="center" wrapText="1"/>
    </xf>
    <xf numFmtId="173" fontId="58" fillId="0" borderId="76" xfId="8" applyFont="1" applyBorder="1" applyAlignment="1">
      <alignment horizontal="center" vertical="center" wrapText="1"/>
    </xf>
    <xf numFmtId="173" fontId="58" fillId="0" borderId="15" xfId="8" applyFont="1" applyBorder="1" applyAlignment="1">
      <alignment horizontal="center" vertical="center" wrapText="1"/>
    </xf>
    <xf numFmtId="173" fontId="58" fillId="0" borderId="57" xfId="8" applyFont="1" applyBorder="1" applyAlignment="1">
      <alignment horizontal="center" vertical="center" wrapText="1"/>
    </xf>
    <xf numFmtId="10" fontId="58" fillId="0" borderId="76" xfId="0" applyNumberFormat="1" applyFont="1" applyBorder="1" applyAlignment="1">
      <alignment horizontal="center" vertical="center" wrapText="1"/>
    </xf>
    <xf numFmtId="10" fontId="58" fillId="0" borderId="15" xfId="0" applyNumberFormat="1" applyFont="1" applyBorder="1" applyAlignment="1">
      <alignment horizontal="center" vertical="center" wrapText="1"/>
    </xf>
    <xf numFmtId="10" fontId="58" fillId="0" borderId="57" xfId="0" applyNumberFormat="1" applyFont="1" applyBorder="1" applyAlignment="1">
      <alignment horizontal="center" vertical="center" wrapText="1"/>
    </xf>
    <xf numFmtId="0" fontId="22" fillId="7" borderId="76" xfId="0" applyFont="1" applyFill="1" applyBorder="1" applyAlignment="1">
      <alignment horizontal="left" vertical="center" wrapText="1"/>
    </xf>
    <xf numFmtId="0" fontId="22" fillId="7" borderId="57" xfId="0" applyFont="1" applyFill="1" applyBorder="1" applyAlignment="1">
      <alignment horizontal="left" vertical="center" wrapText="1"/>
    </xf>
    <xf numFmtId="173" fontId="22" fillId="0" borderId="76" xfId="8" applyFont="1" applyFill="1" applyBorder="1" applyAlignment="1">
      <alignment horizontal="center" vertical="center"/>
    </xf>
    <xf numFmtId="1"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7" borderId="50" xfId="0" applyFont="1" applyFill="1" applyBorder="1" applyAlignment="1">
      <alignment horizontal="center" vertical="center" wrapText="1"/>
    </xf>
    <xf numFmtId="0" fontId="22" fillId="7" borderId="55" xfId="0" applyFont="1" applyFill="1" applyBorder="1" applyAlignment="1">
      <alignment horizontal="center" vertical="center" wrapText="1"/>
    </xf>
    <xf numFmtId="0" fontId="22" fillId="7" borderId="52" xfId="0" applyFont="1" applyFill="1" applyBorder="1" applyAlignment="1">
      <alignment horizontal="center" vertical="center" wrapText="1"/>
    </xf>
    <xf numFmtId="0" fontId="22" fillId="7" borderId="50" xfId="0" applyFont="1" applyFill="1" applyBorder="1" applyAlignment="1">
      <alignment horizontal="center" wrapText="1"/>
    </xf>
    <xf numFmtId="0" fontId="22" fillId="7" borderId="55" xfId="0" applyFont="1" applyFill="1" applyBorder="1" applyAlignment="1">
      <alignment horizontal="center" wrapText="1"/>
    </xf>
    <xf numFmtId="0" fontId="22" fillId="7" borderId="52" xfId="0" applyFont="1" applyFill="1" applyBorder="1" applyAlignment="1">
      <alignment horizontal="center" wrapText="1"/>
    </xf>
    <xf numFmtId="0" fontId="22" fillId="7" borderId="16" xfId="0" applyFont="1" applyFill="1" applyBorder="1" applyAlignment="1">
      <alignment horizontal="center" wrapText="1"/>
    </xf>
    <xf numFmtId="0" fontId="22" fillId="7" borderId="0" xfId="0" applyFont="1" applyFill="1" applyBorder="1" applyAlignment="1">
      <alignment horizontal="center" wrapText="1"/>
    </xf>
    <xf numFmtId="0" fontId="22" fillId="7" borderId="17" xfId="0" applyFont="1" applyFill="1" applyBorder="1" applyAlignment="1">
      <alignment horizontal="center" wrapText="1"/>
    </xf>
    <xf numFmtId="0" fontId="22" fillId="7" borderId="58" xfId="0" applyFont="1" applyFill="1" applyBorder="1" applyAlignment="1">
      <alignment horizontal="center" wrapText="1"/>
    </xf>
    <xf numFmtId="0" fontId="22" fillId="7" borderId="53" xfId="0" applyFont="1" applyFill="1" applyBorder="1" applyAlignment="1">
      <alignment horizontal="center" wrapText="1"/>
    </xf>
    <xf numFmtId="0" fontId="22" fillId="7" borderId="59" xfId="0" applyFont="1" applyFill="1" applyBorder="1" applyAlignment="1">
      <alignment horizontal="center" wrapText="1"/>
    </xf>
    <xf numFmtId="0" fontId="22" fillId="7" borderId="15" xfId="0" applyFont="1" applyFill="1" applyBorder="1" applyAlignment="1">
      <alignment horizontal="left" vertical="center" wrapText="1"/>
    </xf>
    <xf numFmtId="0" fontId="22" fillId="7" borderId="1" xfId="0" applyFont="1" applyFill="1" applyBorder="1" applyAlignment="1">
      <alignment horizontal="center" vertical="center"/>
    </xf>
    <xf numFmtId="9" fontId="22" fillId="0" borderId="1" xfId="30" applyFont="1" applyBorder="1" applyAlignment="1">
      <alignment horizontal="center" vertical="center"/>
    </xf>
    <xf numFmtId="173" fontId="22" fillId="7" borderId="76" xfId="8" applyNumberFormat="1" applyFont="1" applyFill="1" applyBorder="1" applyAlignment="1">
      <alignment horizontal="center" vertical="center" wrapText="1"/>
    </xf>
    <xf numFmtId="173" fontId="22" fillId="7" borderId="15" xfId="8" applyNumberFormat="1" applyFont="1" applyFill="1" applyBorder="1" applyAlignment="1">
      <alignment horizontal="center" vertical="center" wrapText="1"/>
    </xf>
    <xf numFmtId="173" fontId="22" fillId="7" borderId="57" xfId="8"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7" borderId="59" xfId="0" applyFont="1" applyFill="1" applyBorder="1" applyAlignment="1">
      <alignment horizontal="center" vertical="center" wrapText="1"/>
    </xf>
    <xf numFmtId="10" fontId="22" fillId="7" borderId="1" xfId="7" applyNumberFormat="1" applyFont="1" applyFill="1" applyBorder="1" applyAlignment="1">
      <alignment horizontal="center" vertical="center"/>
    </xf>
    <xf numFmtId="0" fontId="22" fillId="7" borderId="1" xfId="0" applyFont="1" applyFill="1" applyBorder="1" applyAlignment="1">
      <alignment horizontal="left" vertical="center" wrapText="1"/>
    </xf>
    <xf numFmtId="14" fontId="58" fillId="0" borderId="57" xfId="0" applyNumberFormat="1" applyFont="1" applyBorder="1" applyAlignment="1">
      <alignment horizontal="center" vertical="center" wrapText="1"/>
    </xf>
    <xf numFmtId="1" fontId="22" fillId="7" borderId="1" xfId="0" applyNumberFormat="1" applyFont="1" applyFill="1" applyBorder="1" applyAlignment="1">
      <alignment horizontal="center" vertical="center"/>
    </xf>
    <xf numFmtId="1" fontId="58" fillId="0" borderId="57" xfId="0" applyNumberFormat="1" applyFont="1" applyBorder="1" applyAlignment="1">
      <alignment horizontal="center" vertical="center"/>
    </xf>
    <xf numFmtId="1" fontId="22" fillId="7" borderId="76" xfId="0" applyNumberFormat="1" applyFont="1" applyFill="1" applyBorder="1" applyAlignment="1">
      <alignment horizontal="center" vertical="center" wrapText="1"/>
    </xf>
    <xf numFmtId="1" fontId="22" fillId="7" borderId="15" xfId="0" applyNumberFormat="1" applyFont="1" applyFill="1" applyBorder="1" applyAlignment="1">
      <alignment horizontal="center" vertical="center" wrapText="1"/>
    </xf>
    <xf numFmtId="1" fontId="22" fillId="7" borderId="57" xfId="0" applyNumberFormat="1" applyFont="1" applyFill="1" applyBorder="1" applyAlignment="1">
      <alignment horizontal="center" vertical="center" wrapText="1"/>
    </xf>
    <xf numFmtId="173" fontId="58" fillId="0" borderId="57" xfId="8" applyFont="1" applyBorder="1" applyAlignment="1">
      <alignment horizontal="center" vertical="center"/>
    </xf>
    <xf numFmtId="173" fontId="22" fillId="0" borderId="76" xfId="8" applyFont="1" applyFill="1" applyBorder="1" applyAlignment="1">
      <alignment horizontal="center" vertical="center" wrapText="1"/>
    </xf>
    <xf numFmtId="173" fontId="22" fillId="0" borderId="57" xfId="8" applyFont="1" applyFill="1" applyBorder="1" applyAlignment="1">
      <alignment horizontal="center" vertical="center" wrapText="1"/>
    </xf>
    <xf numFmtId="14" fontId="58" fillId="0" borderId="76" xfId="0" applyNumberFormat="1" applyFont="1" applyFill="1" applyBorder="1" applyAlignment="1">
      <alignment horizontal="center" vertical="center"/>
    </xf>
    <xf numFmtId="14" fontId="58" fillId="0" borderId="57" xfId="0" applyNumberFormat="1" applyFont="1" applyFill="1" applyBorder="1" applyAlignment="1">
      <alignment horizontal="center" vertical="center"/>
    </xf>
    <xf numFmtId="10" fontId="58" fillId="0" borderId="57" xfId="0" applyNumberFormat="1" applyFont="1" applyBorder="1" applyAlignment="1">
      <alignment horizontal="center" vertical="center"/>
    </xf>
    <xf numFmtId="0" fontId="56" fillId="0" borderId="0" xfId="0" applyFont="1" applyAlignment="1">
      <alignment horizontal="left" wrapText="1"/>
    </xf>
    <xf numFmtId="0" fontId="22" fillId="7" borderId="53" xfId="0" applyFont="1" applyFill="1" applyBorder="1" applyAlignment="1">
      <alignment horizontal="center"/>
    </xf>
    <xf numFmtId="0" fontId="22" fillId="7" borderId="59" xfId="0" applyFont="1" applyFill="1" applyBorder="1" applyAlignment="1">
      <alignment horizontal="center"/>
    </xf>
    <xf numFmtId="1" fontId="56" fillId="7" borderId="3" xfId="0" applyNumberFormat="1" applyFont="1" applyFill="1" applyBorder="1" applyAlignment="1">
      <alignment horizontal="center" vertical="center"/>
    </xf>
    <xf numFmtId="1" fontId="56" fillId="7" borderId="4" xfId="0" applyNumberFormat="1" applyFont="1" applyFill="1" applyBorder="1" applyAlignment="1">
      <alignment horizontal="center" vertical="center"/>
    </xf>
    <xf numFmtId="1" fontId="56" fillId="7" borderId="5" xfId="0" applyNumberFormat="1" applyFont="1" applyFill="1" applyBorder="1" applyAlignment="1">
      <alignment horizontal="center" vertical="center"/>
    </xf>
    <xf numFmtId="169" fontId="56" fillId="7" borderId="3" xfId="0" applyNumberFormat="1" applyFont="1" applyFill="1" applyBorder="1" applyAlignment="1">
      <alignment horizontal="center" vertical="center"/>
    </xf>
    <xf numFmtId="169" fontId="56" fillId="7" borderId="4" xfId="0" applyNumberFormat="1" applyFont="1" applyFill="1" applyBorder="1" applyAlignment="1">
      <alignment horizontal="center" vertical="center"/>
    </xf>
    <xf numFmtId="169" fontId="56" fillId="7" borderId="5" xfId="0" applyNumberFormat="1" applyFont="1" applyFill="1" applyBorder="1" applyAlignment="1">
      <alignment horizontal="center" vertical="center"/>
    </xf>
    <xf numFmtId="10" fontId="22" fillId="7"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wrapText="1"/>
    </xf>
    <xf numFmtId="0" fontId="3" fillId="0" borderId="0" xfId="0" applyFont="1" applyAlignment="1">
      <alignment horizontal="center" wrapText="1"/>
    </xf>
    <xf numFmtId="14" fontId="3" fillId="0" borderId="8"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2" fillId="0" borderId="18" xfId="0" applyFont="1" applyBorder="1" applyAlignment="1">
      <alignment horizontal="center" vertical="center" wrapText="1"/>
    </xf>
    <xf numFmtId="0" fontId="26" fillId="0" borderId="0" xfId="0" applyFont="1" applyAlignment="1">
      <alignment horizontal="justify" vertical="top" wrapText="1"/>
    </xf>
    <xf numFmtId="10" fontId="3" fillId="0" borderId="8" xfId="0" applyNumberFormat="1" applyFont="1" applyBorder="1" applyAlignment="1">
      <alignment horizontal="center" vertical="center"/>
    </xf>
    <xf numFmtId="0" fontId="3" fillId="0" borderId="8" xfId="0" applyFont="1" applyBorder="1" applyAlignment="1">
      <alignment horizontal="center" vertical="center" wrapText="1"/>
    </xf>
    <xf numFmtId="14" fontId="3" fillId="0" borderId="1" xfId="0" applyNumberFormat="1" applyFont="1" applyBorder="1" applyAlignment="1">
      <alignment horizontal="center" vertical="center"/>
    </xf>
    <xf numFmtId="0" fontId="3" fillId="7" borderId="15" xfId="0" applyFont="1" applyFill="1" applyBorder="1" applyAlignment="1">
      <alignment horizontal="center"/>
    </xf>
    <xf numFmtId="0" fontId="3" fillId="7" borderId="15"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8" xfId="0" applyFont="1" applyBorder="1" applyAlignment="1">
      <alignment horizontal="center" vertical="center"/>
    </xf>
    <xf numFmtId="185" fontId="24" fillId="0" borderId="8" xfId="2" applyNumberFormat="1" applyFont="1" applyFill="1" applyBorder="1" applyAlignment="1" applyProtection="1">
      <alignment horizontal="center" vertical="center" wrapText="1"/>
      <protection locked="0"/>
    </xf>
    <xf numFmtId="185" fontId="24" fillId="0" borderId="15" xfId="2" applyNumberFormat="1" applyFont="1" applyFill="1" applyBorder="1" applyAlignment="1" applyProtection="1">
      <alignment horizontal="center" vertical="center" wrapText="1"/>
      <protection locked="0"/>
    </xf>
    <xf numFmtId="0" fontId="3" fillId="7" borderId="8" xfId="0" applyFont="1" applyFill="1" applyBorder="1" applyAlignment="1">
      <alignment horizontal="center"/>
    </xf>
    <xf numFmtId="0" fontId="3" fillId="7" borderId="30" xfId="0" applyFont="1" applyFill="1" applyBorder="1" applyAlignment="1">
      <alignment horizontal="center" vertical="center"/>
    </xf>
    <xf numFmtId="0" fontId="3" fillId="7" borderId="17" xfId="0" applyFont="1" applyFill="1" applyBorder="1" applyAlignment="1">
      <alignment horizontal="center" vertical="center"/>
    </xf>
    <xf numFmtId="0" fontId="14" fillId="7" borderId="8" xfId="0" applyFont="1" applyFill="1" applyBorder="1" applyAlignment="1">
      <alignment horizontal="center" vertical="center" wrapText="1"/>
    </xf>
    <xf numFmtId="0" fontId="14" fillId="7" borderId="15" xfId="0" applyFont="1" applyFill="1" applyBorder="1" applyAlignment="1">
      <alignment horizontal="center" vertical="center" wrapText="1"/>
    </xf>
    <xf numFmtId="182" fontId="3" fillId="0" borderId="17" xfId="0" applyNumberFormat="1" applyFont="1" applyBorder="1" applyAlignment="1">
      <alignment horizontal="center" vertical="center" wrapText="1"/>
    </xf>
    <xf numFmtId="0" fontId="14" fillId="0" borderId="15" xfId="0" applyFont="1" applyBorder="1" applyAlignment="1">
      <alignment horizontal="justify" vertical="center" wrapText="1"/>
    </xf>
    <xf numFmtId="188" fontId="3" fillId="0" borderId="8" xfId="3" applyNumberFormat="1" applyFont="1" applyBorder="1" applyAlignment="1">
      <alignment horizontal="justify" vertical="center"/>
    </xf>
    <xf numFmtId="188" fontId="3" fillId="0" borderId="15" xfId="3" applyNumberFormat="1" applyFont="1" applyBorder="1" applyAlignment="1">
      <alignment horizontal="justify" vertical="center"/>
    </xf>
    <xf numFmtId="169" fontId="3" fillId="0" borderId="8" xfId="0" applyNumberFormat="1" applyFont="1" applyBorder="1" applyAlignment="1">
      <alignment horizontal="justify" vertical="center"/>
    </xf>
    <xf numFmtId="169" fontId="3" fillId="0" borderId="15" xfId="0" applyNumberFormat="1" applyFont="1" applyBorder="1" applyAlignment="1">
      <alignment horizontal="justify"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4" fillId="0" borderId="8" xfId="0" applyFont="1" applyBorder="1" applyAlignment="1">
      <alignment horizontal="justify" vertical="center" wrapText="1"/>
    </xf>
    <xf numFmtId="1" fontId="14" fillId="0" borderId="29" xfId="0" applyNumberFormat="1" applyFont="1" applyBorder="1" applyAlignment="1">
      <alignment horizontal="justify" vertical="center" wrapText="1"/>
    </xf>
    <xf numFmtId="1" fontId="14" fillId="0" borderId="16" xfId="0" applyNumberFormat="1" applyFont="1" applyBorder="1" applyAlignment="1">
      <alignment horizontal="justify" vertical="center" wrapText="1"/>
    </xf>
    <xf numFmtId="2" fontId="14" fillId="0" borderId="8" xfId="0" applyNumberFormat="1" applyFont="1" applyBorder="1" applyAlignment="1">
      <alignment horizontal="justify" vertical="center" wrapText="1"/>
    </xf>
    <xf numFmtId="2" fontId="14" fillId="0" borderId="15" xfId="0" applyNumberFormat="1" applyFont="1" applyBorder="1" applyAlignment="1">
      <alignment horizontal="justify" vertical="center" wrapText="1"/>
    </xf>
    <xf numFmtId="14" fontId="3" fillId="0" borderId="18" xfId="0" applyNumberFormat="1" applyFont="1" applyBorder="1" applyAlignment="1">
      <alignment horizontal="center" vertical="center"/>
    </xf>
    <xf numFmtId="3" fontId="3" fillId="7" borderId="8" xfId="0" applyNumberFormat="1" applyFont="1" applyFill="1" applyBorder="1" applyAlignment="1">
      <alignment horizontal="center" vertical="center"/>
    </xf>
    <xf numFmtId="3" fontId="3" fillId="7" borderId="15" xfId="0" applyNumberFormat="1" applyFont="1" applyFill="1" applyBorder="1" applyAlignment="1">
      <alignment horizontal="center" vertical="center"/>
    </xf>
    <xf numFmtId="3" fontId="3" fillId="7" borderId="18" xfId="0" applyNumberFormat="1" applyFont="1" applyFill="1" applyBorder="1" applyAlignment="1">
      <alignment horizontal="center" vertical="center"/>
    </xf>
    <xf numFmtId="0" fontId="3" fillId="7" borderId="18"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18" xfId="0" applyFont="1" applyFill="1" applyBorder="1" applyAlignment="1">
      <alignment horizontal="center" vertical="center"/>
    </xf>
    <xf numFmtId="3" fontId="15" fillId="7" borderId="8" xfId="0" applyNumberFormat="1" applyFont="1" applyFill="1" applyBorder="1" applyAlignment="1">
      <alignment horizontal="center" vertical="center"/>
    </xf>
    <xf numFmtId="3" fontId="15" fillId="7" borderId="18" xfId="0" applyNumberFormat="1" applyFont="1" applyFill="1" applyBorder="1" applyAlignment="1">
      <alignment horizontal="center" vertical="center"/>
    </xf>
    <xf numFmtId="185" fontId="24" fillId="0" borderId="18" xfId="2" applyNumberFormat="1"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5" xfId="0" applyNumberFormat="1" applyFont="1" applyBorder="1" applyAlignment="1">
      <alignment horizontal="center" vertical="center"/>
    </xf>
    <xf numFmtId="9" fontId="3" fillId="0" borderId="18" xfId="0" applyNumberFormat="1" applyFont="1" applyBorder="1" applyAlignment="1">
      <alignment horizontal="center" vertical="center"/>
    </xf>
    <xf numFmtId="186" fontId="15" fillId="7" borderId="8" xfId="19" applyNumberFormat="1" applyFont="1" applyFill="1" applyBorder="1" applyAlignment="1">
      <alignment vertical="center"/>
    </xf>
    <xf numFmtId="186" fontId="15" fillId="7" borderId="15" xfId="19" applyNumberFormat="1" applyFont="1" applyFill="1" applyBorder="1" applyAlignment="1">
      <alignment vertical="center"/>
    </xf>
    <xf numFmtId="186" fontId="15" fillId="7" borderId="18" xfId="19" applyNumberFormat="1" applyFont="1" applyFill="1" applyBorder="1" applyAlignment="1">
      <alignment vertical="center"/>
    </xf>
    <xf numFmtId="0" fontId="14" fillId="7" borderId="8" xfId="0" applyFont="1" applyFill="1" applyBorder="1" applyAlignment="1">
      <alignment horizontal="justify" vertical="center" wrapText="1"/>
    </xf>
    <xf numFmtId="0" fontId="14" fillId="7" borderId="15" xfId="0" applyFont="1" applyFill="1" applyBorder="1" applyAlignment="1">
      <alignment horizontal="justify" vertical="center" wrapText="1"/>
    </xf>
    <xf numFmtId="0" fontId="14" fillId="7" borderId="18" xfId="0" applyFont="1" applyFill="1" applyBorder="1" applyAlignment="1">
      <alignment horizontal="justify" vertical="center" wrapText="1"/>
    </xf>
    <xf numFmtId="9" fontId="3" fillId="7" borderId="8" xfId="3" applyFont="1" applyFill="1" applyBorder="1" applyAlignment="1">
      <alignment horizontal="justify" vertical="center"/>
    </xf>
    <xf numFmtId="9" fontId="3" fillId="7" borderId="15" xfId="3" applyFont="1" applyFill="1" applyBorder="1" applyAlignment="1">
      <alignment horizontal="justify" vertical="center"/>
    </xf>
    <xf numFmtId="9" fontId="3" fillId="7" borderId="18" xfId="3" applyFont="1" applyFill="1" applyBorder="1" applyAlignment="1">
      <alignment horizontal="justify" vertical="center"/>
    </xf>
    <xf numFmtId="169" fontId="3" fillId="7" borderId="1" xfId="0" applyNumberFormat="1" applyFont="1" applyFill="1" applyBorder="1" applyAlignment="1">
      <alignment horizontal="justify" vertical="center"/>
    </xf>
    <xf numFmtId="186" fontId="15" fillId="7" borderId="8" xfId="19" applyNumberFormat="1" applyFont="1" applyFill="1" applyBorder="1" applyAlignment="1">
      <alignment horizontal="center" vertical="center"/>
    </xf>
    <xf numFmtId="186" fontId="15" fillId="7" borderId="15" xfId="19" applyNumberFormat="1" applyFont="1" applyFill="1" applyBorder="1" applyAlignment="1">
      <alignment horizontal="center" vertical="center"/>
    </xf>
    <xf numFmtId="186" fontId="15" fillId="7" borderId="18" xfId="19" applyNumberFormat="1" applyFont="1" applyFill="1" applyBorder="1" applyAlignment="1">
      <alignment horizontal="center" vertical="center"/>
    </xf>
    <xf numFmtId="0" fontId="14" fillId="0" borderId="30" xfId="0" applyFont="1" applyBorder="1" applyAlignment="1">
      <alignment horizontal="justify" vertical="center" wrapText="1"/>
    </xf>
    <xf numFmtId="0" fontId="14" fillId="0" borderId="17"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15" xfId="0" applyFont="1" applyBorder="1" applyAlignment="1">
      <alignment horizontal="justify" vertical="center" wrapText="1"/>
    </xf>
    <xf numFmtId="0" fontId="15" fillId="0" borderId="18" xfId="0" applyFont="1" applyBorder="1" applyAlignment="1">
      <alignment horizontal="justify" vertical="center" wrapText="1"/>
    </xf>
    <xf numFmtId="0" fontId="14" fillId="0" borderId="18" xfId="0" applyFont="1" applyBorder="1" applyAlignment="1">
      <alignment horizontal="justify" vertical="center" wrapText="1"/>
    </xf>
    <xf numFmtId="1" fontId="3" fillId="7" borderId="1" xfId="0" applyNumberFormat="1" applyFont="1" applyFill="1" applyBorder="1" applyAlignment="1">
      <alignment horizontal="justify" vertical="center" wrapText="1"/>
    </xf>
    <xf numFmtId="2" fontId="3" fillId="7" borderId="8" xfId="0" applyNumberFormat="1" applyFont="1" applyFill="1" applyBorder="1" applyAlignment="1">
      <alignment horizontal="justify" vertical="center" wrapText="1"/>
    </xf>
    <xf numFmtId="2" fontId="3" fillId="7" borderId="15" xfId="0" applyNumberFormat="1" applyFont="1" applyFill="1" applyBorder="1" applyAlignment="1">
      <alignment horizontal="justify" vertical="center" wrapText="1"/>
    </xf>
    <xf numFmtId="2" fontId="3" fillId="7" borderId="18" xfId="0" applyNumberFormat="1" applyFont="1" applyFill="1" applyBorder="1" applyAlignment="1">
      <alignment horizontal="justify" vertical="center" wrapText="1"/>
    </xf>
    <xf numFmtId="182" fontId="3" fillId="7" borderId="15" xfId="0" applyNumberFormat="1" applyFont="1" applyFill="1" applyBorder="1" applyAlignment="1">
      <alignment horizontal="center" vertical="center" wrapText="1"/>
    </xf>
    <xf numFmtId="182" fontId="3" fillId="7" borderId="18" xfId="0" applyNumberFormat="1" applyFont="1" applyFill="1" applyBorder="1" applyAlignment="1">
      <alignment horizontal="center" vertical="center" wrapText="1"/>
    </xf>
    <xf numFmtId="185" fontId="24" fillId="0" borderId="8" xfId="2" applyNumberFormat="1" applyFont="1" applyFill="1" applyBorder="1" applyAlignment="1" applyProtection="1">
      <alignment horizontal="center" vertical="center" wrapText="1" readingOrder="1"/>
      <protection locked="0"/>
    </xf>
    <xf numFmtId="185" fontId="24" fillId="0" borderId="15" xfId="2" applyNumberFormat="1" applyFont="1" applyFill="1" applyBorder="1" applyAlignment="1" applyProtection="1">
      <alignment horizontal="center" vertical="center" wrapText="1" readingOrder="1"/>
      <protection locked="0"/>
    </xf>
    <xf numFmtId="185" fontId="24" fillId="0" borderId="18" xfId="2" applyNumberFormat="1" applyFont="1" applyFill="1" applyBorder="1" applyAlignment="1" applyProtection="1">
      <alignment horizontal="center" vertical="center" wrapText="1" readingOrder="1"/>
      <protection locked="0"/>
    </xf>
    <xf numFmtId="10" fontId="3" fillId="0" borderId="18" xfId="0" applyNumberFormat="1" applyFont="1" applyBorder="1" applyAlignment="1">
      <alignment horizontal="center" vertical="center"/>
    </xf>
    <xf numFmtId="186" fontId="3" fillId="0" borderId="8" xfId="0" applyNumberFormat="1" applyFont="1" applyBorder="1" applyAlignment="1">
      <alignment horizontal="center" vertical="center"/>
    </xf>
    <xf numFmtId="186" fontId="3" fillId="0" borderId="15" xfId="0" applyNumberFormat="1" applyFont="1" applyBorder="1" applyAlignment="1">
      <alignment horizontal="center" vertical="center"/>
    </xf>
    <xf numFmtId="186" fontId="3" fillId="0" borderId="18" xfId="0" applyNumberFormat="1" applyFont="1" applyBorder="1" applyAlignment="1">
      <alignment horizontal="center" vertical="center"/>
    </xf>
    <xf numFmtId="186" fontId="3" fillId="0" borderId="8" xfId="0" applyNumberFormat="1" applyFont="1" applyBorder="1" applyAlignment="1">
      <alignment horizontal="center" vertical="center" wrapText="1"/>
    </xf>
    <xf numFmtId="186" fontId="3" fillId="0" borderId="15" xfId="0" applyNumberFormat="1" applyFont="1" applyBorder="1" applyAlignment="1">
      <alignment horizontal="center" vertical="center" wrapText="1"/>
    </xf>
    <xf numFmtId="186" fontId="3" fillId="0" borderId="18" xfId="0" applyNumberFormat="1" applyFont="1" applyBorder="1" applyAlignment="1">
      <alignment horizontal="center" vertical="center" wrapText="1"/>
    </xf>
    <xf numFmtId="186" fontId="3" fillId="7" borderId="8" xfId="0" applyNumberFormat="1" applyFont="1" applyFill="1" applyBorder="1" applyAlignment="1">
      <alignment horizontal="center" vertical="center"/>
    </xf>
    <xf numFmtId="186" fontId="3" fillId="7" borderId="15" xfId="0" applyNumberFormat="1" applyFont="1" applyFill="1" applyBorder="1" applyAlignment="1">
      <alignment horizontal="center" vertical="center"/>
    </xf>
    <xf numFmtId="186" fontId="3" fillId="7" borderId="18" xfId="0" applyNumberFormat="1" applyFont="1" applyFill="1" applyBorder="1" applyAlignment="1">
      <alignment horizontal="center" vertical="center"/>
    </xf>
    <xf numFmtId="186" fontId="15" fillId="7" borderId="8" xfId="0" applyNumberFormat="1" applyFont="1" applyFill="1" applyBorder="1" applyAlignment="1">
      <alignment horizontal="center" vertical="center"/>
    </xf>
    <xf numFmtId="186" fontId="15" fillId="7" borderId="15" xfId="0" applyNumberFormat="1" applyFont="1" applyFill="1" applyBorder="1" applyAlignment="1">
      <alignment horizontal="center" vertical="center"/>
    </xf>
    <xf numFmtId="186" fontId="15" fillId="7" borderId="18" xfId="0" applyNumberFormat="1" applyFont="1" applyFill="1" applyBorder="1" applyAlignment="1">
      <alignment horizontal="center" vertical="center"/>
    </xf>
    <xf numFmtId="186" fontId="15" fillId="7" borderId="1" xfId="19" applyNumberFormat="1" applyFont="1" applyFill="1" applyBorder="1" applyAlignment="1">
      <alignment horizontal="center" vertical="center"/>
    </xf>
    <xf numFmtId="1" fontId="3" fillId="7" borderId="1" xfId="13" applyNumberFormat="1" applyFont="1" applyFill="1" applyBorder="1" applyAlignment="1">
      <alignment horizontal="justify" vertical="center" wrapText="1"/>
    </xf>
    <xf numFmtId="2" fontId="3" fillId="7" borderId="8" xfId="13" applyNumberFormat="1" applyFont="1" applyFill="1" applyBorder="1" applyAlignment="1">
      <alignment horizontal="justify" vertical="center" wrapText="1"/>
    </xf>
    <xf numFmtId="2" fontId="3" fillId="7" borderId="15" xfId="13" applyNumberFormat="1" applyFont="1" applyFill="1" applyBorder="1" applyAlignment="1">
      <alignment horizontal="justify" vertical="center" wrapText="1"/>
    </xf>
    <xf numFmtId="2" fontId="3" fillId="7" borderId="18" xfId="13" applyNumberFormat="1" applyFont="1" applyFill="1" applyBorder="1" applyAlignment="1">
      <alignment horizontal="justify" vertical="center" wrapText="1"/>
    </xf>
    <xf numFmtId="181" fontId="3" fillId="7" borderId="8" xfId="0" applyNumberFormat="1" applyFont="1" applyFill="1" applyBorder="1" applyAlignment="1">
      <alignment horizontal="center" vertical="center" wrapText="1"/>
    </xf>
    <xf numFmtId="181" fontId="3" fillId="7" borderId="15" xfId="0" applyNumberFormat="1" applyFont="1" applyFill="1" applyBorder="1" applyAlignment="1">
      <alignment horizontal="center" vertical="center" wrapText="1"/>
    </xf>
    <xf numFmtId="181" fontId="3" fillId="7" borderId="18" xfId="0" applyNumberFormat="1" applyFont="1" applyFill="1" applyBorder="1" applyAlignment="1">
      <alignment horizontal="center" vertical="center" wrapText="1"/>
    </xf>
    <xf numFmtId="182" fontId="3" fillId="7" borderId="8" xfId="0" applyNumberFormat="1" applyFont="1" applyFill="1" applyBorder="1" applyAlignment="1">
      <alignment horizontal="center" vertical="center" wrapText="1"/>
    </xf>
    <xf numFmtId="9" fontId="3" fillId="7" borderId="1" xfId="3" applyFont="1" applyFill="1" applyBorder="1" applyAlignment="1">
      <alignment horizontal="justify" vertical="center"/>
    </xf>
    <xf numFmtId="0" fontId="3" fillId="0" borderId="18" xfId="0" applyFont="1" applyBorder="1" applyAlignment="1">
      <alignment horizontal="center" vertical="center" wrapText="1"/>
    </xf>
    <xf numFmtId="14" fontId="3" fillId="0" borderId="8"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0" fontId="3" fillId="0" borderId="18" xfId="0" applyFont="1" applyBorder="1" applyAlignment="1">
      <alignment horizontal="center" vertical="center"/>
    </xf>
    <xf numFmtId="173" fontId="3" fillId="0" borderId="8" xfId="8" applyFont="1" applyFill="1" applyBorder="1" applyAlignment="1">
      <alignment horizontal="center" vertical="center"/>
    </xf>
    <xf numFmtId="173" fontId="3" fillId="0" borderId="15" xfId="8" applyFont="1" applyFill="1" applyBorder="1" applyAlignment="1">
      <alignment horizontal="center" vertical="center"/>
    </xf>
    <xf numFmtId="173" fontId="3" fillId="0" borderId="18" xfId="8" applyFont="1" applyFill="1" applyBorder="1" applyAlignment="1">
      <alignment horizontal="center" vertical="center"/>
    </xf>
    <xf numFmtId="0" fontId="3" fillId="7" borderId="18" xfId="0" applyFont="1" applyFill="1" applyBorder="1" applyAlignment="1">
      <alignment horizontal="center"/>
    </xf>
    <xf numFmtId="0" fontId="3" fillId="7" borderId="1" xfId="0" applyFont="1" applyFill="1" applyBorder="1" applyAlignment="1">
      <alignment horizontal="center" vertical="center"/>
    </xf>
    <xf numFmtId="0" fontId="15" fillId="7" borderId="8" xfId="0" applyFont="1" applyFill="1" applyBorder="1" applyAlignment="1">
      <alignment horizontal="justify" vertical="center" wrapText="1"/>
    </xf>
    <xf numFmtId="0" fontId="15" fillId="7" borderId="18" xfId="0" applyFont="1" applyFill="1" applyBorder="1" applyAlignment="1">
      <alignment horizontal="justify" vertical="center" wrapText="1"/>
    </xf>
    <xf numFmtId="0" fontId="15" fillId="0" borderId="8" xfId="9" applyFont="1" applyBorder="1" applyAlignment="1">
      <alignment horizontal="justify" vertical="center" wrapText="1"/>
    </xf>
    <xf numFmtId="0" fontId="15" fillId="0" borderId="15" xfId="9" applyFont="1" applyBorder="1" applyAlignment="1">
      <alignment horizontal="justify" vertical="center" wrapText="1"/>
    </xf>
    <xf numFmtId="0" fontId="15" fillId="0" borderId="18" xfId="9" applyFont="1" applyBorder="1" applyAlignment="1">
      <alignment horizontal="justify" vertical="center" wrapText="1"/>
    </xf>
    <xf numFmtId="14" fontId="3" fillId="7" borderId="8" xfId="0" applyNumberFormat="1" applyFont="1" applyFill="1" applyBorder="1" applyAlignment="1">
      <alignment horizontal="center" vertical="center"/>
    </xf>
    <xf numFmtId="14" fontId="3" fillId="7" borderId="15" xfId="0" applyNumberFormat="1" applyFont="1" applyFill="1" applyBorder="1" applyAlignment="1">
      <alignment horizontal="center" vertical="center"/>
    </xf>
    <xf numFmtId="14" fontId="3" fillId="7" borderId="18" xfId="0" applyNumberFormat="1" applyFont="1" applyFill="1" applyBorder="1" applyAlignment="1">
      <alignment horizontal="center" vertical="center"/>
    </xf>
    <xf numFmtId="10" fontId="3" fillId="7" borderId="8" xfId="3" applyNumberFormat="1" applyFont="1" applyFill="1" applyBorder="1" applyAlignment="1">
      <alignment horizontal="center" vertical="center"/>
    </xf>
    <xf numFmtId="10" fontId="3" fillId="7" borderId="18" xfId="3" applyNumberFormat="1" applyFont="1" applyFill="1" applyBorder="1" applyAlignment="1">
      <alignment horizontal="center" vertical="center"/>
    </xf>
    <xf numFmtId="186" fontId="3" fillId="7" borderId="8" xfId="8" applyNumberFormat="1" applyFont="1" applyFill="1" applyBorder="1" applyAlignment="1">
      <alignment horizontal="center" vertical="center"/>
    </xf>
    <xf numFmtId="186" fontId="3" fillId="7" borderId="18" xfId="8" applyNumberFormat="1" applyFont="1" applyFill="1" applyBorder="1" applyAlignment="1">
      <alignment horizontal="center" vertical="center"/>
    </xf>
    <xf numFmtId="0" fontId="3" fillId="7" borderId="29" xfId="0" applyFont="1" applyFill="1" applyBorder="1" applyAlignment="1">
      <alignment horizontal="center" vertical="center"/>
    </xf>
    <xf numFmtId="0" fontId="3" fillId="7" borderId="13" xfId="0" applyFont="1" applyFill="1" applyBorder="1" applyAlignment="1">
      <alignment horizontal="center" vertical="center"/>
    </xf>
    <xf numFmtId="0" fontId="15" fillId="7" borderId="1" xfId="9" applyFont="1" applyFill="1" applyBorder="1" applyAlignment="1">
      <alignment horizontal="justify" vertical="center" wrapText="1"/>
    </xf>
    <xf numFmtId="1" fontId="15" fillId="7" borderId="1" xfId="0" applyNumberFormat="1" applyFont="1" applyFill="1" applyBorder="1" applyAlignment="1">
      <alignment horizontal="justify" vertical="center" wrapText="1"/>
    </xf>
    <xf numFmtId="2" fontId="15" fillId="7" borderId="8" xfId="0" applyNumberFormat="1" applyFont="1" applyFill="1" applyBorder="1" applyAlignment="1">
      <alignment horizontal="justify" vertical="center" wrapText="1"/>
    </xf>
    <xf numFmtId="2" fontId="15" fillId="7" borderId="18" xfId="0" applyNumberFormat="1" applyFont="1" applyFill="1" applyBorder="1" applyAlignment="1">
      <alignment horizontal="justify" vertical="center" wrapText="1"/>
    </xf>
    <xf numFmtId="10" fontId="3" fillId="7" borderId="15" xfId="3" applyNumberFormat="1" applyFont="1" applyFill="1" applyBorder="1" applyAlignment="1">
      <alignment horizontal="center" vertical="center"/>
    </xf>
    <xf numFmtId="186" fontId="3" fillId="7" borderId="8" xfId="0" applyNumberFormat="1" applyFont="1" applyFill="1" applyBorder="1" applyAlignment="1">
      <alignment horizontal="center" vertical="center" wrapText="1"/>
    </xf>
    <xf numFmtId="186" fontId="3" fillId="7" borderId="15" xfId="0" applyNumberFormat="1" applyFont="1" applyFill="1" applyBorder="1" applyAlignment="1">
      <alignment horizontal="center" vertical="center" wrapText="1"/>
    </xf>
    <xf numFmtId="186" fontId="3" fillId="7" borderId="18" xfId="0" applyNumberFormat="1" applyFont="1" applyFill="1" applyBorder="1" applyAlignment="1">
      <alignment horizontal="center" vertical="center" wrapText="1"/>
    </xf>
    <xf numFmtId="3" fontId="2" fillId="7" borderId="8" xfId="0" applyNumberFormat="1" applyFont="1" applyFill="1" applyBorder="1" applyAlignment="1">
      <alignment horizontal="center" vertical="center"/>
    </xf>
    <xf numFmtId="3" fontId="2" fillId="7" borderId="15" xfId="0" applyNumberFormat="1" applyFont="1" applyFill="1" applyBorder="1" applyAlignment="1">
      <alignment horizontal="center" vertical="center"/>
    </xf>
    <xf numFmtId="3" fontId="2" fillId="7" borderId="18" xfId="0" applyNumberFormat="1" applyFont="1" applyFill="1" applyBorder="1" applyAlignment="1">
      <alignment horizontal="center" vertical="center"/>
    </xf>
    <xf numFmtId="186" fontId="2" fillId="7" borderId="8" xfId="19" applyNumberFormat="1" applyFont="1" applyFill="1" applyBorder="1" applyAlignment="1">
      <alignment horizontal="center" vertical="center"/>
    </xf>
    <xf numFmtId="186" fontId="2" fillId="7" borderId="15" xfId="19" applyNumberFormat="1" applyFont="1" applyFill="1" applyBorder="1" applyAlignment="1">
      <alignment horizontal="center" vertical="center"/>
    </xf>
    <xf numFmtId="186" fontId="2" fillId="7" borderId="18" xfId="19" applyNumberFormat="1" applyFont="1" applyFill="1" applyBorder="1" applyAlignment="1">
      <alignment horizontal="center" vertical="center"/>
    </xf>
    <xf numFmtId="186" fontId="3" fillId="7" borderId="8" xfId="19" applyNumberFormat="1" applyFont="1" applyFill="1" applyBorder="1" applyAlignment="1">
      <alignment horizontal="center" vertical="center"/>
    </xf>
    <xf numFmtId="186" fontId="3" fillId="7" borderId="15" xfId="19" applyNumberFormat="1" applyFont="1" applyFill="1" applyBorder="1" applyAlignment="1">
      <alignment horizontal="center" vertical="center"/>
    </xf>
    <xf numFmtId="186" fontId="3" fillId="7" borderId="18" xfId="19" applyNumberFormat="1" applyFont="1" applyFill="1" applyBorder="1" applyAlignment="1">
      <alignment horizontal="center" vertical="center"/>
    </xf>
    <xf numFmtId="169" fontId="3" fillId="7" borderId="18" xfId="0" applyNumberFormat="1" applyFont="1" applyFill="1" applyBorder="1" applyAlignment="1">
      <alignment horizontal="justify" vertical="center"/>
    </xf>
    <xf numFmtId="0" fontId="14" fillId="7" borderId="1" xfId="0" applyFont="1" applyFill="1" applyBorder="1" applyAlignment="1">
      <alignment horizontal="justify" vertical="center" wrapText="1"/>
    </xf>
    <xf numFmtId="0" fontId="3" fillId="7" borderId="8" xfId="0" applyFont="1" applyFill="1" applyBorder="1" applyAlignment="1">
      <alignment horizontal="justify" vertical="center" wrapText="1"/>
    </xf>
    <xf numFmtId="0" fontId="3" fillId="7" borderId="18" xfId="0" applyFont="1" applyFill="1" applyBorder="1" applyAlignment="1">
      <alignment horizontal="justify" vertical="center" wrapText="1"/>
    </xf>
    <xf numFmtId="1" fontId="15" fillId="7" borderId="18" xfId="0" applyNumberFormat="1" applyFont="1" applyFill="1" applyBorder="1" applyAlignment="1">
      <alignment horizontal="justify" vertical="center" wrapText="1"/>
    </xf>
    <xf numFmtId="2" fontId="15" fillId="7" borderId="15" xfId="0" applyNumberFormat="1" applyFont="1" applyFill="1" applyBorder="1" applyAlignment="1">
      <alignment horizontal="justify" vertical="center" wrapText="1"/>
    </xf>
    <xf numFmtId="0" fontId="3" fillId="7" borderId="8" xfId="0" quotePrefix="1" applyFont="1" applyFill="1" applyBorder="1" applyAlignment="1">
      <alignment horizontal="center" vertical="center"/>
    </xf>
    <xf numFmtId="186" fontId="3" fillId="7" borderId="15" xfId="19" applyNumberFormat="1" applyFont="1" applyFill="1" applyBorder="1" applyAlignment="1">
      <alignment vertical="center"/>
    </xf>
    <xf numFmtId="1" fontId="3" fillId="7" borderId="1" xfId="22" applyNumberFormat="1" applyFont="1" applyFill="1" applyBorder="1" applyAlignment="1">
      <alignment horizontal="justify" vertical="center" wrapText="1"/>
    </xf>
    <xf numFmtId="2" fontId="3" fillId="7" borderId="8" xfId="22" applyNumberFormat="1" applyFont="1" applyFill="1" applyBorder="1" applyAlignment="1">
      <alignment horizontal="justify" vertical="center" wrapText="1"/>
    </xf>
    <xf numFmtId="2" fontId="3" fillId="7" borderId="15" xfId="22" applyNumberFormat="1" applyFont="1" applyFill="1" applyBorder="1" applyAlignment="1">
      <alignment horizontal="justify" vertical="center" wrapText="1"/>
    </xf>
    <xf numFmtId="10" fontId="3" fillId="7" borderId="8" xfId="0" applyNumberFormat="1" applyFont="1" applyFill="1" applyBorder="1" applyAlignment="1">
      <alignment horizontal="center" vertical="center"/>
    </xf>
    <xf numFmtId="10" fontId="3" fillId="7" borderId="15" xfId="0" applyNumberFormat="1" applyFont="1" applyFill="1" applyBorder="1" applyAlignment="1">
      <alignment horizontal="center" vertical="center"/>
    </xf>
    <xf numFmtId="10" fontId="3" fillId="7" borderId="18" xfId="0" applyNumberFormat="1" applyFont="1" applyFill="1" applyBorder="1" applyAlignment="1">
      <alignment horizontal="center" vertical="center"/>
    </xf>
    <xf numFmtId="0" fontId="3" fillId="7" borderId="30" xfId="0" applyFont="1" applyFill="1" applyBorder="1" applyAlignment="1">
      <alignment horizontal="center"/>
    </xf>
    <xf numFmtId="0" fontId="3" fillId="7" borderId="17" xfId="0" applyFont="1" applyFill="1" applyBorder="1" applyAlignment="1">
      <alignment horizontal="center"/>
    </xf>
    <xf numFmtId="169" fontId="15" fillId="7" borderId="18" xfId="0" applyNumberFormat="1" applyFont="1" applyFill="1" applyBorder="1" applyAlignment="1">
      <alignment horizontal="justify" vertical="center"/>
    </xf>
    <xf numFmtId="169" fontId="15" fillId="7" borderId="1" xfId="0" applyNumberFormat="1" applyFont="1" applyFill="1" applyBorder="1" applyAlignment="1">
      <alignment horizontal="justify" vertical="center"/>
    </xf>
    <xf numFmtId="14" fontId="3" fillId="0" borderId="29" xfId="0" applyNumberFormat="1" applyFont="1" applyBorder="1" applyAlignment="1">
      <alignment horizontal="center" vertical="center"/>
    </xf>
    <xf numFmtId="14" fontId="3" fillId="0" borderId="16" xfId="0" applyNumberFormat="1" applyFont="1" applyBorder="1" applyAlignment="1">
      <alignment horizontal="center" vertical="center"/>
    </xf>
    <xf numFmtId="182" fontId="3" fillId="7" borderId="8" xfId="12" applyNumberFormat="1" applyFont="1" applyFill="1" applyBorder="1" applyAlignment="1">
      <alignment horizontal="center" vertical="center"/>
    </xf>
    <xf numFmtId="182" fontId="3" fillId="7" borderId="15" xfId="12" applyNumberFormat="1" applyFont="1" applyFill="1" applyBorder="1" applyAlignment="1">
      <alignment horizontal="center" vertical="center"/>
    </xf>
    <xf numFmtId="182" fontId="3" fillId="7" borderId="18" xfId="12" applyNumberFormat="1" applyFont="1" applyFill="1" applyBorder="1" applyAlignment="1">
      <alignment horizontal="center" vertical="center"/>
    </xf>
    <xf numFmtId="182" fontId="3" fillId="7" borderId="1" xfId="12" applyNumberFormat="1" applyFont="1" applyFill="1" applyBorder="1" applyAlignment="1">
      <alignment horizontal="center" vertical="center"/>
    </xf>
    <xf numFmtId="182" fontId="3" fillId="7" borderId="1" xfId="0" applyNumberFormat="1" applyFont="1" applyFill="1" applyBorder="1" applyAlignment="1">
      <alignment horizontal="center" vertical="center"/>
    </xf>
    <xf numFmtId="182" fontId="3" fillId="7" borderId="8" xfId="0" applyNumberFormat="1" applyFont="1" applyFill="1" applyBorder="1" applyAlignment="1">
      <alignment horizontal="center" vertical="center"/>
    </xf>
    <xf numFmtId="182" fontId="3" fillId="7" borderId="15" xfId="0" applyNumberFormat="1" applyFont="1" applyFill="1" applyBorder="1" applyAlignment="1">
      <alignment horizontal="center" vertical="center"/>
    </xf>
    <xf numFmtId="182" fontId="3" fillId="7" borderId="18" xfId="0" applyNumberFormat="1" applyFont="1" applyFill="1" applyBorder="1" applyAlignment="1">
      <alignment horizontal="center" vertical="center"/>
    </xf>
    <xf numFmtId="169" fontId="3" fillId="7" borderId="8" xfId="0" applyNumberFormat="1" applyFont="1" applyFill="1" applyBorder="1" applyAlignment="1">
      <alignment horizontal="justify" vertical="center"/>
    </xf>
    <xf numFmtId="169" fontId="3" fillId="7" borderId="15" xfId="0" applyNumberFormat="1" applyFont="1" applyFill="1" applyBorder="1" applyAlignment="1">
      <alignment horizontal="justify" vertical="center"/>
    </xf>
    <xf numFmtId="173" fontId="15" fillId="7" borderId="8" xfId="20" applyFont="1" applyFill="1" applyBorder="1" applyAlignment="1">
      <alignment horizontal="justify" vertical="center" wrapText="1"/>
    </xf>
    <xf numFmtId="173" fontId="15" fillId="7" borderId="15" xfId="20" applyFont="1" applyFill="1" applyBorder="1" applyAlignment="1">
      <alignment horizontal="justify" vertical="center" wrapText="1"/>
    </xf>
    <xf numFmtId="2" fontId="3" fillId="7" borderId="8" xfId="0" applyNumberFormat="1" applyFont="1" applyFill="1" applyBorder="1" applyAlignment="1">
      <alignment horizontal="justify" vertical="center"/>
    </xf>
    <xf numFmtId="2" fontId="3" fillId="7" borderId="15" xfId="0" applyNumberFormat="1" applyFont="1" applyFill="1" applyBorder="1" applyAlignment="1">
      <alignment horizontal="justify" vertical="center"/>
    </xf>
    <xf numFmtId="2" fontId="3" fillId="7" borderId="18" xfId="0" applyNumberFormat="1" applyFont="1" applyFill="1" applyBorder="1" applyAlignment="1">
      <alignment horizontal="justify" vertical="center"/>
    </xf>
    <xf numFmtId="10" fontId="3" fillId="7" borderId="8" xfId="3" applyNumberFormat="1" applyFont="1" applyFill="1" applyBorder="1" applyAlignment="1">
      <alignment horizontal="justify" vertical="center"/>
    </xf>
    <xf numFmtId="10" fontId="3" fillId="7" borderId="15" xfId="3" applyNumberFormat="1" applyFont="1" applyFill="1" applyBorder="1" applyAlignment="1">
      <alignment horizontal="justify" vertical="center"/>
    </xf>
    <xf numFmtId="0" fontId="3" fillId="7" borderId="8" xfId="0" applyFont="1" applyFill="1" applyBorder="1" applyAlignment="1">
      <alignment horizontal="justify" vertical="center"/>
    </xf>
    <xf numFmtId="0" fontId="3" fillId="7" borderId="15" xfId="0" applyFont="1" applyFill="1" applyBorder="1" applyAlignment="1">
      <alignment horizontal="justify" vertical="center"/>
    </xf>
    <xf numFmtId="0" fontId="3" fillId="7" borderId="18" xfId="0" applyFont="1" applyFill="1" applyBorder="1" applyAlignment="1">
      <alignment horizontal="justify" vertical="center"/>
    </xf>
    <xf numFmtId="2" fontId="3" fillId="7" borderId="1" xfId="0" applyNumberFormat="1" applyFont="1" applyFill="1" applyBorder="1" applyAlignment="1">
      <alignment horizontal="justify" vertical="center"/>
    </xf>
    <xf numFmtId="10" fontId="3" fillId="7" borderId="18" xfId="3" applyNumberFormat="1" applyFont="1" applyFill="1" applyBorder="1" applyAlignment="1">
      <alignment horizontal="justify" vertical="center"/>
    </xf>
    <xf numFmtId="14" fontId="3" fillId="7" borderId="29" xfId="0" applyNumberFormat="1" applyFont="1" applyFill="1" applyBorder="1" applyAlignment="1">
      <alignment horizontal="center" vertical="center"/>
    </xf>
    <xf numFmtId="14" fontId="3" fillId="7" borderId="16" xfId="0" applyNumberFormat="1" applyFont="1" applyFill="1" applyBorder="1" applyAlignment="1">
      <alignment horizontal="center" vertical="center"/>
    </xf>
    <xf numFmtId="14" fontId="3" fillId="7" borderId="13" xfId="0" applyNumberFormat="1" applyFont="1" applyFill="1" applyBorder="1" applyAlignment="1">
      <alignment horizontal="center" vertical="center"/>
    </xf>
    <xf numFmtId="1" fontId="3" fillId="7" borderId="8" xfId="0" applyNumberFormat="1" applyFont="1" applyFill="1" applyBorder="1" applyAlignment="1">
      <alignment horizontal="center" vertical="center"/>
    </xf>
    <xf numFmtId="185" fontId="22" fillId="0" borderId="8" xfId="2" applyNumberFormat="1" applyFont="1" applyFill="1" applyBorder="1" applyAlignment="1" applyProtection="1">
      <alignment horizontal="center" vertical="center" wrapText="1"/>
      <protection locked="0"/>
    </xf>
    <xf numFmtId="185" fontId="22" fillId="0" borderId="15" xfId="2" applyNumberFormat="1" applyFont="1" applyFill="1" applyBorder="1" applyAlignment="1" applyProtection="1">
      <alignment horizontal="center" vertical="center" wrapText="1"/>
      <protection locked="0"/>
    </xf>
    <xf numFmtId="185" fontId="22" fillId="0" borderId="18" xfId="2" applyNumberFormat="1" applyFont="1" applyFill="1" applyBorder="1" applyAlignment="1" applyProtection="1">
      <alignment horizontal="center" vertical="center" wrapText="1"/>
      <protection locked="0"/>
    </xf>
    <xf numFmtId="49" fontId="3" fillId="7" borderId="8" xfId="9" applyNumberFormat="1" applyFont="1" applyFill="1" applyBorder="1" applyAlignment="1">
      <alignment horizontal="center" vertical="center" wrapText="1"/>
    </xf>
    <xf numFmtId="49" fontId="3" fillId="7" borderId="15" xfId="9" applyNumberFormat="1" applyFont="1" applyFill="1" applyBorder="1" applyAlignment="1">
      <alignment horizontal="center" vertical="center" wrapText="1"/>
    </xf>
    <xf numFmtId="49" fontId="3" fillId="7" borderId="18" xfId="9" applyNumberFormat="1" applyFont="1" applyFill="1" applyBorder="1" applyAlignment="1">
      <alignment horizontal="center" vertical="center" wrapText="1"/>
    </xf>
    <xf numFmtId="1" fontId="3" fillId="7" borderId="18" xfId="0" applyNumberFormat="1" applyFont="1" applyFill="1" applyBorder="1" applyAlignment="1">
      <alignment horizontal="center" vertical="center"/>
    </xf>
    <xf numFmtId="0" fontId="14" fillId="0" borderId="1" xfId="0" applyFont="1" applyBorder="1" applyAlignment="1">
      <alignment horizontal="justify" vertical="center" wrapText="1"/>
    </xf>
    <xf numFmtId="0" fontId="3" fillId="7" borderId="1" xfId="0" applyFont="1" applyFill="1" applyBorder="1" applyAlignment="1">
      <alignment horizontal="justify" vertical="center"/>
    </xf>
    <xf numFmtId="0" fontId="15" fillId="7" borderId="8" xfId="0" applyFont="1" applyFill="1" applyBorder="1" applyAlignment="1">
      <alignment horizontal="center" vertical="center" wrapText="1"/>
    </xf>
    <xf numFmtId="0" fontId="15" fillId="7" borderId="18" xfId="0" applyFont="1" applyFill="1" applyBorder="1" applyAlignment="1">
      <alignment horizontal="center" vertical="center" wrapText="1"/>
    </xf>
    <xf numFmtId="184" fontId="3" fillId="7" borderId="8" xfId="0" applyNumberFormat="1" applyFont="1" applyFill="1" applyBorder="1" applyAlignment="1">
      <alignment horizontal="center" vertical="center"/>
    </xf>
    <xf numFmtId="184" fontId="3" fillId="7" borderId="15" xfId="0" applyNumberFormat="1" applyFont="1" applyFill="1" applyBorder="1" applyAlignment="1">
      <alignment horizontal="center" vertical="center"/>
    </xf>
    <xf numFmtId="184" fontId="3" fillId="7" borderId="18" xfId="0" applyNumberFormat="1" applyFont="1" applyFill="1" applyBorder="1" applyAlignment="1">
      <alignment horizontal="center" vertical="center"/>
    </xf>
    <xf numFmtId="185" fontId="16" fillId="0" borderId="8" xfId="2" applyNumberFormat="1" applyFont="1" applyFill="1" applyBorder="1" applyAlignment="1">
      <alignment horizontal="center" vertical="center"/>
    </xf>
    <xf numFmtId="185" fontId="16" fillId="0" borderId="15" xfId="2" applyNumberFormat="1" applyFont="1" applyFill="1" applyBorder="1" applyAlignment="1">
      <alignment horizontal="center" vertical="center"/>
    </xf>
    <xf numFmtId="185" fontId="16" fillId="0" borderId="18" xfId="2" applyNumberFormat="1" applyFont="1" applyFill="1" applyBorder="1" applyAlignment="1">
      <alignment horizontal="center" vertical="center"/>
    </xf>
    <xf numFmtId="184" fontId="3" fillId="0" borderId="8" xfId="0" applyNumberFormat="1" applyFont="1" applyBorder="1" applyAlignment="1">
      <alignment horizontal="center" vertical="center"/>
    </xf>
    <xf numFmtId="184" fontId="3" fillId="0" borderId="15" xfId="0" applyNumberFormat="1" applyFont="1" applyBorder="1" applyAlignment="1">
      <alignment horizontal="center" vertical="center"/>
    </xf>
    <xf numFmtId="184" fontId="3" fillId="0" borderId="18" xfId="0" applyNumberFormat="1" applyFont="1" applyBorder="1" applyAlignment="1">
      <alignment horizontal="center" vertical="center"/>
    </xf>
    <xf numFmtId="184" fontId="3" fillId="0" borderId="1" xfId="0" applyNumberFormat="1" applyFont="1" applyBorder="1" applyAlignment="1">
      <alignment horizontal="center" vertical="center" wrapText="1"/>
    </xf>
    <xf numFmtId="1" fontId="15" fillId="7" borderId="8" xfId="0" applyNumberFormat="1" applyFont="1" applyFill="1" applyBorder="1" applyAlignment="1">
      <alignment horizontal="center" vertical="center"/>
    </xf>
    <xf numFmtId="1" fontId="15" fillId="7" borderId="15" xfId="0" applyNumberFormat="1" applyFont="1" applyFill="1" applyBorder="1" applyAlignment="1">
      <alignment horizontal="center" vertical="center"/>
    </xf>
    <xf numFmtId="1" fontId="15" fillId="7" borderId="18" xfId="0" applyNumberFormat="1" applyFont="1" applyFill="1" applyBorder="1" applyAlignment="1">
      <alignment horizontal="center" vertical="center"/>
    </xf>
    <xf numFmtId="0" fontId="15" fillId="7" borderId="1" xfId="0" applyFont="1" applyFill="1" applyBorder="1" applyAlignment="1">
      <alignment horizontal="center" vertical="center"/>
    </xf>
    <xf numFmtId="0" fontId="14" fillId="7" borderId="3" xfId="0" applyFont="1" applyFill="1" applyBorder="1" applyAlignment="1">
      <alignment horizontal="justify" vertical="center" wrapText="1"/>
    </xf>
    <xf numFmtId="0" fontId="15" fillId="0" borderId="8" xfId="0" applyFont="1" applyBorder="1" applyAlignment="1">
      <alignment horizontal="center" vertical="center" wrapText="1"/>
    </xf>
    <xf numFmtId="181" fontId="3" fillId="7" borderId="1" xfId="0" applyNumberFormat="1" applyFont="1" applyFill="1" applyBorder="1" applyAlignment="1">
      <alignment horizontal="center" vertical="center" wrapText="1"/>
    </xf>
    <xf numFmtId="182" fontId="3" fillId="0" borderId="8" xfId="0" applyNumberFormat="1" applyFont="1" applyBorder="1" applyAlignment="1">
      <alignment horizontal="center" vertical="center" wrapText="1"/>
    </xf>
    <xf numFmtId="182" fontId="3" fillId="0" borderId="15" xfId="0" applyNumberFormat="1" applyFont="1" applyBorder="1" applyAlignment="1">
      <alignment horizontal="center" vertical="center" wrapText="1"/>
    </xf>
    <xf numFmtId="182" fontId="3" fillId="0" borderId="18" xfId="0" applyNumberFormat="1" applyFont="1" applyBorder="1" applyAlignment="1">
      <alignment horizontal="center" vertical="center" wrapText="1"/>
    </xf>
    <xf numFmtId="0" fontId="14" fillId="7" borderId="35" xfId="0" applyFont="1" applyFill="1" applyBorder="1" applyAlignment="1">
      <alignment horizontal="justify" vertical="center" wrapText="1"/>
    </xf>
    <xf numFmtId="0" fontId="14" fillId="7" borderId="0" xfId="0" applyFont="1" applyFill="1" applyAlignment="1">
      <alignment horizontal="justify" vertical="center" wrapText="1"/>
    </xf>
    <xf numFmtId="0" fontId="14" fillId="7" borderId="2" xfId="0" applyFont="1" applyFill="1" applyBorder="1" applyAlignment="1">
      <alignment horizontal="justify" vertical="center" wrapText="1"/>
    </xf>
    <xf numFmtId="184" fontId="3" fillId="0" borderId="1" xfId="0" applyNumberFormat="1" applyFont="1" applyBorder="1" applyAlignment="1">
      <alignment horizontal="center" vertical="center"/>
    </xf>
    <xf numFmtId="184" fontId="15" fillId="0" borderId="1" xfId="0" applyNumberFormat="1" applyFont="1" applyBorder="1" applyAlignment="1">
      <alignment horizontal="center" vertical="center"/>
    </xf>
    <xf numFmtId="184" fontId="3" fillId="7" borderId="1" xfId="0" applyNumberFormat="1" applyFont="1" applyFill="1" applyBorder="1" applyAlignment="1">
      <alignment horizontal="center" vertical="center"/>
    </xf>
    <xf numFmtId="9" fontId="3" fillId="0" borderId="1" xfId="0" applyNumberFormat="1" applyFont="1" applyBorder="1" applyAlignment="1">
      <alignment horizontal="center" vertical="center"/>
    </xf>
    <xf numFmtId="0" fontId="3" fillId="0" borderId="29" xfId="0" applyFont="1" applyBorder="1" applyAlignment="1">
      <alignment horizontal="justify" vertical="center" wrapText="1"/>
    </xf>
    <xf numFmtId="1" fontId="15" fillId="7" borderId="18" xfId="13" applyNumberFormat="1" applyFont="1" applyFill="1" applyBorder="1" applyAlignment="1">
      <alignment horizontal="justify" vertical="center" wrapText="1"/>
    </xf>
    <xf numFmtId="1" fontId="15" fillId="7" borderId="8" xfId="13" applyNumberFormat="1" applyFont="1" applyFill="1" applyBorder="1" applyAlignment="1">
      <alignment horizontal="justify" vertical="center" wrapText="1"/>
    </xf>
    <xf numFmtId="2" fontId="15" fillId="7" borderId="8" xfId="13" applyNumberFormat="1" applyFont="1" applyFill="1" applyBorder="1" applyAlignment="1">
      <alignment horizontal="justify" vertical="center" wrapText="1"/>
    </xf>
    <xf numFmtId="2" fontId="15" fillId="7" borderId="15" xfId="13" applyNumberFormat="1" applyFont="1" applyFill="1" applyBorder="1" applyAlignment="1">
      <alignment horizontal="justify" vertical="center" wrapText="1"/>
    </xf>
    <xf numFmtId="2" fontId="15" fillId="7" borderId="18" xfId="13" applyNumberFormat="1" applyFont="1" applyFill="1" applyBorder="1" applyAlignment="1">
      <alignment horizontal="justify" vertical="center" wrapText="1"/>
    </xf>
    <xf numFmtId="9" fontId="3" fillId="7" borderId="8" xfId="0" applyNumberFormat="1" applyFont="1" applyFill="1" applyBorder="1" applyAlignment="1">
      <alignment horizontal="center" vertical="center"/>
    </xf>
    <xf numFmtId="9" fontId="3" fillId="7" borderId="15" xfId="0" applyNumberFormat="1" applyFont="1" applyFill="1" applyBorder="1" applyAlignment="1">
      <alignment horizontal="center" vertical="center"/>
    </xf>
    <xf numFmtId="9" fontId="3" fillId="7" borderId="18" xfId="0" applyNumberFormat="1" applyFont="1" applyFill="1" applyBorder="1" applyAlignment="1">
      <alignment horizontal="center" vertical="center"/>
    </xf>
    <xf numFmtId="0" fontId="15" fillId="3" borderId="3" xfId="0" applyFont="1" applyFill="1" applyBorder="1" applyAlignment="1" applyProtection="1">
      <alignment horizontal="center" vertical="center" textRotation="90" wrapText="1"/>
      <protection locked="0"/>
    </xf>
    <xf numFmtId="0" fontId="15" fillId="3" borderId="5" xfId="0" applyFont="1" applyFill="1" applyBorder="1" applyAlignment="1" applyProtection="1">
      <alignment horizontal="center" vertical="center" textRotation="90" wrapText="1"/>
      <protection locked="0"/>
    </xf>
    <xf numFmtId="0" fontId="2" fillId="14" borderId="8" xfId="0" applyFont="1" applyFill="1" applyBorder="1" applyAlignment="1">
      <alignment horizontal="center" vertical="center" wrapText="1"/>
    </xf>
    <xf numFmtId="0" fontId="2" fillId="14" borderId="15" xfId="0" applyFont="1" applyFill="1" applyBorder="1" applyAlignment="1">
      <alignment horizontal="center" vertical="center" wrapText="1"/>
    </xf>
    <xf numFmtId="0" fontId="2" fillId="14" borderId="18"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15" fillId="7" borderId="8" xfId="19" applyNumberFormat="1" applyFont="1" applyFill="1" applyBorder="1" applyAlignment="1">
      <alignment horizontal="center" vertical="center"/>
    </xf>
    <xf numFmtId="0" fontId="15" fillId="7" borderId="15" xfId="19" applyNumberFormat="1" applyFont="1" applyFill="1" applyBorder="1" applyAlignment="1">
      <alignment horizontal="center" vertical="center"/>
    </xf>
    <xf numFmtId="0" fontId="15" fillId="7" borderId="18" xfId="19" applyNumberFormat="1" applyFont="1" applyFill="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2" fontId="3" fillId="7" borderId="1" xfId="0" applyNumberFormat="1" applyFont="1" applyFill="1" applyBorder="1" applyAlignment="1">
      <alignment horizontal="justify" vertical="center" wrapText="1"/>
    </xf>
    <xf numFmtId="0" fontId="21" fillId="5" borderId="8" xfId="0" applyFont="1" applyFill="1" applyBorder="1" applyAlignment="1">
      <alignment horizontal="center" vertical="center" wrapText="1"/>
    </xf>
    <xf numFmtId="0" fontId="2" fillId="3" borderId="3" xfId="0" applyFont="1" applyFill="1" applyBorder="1" applyAlignment="1" applyProtection="1">
      <alignment horizontal="center" vertical="center" textRotation="90" wrapText="1"/>
      <protection locked="0"/>
    </xf>
    <xf numFmtId="0" fontId="2" fillId="3" borderId="5" xfId="0" applyFont="1" applyFill="1" applyBorder="1" applyAlignment="1" applyProtection="1">
      <alignment horizontal="center" vertical="center" textRotation="90" wrapText="1"/>
      <protection locked="0"/>
    </xf>
    <xf numFmtId="49" fontId="2" fillId="3" borderId="3" xfId="0" applyNumberFormat="1" applyFont="1" applyFill="1" applyBorder="1" applyAlignment="1" applyProtection="1">
      <alignment horizontal="center" vertical="center" textRotation="90" wrapText="1"/>
      <protection locked="0"/>
    </xf>
    <xf numFmtId="49" fontId="2" fillId="3" borderId="5" xfId="0" applyNumberFormat="1" applyFont="1" applyFill="1" applyBorder="1" applyAlignment="1" applyProtection="1">
      <alignment horizontal="center" vertical="center" textRotation="90" wrapText="1"/>
      <protection locked="0"/>
    </xf>
    <xf numFmtId="0" fontId="23" fillId="4" borderId="29" xfId="0" applyFont="1" applyFill="1" applyBorder="1" applyAlignment="1" applyProtection="1">
      <alignment horizontal="center" vertical="center" wrapText="1"/>
      <protection locked="0"/>
    </xf>
    <xf numFmtId="0" fontId="23" fillId="4" borderId="35" xfId="0" applyFont="1" applyFill="1" applyBorder="1" applyAlignment="1" applyProtection="1">
      <alignment horizontal="center" vertical="center" wrapText="1"/>
      <protection locked="0"/>
    </xf>
    <xf numFmtId="0" fontId="23" fillId="4" borderId="30" xfId="0" applyFont="1" applyFill="1" applyBorder="1" applyAlignment="1" applyProtection="1">
      <alignment horizontal="center" vertical="center" wrapText="1"/>
      <protection locked="0"/>
    </xf>
    <xf numFmtId="0" fontId="23" fillId="4" borderId="13"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center" vertical="center" wrapText="1"/>
      <protection locked="0"/>
    </xf>
    <xf numFmtId="0" fontId="23" fillId="4" borderId="14"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textRotation="90" wrapText="1"/>
      <protection locked="0"/>
    </xf>
    <xf numFmtId="0" fontId="2" fillId="4" borderId="30" xfId="0" applyFont="1" applyFill="1" applyBorder="1" applyAlignment="1" applyProtection="1">
      <alignment horizontal="center" vertical="center" textRotation="90" wrapText="1"/>
      <protection locked="0"/>
    </xf>
    <xf numFmtId="0" fontId="2" fillId="4" borderId="16" xfId="0" applyFont="1" applyFill="1" applyBorder="1" applyAlignment="1" applyProtection="1">
      <alignment horizontal="center" vertical="center" textRotation="90" wrapText="1"/>
      <protection locked="0"/>
    </xf>
    <xf numFmtId="0" fontId="2" fillId="4" borderId="17" xfId="0" applyFont="1" applyFill="1" applyBorder="1" applyAlignment="1" applyProtection="1">
      <alignment horizontal="center" vertical="center" textRotation="90" wrapText="1"/>
      <protection locked="0"/>
    </xf>
    <xf numFmtId="0" fontId="2" fillId="4" borderId="13" xfId="0" applyFont="1" applyFill="1" applyBorder="1" applyAlignment="1" applyProtection="1">
      <alignment horizontal="center" vertical="center" textRotation="90" wrapText="1"/>
      <protection locked="0"/>
    </xf>
    <xf numFmtId="0" fontId="2" fillId="4" borderId="14" xfId="0" applyFont="1" applyFill="1" applyBorder="1" applyAlignment="1" applyProtection="1">
      <alignment horizontal="center" vertical="center" textRotation="90" wrapText="1"/>
      <protection locked="0"/>
    </xf>
    <xf numFmtId="167" fontId="7" fillId="3" borderId="10" xfId="15" applyFont="1" applyFill="1" applyBorder="1" applyAlignment="1">
      <alignment horizontal="center" vertical="center"/>
    </xf>
    <xf numFmtId="167" fontId="7" fillId="3" borderId="11" xfId="15" applyFont="1" applyFill="1" applyBorder="1" applyAlignment="1">
      <alignment horizontal="center" vertical="center"/>
    </xf>
    <xf numFmtId="167" fontId="7" fillId="3" borderId="12" xfId="15" applyFont="1" applyFill="1" applyBorder="1" applyAlignment="1">
      <alignment horizontal="center" vertical="center"/>
    </xf>
    <xf numFmtId="169" fontId="2" fillId="5" borderId="8" xfId="0" applyNumberFormat="1" applyFont="1" applyFill="1" applyBorder="1" applyAlignment="1">
      <alignment horizontal="center" vertical="center" wrapText="1"/>
    </xf>
    <xf numFmtId="169" fontId="2" fillId="5" borderId="15" xfId="0" applyNumberFormat="1" applyFont="1" applyFill="1" applyBorder="1" applyAlignment="1">
      <alignment horizontal="center" vertical="center" wrapText="1"/>
    </xf>
    <xf numFmtId="169" fontId="2" fillId="5" borderId="18" xfId="0" applyNumberFormat="1" applyFont="1" applyFill="1" applyBorder="1" applyAlignment="1">
      <alignment horizontal="center" vertical="center" wrapText="1"/>
    </xf>
    <xf numFmtId="169" fontId="2" fillId="5" borderId="29" xfId="0" applyNumberFormat="1" applyFont="1" applyFill="1" applyBorder="1" applyAlignment="1">
      <alignment horizontal="center" vertical="center" wrapText="1"/>
    </xf>
    <xf numFmtId="169" fontId="2" fillId="5" borderId="35" xfId="0" applyNumberFormat="1" applyFont="1" applyFill="1" applyBorder="1" applyAlignment="1">
      <alignment horizontal="center" vertical="center" wrapText="1"/>
    </xf>
    <xf numFmtId="169" fontId="2" fillId="5" borderId="30" xfId="0" applyNumberFormat="1" applyFont="1" applyFill="1" applyBorder="1" applyAlignment="1">
      <alignment horizontal="center" vertical="center" wrapText="1"/>
    </xf>
    <xf numFmtId="169" fontId="2" fillId="5" borderId="16" xfId="0" applyNumberFormat="1" applyFont="1" applyFill="1" applyBorder="1" applyAlignment="1">
      <alignment horizontal="center" vertical="center" wrapText="1"/>
    </xf>
    <xf numFmtId="169" fontId="2" fillId="5" borderId="0" xfId="0" applyNumberFormat="1" applyFont="1" applyFill="1" applyAlignment="1">
      <alignment horizontal="center" vertical="center" wrapText="1"/>
    </xf>
    <xf numFmtId="169" fontId="2" fillId="5" borderId="17"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7" fillId="3" borderId="2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4" xfId="0" applyFont="1" applyFill="1" applyBorder="1" applyAlignment="1">
      <alignment horizontal="center" vertical="center" wrapText="1"/>
    </xf>
    <xf numFmtId="168" fontId="2" fillId="5" borderId="29" xfId="0" applyNumberFormat="1" applyFont="1" applyFill="1" applyBorder="1" applyAlignment="1">
      <alignment horizontal="center" vertical="center" wrapText="1"/>
    </xf>
    <xf numFmtId="168" fontId="2" fillId="5" borderId="30" xfId="0" applyNumberFormat="1" applyFont="1" applyFill="1" applyBorder="1" applyAlignment="1">
      <alignment horizontal="center" vertical="center" wrapText="1"/>
    </xf>
    <xf numFmtId="168" fontId="2" fillId="5" borderId="16" xfId="0" applyNumberFormat="1" applyFont="1" applyFill="1" applyBorder="1" applyAlignment="1">
      <alignment horizontal="center" vertical="center" wrapText="1"/>
    </xf>
    <xf numFmtId="168" fontId="2" fillId="5" borderId="17" xfId="0" applyNumberFormat="1" applyFont="1" applyFill="1" applyBorder="1" applyAlignment="1">
      <alignment horizontal="center" vertical="center" wrapText="1"/>
    </xf>
    <xf numFmtId="168" fontId="2" fillId="5" borderId="13" xfId="0" applyNumberFormat="1" applyFont="1" applyFill="1" applyBorder="1" applyAlignment="1">
      <alignment horizontal="center" vertical="center" wrapText="1"/>
    </xf>
    <xf numFmtId="168" fontId="2" fillId="5" borderId="14" xfId="0" applyNumberFormat="1" applyFont="1" applyFill="1" applyBorder="1" applyAlignment="1">
      <alignment horizontal="center" vertical="center" wrapText="1"/>
    </xf>
    <xf numFmtId="3" fontId="2" fillId="5" borderId="8" xfId="0" applyNumberFormat="1" applyFont="1" applyFill="1" applyBorder="1" applyAlignment="1">
      <alignment horizontal="center" vertical="center" wrapText="1"/>
    </xf>
    <xf numFmtId="3" fontId="2" fillId="5" borderId="15" xfId="0" applyNumberFormat="1" applyFont="1" applyFill="1" applyBorder="1" applyAlignment="1">
      <alignment horizontal="center" vertical="center" wrapText="1"/>
    </xf>
    <xf numFmtId="3" fontId="2" fillId="5" borderId="18" xfId="0" applyNumberFormat="1" applyFont="1" applyFill="1" applyBorder="1" applyAlignment="1">
      <alignment horizontal="center" vertical="center" wrapText="1"/>
    </xf>
    <xf numFmtId="164" fontId="21" fillId="5" borderId="1" xfId="17" applyFont="1" applyFill="1" applyBorder="1" applyAlignment="1">
      <alignment horizontal="center" vertical="center" wrapText="1"/>
    </xf>
    <xf numFmtId="0" fontId="15" fillId="24" borderId="20" xfId="27" applyFont="1" applyFill="1" applyBorder="1" applyAlignment="1">
      <alignment horizontal="center"/>
    </xf>
    <xf numFmtId="0" fontId="15" fillId="24" borderId="21" xfId="27" applyFont="1" applyFill="1" applyBorder="1" applyAlignment="1">
      <alignment horizontal="center"/>
    </xf>
    <xf numFmtId="0" fontId="15" fillId="24" borderId="22" xfId="27" applyFont="1" applyFill="1" applyBorder="1" applyAlignment="1">
      <alignment horizontal="center"/>
    </xf>
    <xf numFmtId="0" fontId="17" fillId="7" borderId="0" xfId="27" applyFont="1" applyFill="1" applyAlignment="1">
      <alignment horizontal="center"/>
    </xf>
    <xf numFmtId="0" fontId="15" fillId="7" borderId="0" xfId="27" applyFont="1" applyFill="1" applyAlignment="1">
      <alignment horizontal="center"/>
    </xf>
    <xf numFmtId="0" fontId="15" fillId="7" borderId="56" xfId="27" applyFont="1" applyFill="1" applyBorder="1" applyAlignment="1">
      <alignment horizontal="center" vertical="center" wrapText="1"/>
    </xf>
    <xf numFmtId="0" fontId="15" fillId="7" borderId="15" xfId="27" applyFont="1" applyFill="1" applyBorder="1" applyAlignment="1">
      <alignment horizontal="center" vertical="center" wrapText="1"/>
    </xf>
    <xf numFmtId="14" fontId="15" fillId="7" borderId="56" xfId="27" applyNumberFormat="1" applyFont="1" applyFill="1" applyBorder="1" applyAlignment="1">
      <alignment horizontal="center" vertical="center" wrapText="1"/>
    </xf>
    <xf numFmtId="14" fontId="15" fillId="7" borderId="15" xfId="27" applyNumberFormat="1" applyFont="1" applyFill="1" applyBorder="1" applyAlignment="1">
      <alignment horizontal="center" vertical="center" wrapText="1"/>
    </xf>
    <xf numFmtId="14" fontId="15" fillId="7" borderId="75" xfId="27" applyNumberFormat="1" applyFont="1" applyFill="1" applyBorder="1" applyAlignment="1">
      <alignment horizontal="center" vertical="center" wrapText="1"/>
    </xf>
    <xf numFmtId="14" fontId="15" fillId="7" borderId="72" xfId="27" applyNumberFormat="1" applyFont="1" applyFill="1" applyBorder="1" applyAlignment="1">
      <alignment horizontal="center" vertical="center" wrapText="1"/>
    </xf>
    <xf numFmtId="3" fontId="15" fillId="7" borderId="105" xfId="27" applyNumberFormat="1" applyFont="1" applyFill="1" applyBorder="1" applyAlignment="1">
      <alignment horizontal="center" vertical="center" wrapText="1"/>
    </xf>
    <xf numFmtId="3" fontId="15" fillId="7" borderId="106" xfId="27" applyNumberFormat="1" applyFont="1" applyFill="1" applyBorder="1" applyAlignment="1">
      <alignment horizontal="center" vertical="center" wrapText="1"/>
    </xf>
    <xf numFmtId="173" fontId="15" fillId="7" borderId="56" xfId="27" applyNumberFormat="1" applyFont="1" applyFill="1" applyBorder="1" applyAlignment="1">
      <alignment horizontal="center" vertical="center" wrapText="1"/>
    </xf>
    <xf numFmtId="9" fontId="15" fillId="7" borderId="56" xfId="3" applyFont="1" applyFill="1" applyBorder="1" applyAlignment="1">
      <alignment horizontal="center" vertical="center" wrapText="1"/>
    </xf>
    <xf numFmtId="9" fontId="15" fillId="7" borderId="56" xfId="7" applyFont="1" applyFill="1" applyBorder="1" applyAlignment="1">
      <alignment horizontal="center" vertical="center" wrapText="1"/>
    </xf>
    <xf numFmtId="9" fontId="15" fillId="7" borderId="15" xfId="7" applyFont="1" applyFill="1" applyBorder="1" applyAlignment="1">
      <alignment horizontal="center" vertical="center" wrapText="1"/>
    </xf>
    <xf numFmtId="173" fontId="15" fillId="7" borderId="56" xfId="8" applyFont="1" applyFill="1" applyBorder="1" applyAlignment="1">
      <alignment horizontal="center" vertical="center" wrapText="1"/>
    </xf>
    <xf numFmtId="0" fontId="15" fillId="7" borderId="56" xfId="27" applyFont="1" applyFill="1" applyBorder="1" applyAlignment="1">
      <alignment horizontal="justify" vertical="center" wrapText="1"/>
    </xf>
    <xf numFmtId="0" fontId="15" fillId="7" borderId="15" xfId="27" applyFont="1" applyFill="1" applyBorder="1" applyAlignment="1">
      <alignment horizontal="justify" vertical="center" wrapText="1"/>
    </xf>
    <xf numFmtId="0" fontId="15" fillId="7" borderId="57" xfId="27" applyFont="1" applyFill="1" applyBorder="1" applyAlignment="1">
      <alignment horizontal="justify" vertical="center" wrapText="1"/>
    </xf>
    <xf numFmtId="0" fontId="15" fillId="0" borderId="1" xfId="27" applyFont="1" applyBorder="1" applyAlignment="1">
      <alignment horizontal="center" vertical="center" wrapText="1"/>
    </xf>
    <xf numFmtId="14" fontId="15" fillId="0" borderId="1" xfId="27" applyNumberFormat="1" applyFont="1" applyBorder="1" applyAlignment="1">
      <alignment horizontal="center" vertical="center" wrapText="1"/>
    </xf>
    <xf numFmtId="14" fontId="15" fillId="0" borderId="75" xfId="27" applyNumberFormat="1" applyFont="1" applyBorder="1" applyAlignment="1">
      <alignment horizontal="center" vertical="center" wrapText="1"/>
    </xf>
    <xf numFmtId="14" fontId="15" fillId="0" borderId="72" xfId="27" applyNumberFormat="1" applyFont="1" applyBorder="1" applyAlignment="1">
      <alignment horizontal="center" vertical="center" wrapText="1"/>
    </xf>
    <xf numFmtId="14" fontId="15" fillId="0" borderId="73" xfId="27" applyNumberFormat="1" applyFont="1" applyBorder="1" applyAlignment="1">
      <alignment horizontal="center" vertical="center" wrapText="1"/>
    </xf>
    <xf numFmtId="3" fontId="15" fillId="0" borderId="75" xfId="27" applyNumberFormat="1" applyFont="1" applyBorder="1" applyAlignment="1">
      <alignment horizontal="center" vertical="center" wrapText="1"/>
    </xf>
    <xf numFmtId="3" fontId="15" fillId="0" borderId="72" xfId="27" applyNumberFormat="1" applyFont="1" applyBorder="1" applyAlignment="1">
      <alignment horizontal="center" vertical="center" wrapText="1"/>
    </xf>
    <xf numFmtId="3" fontId="15" fillId="0" borderId="73" xfId="27" applyNumberFormat="1" applyFont="1" applyBorder="1" applyAlignment="1">
      <alignment horizontal="center" vertical="center" wrapText="1"/>
    </xf>
    <xf numFmtId="173" fontId="15" fillId="0" borderId="1" xfId="27" applyNumberFormat="1" applyFont="1" applyBorder="1" applyAlignment="1">
      <alignment horizontal="center" vertical="center" wrapText="1"/>
    </xf>
    <xf numFmtId="0" fontId="15" fillId="0" borderId="56" xfId="27" applyFont="1" applyBorder="1" applyAlignment="1">
      <alignment horizontal="justify" vertical="center" wrapText="1"/>
    </xf>
    <xf numFmtId="0" fontId="15" fillId="0" borderId="15" xfId="27" applyFont="1" applyBorder="1" applyAlignment="1">
      <alignment horizontal="justify" vertical="center" wrapText="1"/>
    </xf>
    <xf numFmtId="0" fontId="15" fillId="0" borderId="57" xfId="27" applyFont="1" applyBorder="1" applyAlignment="1">
      <alignment horizontal="justify" vertical="center" wrapText="1"/>
    </xf>
    <xf numFmtId="9" fontId="15" fillId="0" borderId="1" xfId="7" applyFont="1" applyFill="1" applyBorder="1" applyAlignment="1">
      <alignment horizontal="center" vertical="center" wrapText="1"/>
    </xf>
    <xf numFmtId="173" fontId="15" fillId="0" borderId="1" xfId="8" applyFont="1" applyFill="1" applyBorder="1" applyAlignment="1">
      <alignment horizontal="center" vertical="center" wrapText="1"/>
    </xf>
    <xf numFmtId="0" fontId="15" fillId="0" borderId="1" xfId="27" applyFont="1" applyBorder="1" applyAlignment="1">
      <alignment horizontal="justify" vertical="center" wrapText="1"/>
    </xf>
    <xf numFmtId="0" fontId="15" fillId="0" borderId="56" xfId="27" applyFont="1" applyBorder="1" applyAlignment="1">
      <alignment horizontal="center" vertical="center" wrapText="1"/>
    </xf>
    <xf numFmtId="0" fontId="15" fillId="0" borderId="15" xfId="27" applyFont="1" applyBorder="1" applyAlignment="1">
      <alignment horizontal="center" vertical="center" wrapText="1"/>
    </xf>
    <xf numFmtId="0" fontId="15" fillId="0" borderId="57" xfId="27" applyFont="1" applyBorder="1" applyAlignment="1">
      <alignment horizontal="center" vertical="center" wrapText="1"/>
    </xf>
    <xf numFmtId="14" fontId="15" fillId="0" borderId="56" xfId="27" applyNumberFormat="1" applyFont="1" applyBorder="1" applyAlignment="1">
      <alignment horizontal="center" vertical="center" wrapText="1"/>
    </xf>
    <xf numFmtId="14" fontId="15" fillId="0" borderId="15" xfId="27" applyNumberFormat="1" applyFont="1" applyBorder="1" applyAlignment="1">
      <alignment horizontal="center" vertical="center" wrapText="1"/>
    </xf>
    <xf numFmtId="14" fontId="15" fillId="0" borderId="57" xfId="27" applyNumberFormat="1" applyFont="1" applyBorder="1" applyAlignment="1">
      <alignment horizontal="center" vertical="center" wrapText="1"/>
    </xf>
    <xf numFmtId="173" fontId="15" fillId="0" borderId="56" xfId="27" applyNumberFormat="1" applyFont="1" applyBorder="1" applyAlignment="1">
      <alignment horizontal="center" vertical="center" wrapText="1"/>
    </xf>
    <xf numFmtId="9" fontId="15" fillId="0" borderId="56" xfId="3" applyFont="1" applyFill="1" applyBorder="1" applyAlignment="1">
      <alignment horizontal="center" vertical="center" wrapText="1"/>
    </xf>
    <xf numFmtId="9" fontId="15" fillId="0" borderId="57" xfId="3" applyFont="1" applyFill="1" applyBorder="1" applyAlignment="1">
      <alignment horizontal="center" vertical="center" wrapText="1"/>
    </xf>
    <xf numFmtId="173" fontId="15" fillId="0" borderId="56" xfId="8" applyFont="1" applyFill="1" applyBorder="1" applyAlignment="1">
      <alignment horizontal="center" vertical="center" wrapText="1"/>
    </xf>
    <xf numFmtId="173" fontId="15" fillId="0" borderId="15" xfId="8" applyFont="1" applyFill="1" applyBorder="1" applyAlignment="1">
      <alignment horizontal="center" vertical="center" wrapText="1"/>
    </xf>
    <xf numFmtId="173" fontId="15" fillId="0" borderId="57" xfId="8" applyFont="1" applyFill="1" applyBorder="1" applyAlignment="1">
      <alignment horizontal="center" vertical="center" wrapText="1"/>
    </xf>
    <xf numFmtId="14" fontId="15" fillId="7" borderId="57" xfId="27" applyNumberFormat="1" applyFont="1" applyFill="1" applyBorder="1" applyAlignment="1">
      <alignment horizontal="center" vertical="center" wrapText="1"/>
    </xf>
    <xf numFmtId="14" fontId="15" fillId="7" borderId="73" xfId="27" applyNumberFormat="1" applyFont="1" applyFill="1" applyBorder="1" applyAlignment="1">
      <alignment horizontal="center" vertical="center" wrapText="1"/>
    </xf>
    <xf numFmtId="3" fontId="15" fillId="7" borderId="75" xfId="27" applyNumberFormat="1" applyFont="1" applyFill="1" applyBorder="1" applyAlignment="1">
      <alignment horizontal="center" vertical="center" wrapText="1"/>
    </xf>
    <xf numFmtId="3" fontId="15" fillId="7" borderId="72" xfId="27" applyNumberFormat="1" applyFont="1" applyFill="1" applyBorder="1" applyAlignment="1">
      <alignment horizontal="center" vertical="center" wrapText="1"/>
    </xf>
    <xf numFmtId="3" fontId="15" fillId="7" borderId="73" xfId="27" applyNumberFormat="1" applyFont="1" applyFill="1" applyBorder="1" applyAlignment="1">
      <alignment horizontal="center" vertical="center" wrapText="1"/>
    </xf>
    <xf numFmtId="0" fontId="15" fillId="0" borderId="1" xfId="27" applyFont="1" applyBorder="1" applyAlignment="1">
      <alignment horizontal="center" vertical="center"/>
    </xf>
    <xf numFmtId="0" fontId="15" fillId="7" borderId="57" xfId="27" applyFont="1" applyFill="1" applyBorder="1" applyAlignment="1">
      <alignment horizontal="center" vertical="center" wrapText="1"/>
    </xf>
    <xf numFmtId="0" fontId="15" fillId="7" borderId="50" xfId="27" applyFont="1" applyFill="1" applyBorder="1" applyAlignment="1">
      <alignment horizontal="justify" vertical="center" wrapText="1"/>
    </xf>
    <xf numFmtId="0" fontId="15" fillId="7" borderId="16" xfId="27" applyFont="1" applyFill="1" applyBorder="1" applyAlignment="1">
      <alignment horizontal="justify" vertical="center" wrapText="1"/>
    </xf>
    <xf numFmtId="0" fontId="15" fillId="7" borderId="58" xfId="27" applyFont="1" applyFill="1" applyBorder="1" applyAlignment="1">
      <alignment horizontal="justify" vertical="center" wrapText="1"/>
    </xf>
    <xf numFmtId="9" fontId="15" fillId="7" borderId="57" xfId="7" applyFont="1" applyFill="1" applyBorder="1" applyAlignment="1">
      <alignment horizontal="center" vertical="center" wrapText="1"/>
    </xf>
    <xf numFmtId="49" fontId="15" fillId="0" borderId="77" xfId="10" quotePrefix="1" applyNumberFormat="1" applyFont="1" applyBorder="1" applyAlignment="1">
      <alignment horizontal="justify" vertical="center" wrapText="1"/>
    </xf>
    <xf numFmtId="49" fontId="15" fillId="0" borderId="38" xfId="10" quotePrefix="1" applyNumberFormat="1" applyFont="1" applyBorder="1" applyAlignment="1">
      <alignment horizontal="justify" vertical="center" wrapText="1"/>
    </xf>
    <xf numFmtId="49" fontId="15" fillId="0" borderId="64" xfId="10" quotePrefix="1" applyNumberFormat="1" applyFont="1" applyBorder="1" applyAlignment="1">
      <alignment horizontal="justify" vertical="center" wrapText="1"/>
    </xf>
    <xf numFmtId="0" fontId="15" fillId="0" borderId="56" xfId="27" applyFont="1" applyBorder="1" applyAlignment="1">
      <alignment horizontal="center" vertical="center"/>
    </xf>
    <xf numFmtId="0" fontId="15" fillId="0" borderId="15" xfId="27" applyFont="1" applyBorder="1" applyAlignment="1">
      <alignment horizontal="center" vertical="center"/>
    </xf>
    <xf numFmtId="0" fontId="15" fillId="0" borderId="57" xfId="27" applyFont="1" applyBorder="1" applyAlignment="1">
      <alignment horizontal="center" vertical="center"/>
    </xf>
    <xf numFmtId="0" fontId="15" fillId="7" borderId="56" xfId="27" applyFont="1" applyFill="1" applyBorder="1" applyAlignment="1">
      <alignment horizontal="center" vertical="center"/>
    </xf>
    <xf numFmtId="0" fontId="15" fillId="7" borderId="15" xfId="27" applyFont="1" applyFill="1" applyBorder="1" applyAlignment="1">
      <alignment horizontal="center" vertical="center"/>
    </xf>
    <xf numFmtId="14" fontId="15" fillId="7" borderId="1" xfId="27" applyNumberFormat="1" applyFont="1" applyFill="1" applyBorder="1" applyAlignment="1">
      <alignment horizontal="center" vertical="center" wrapText="1"/>
    </xf>
    <xf numFmtId="0" fontId="15" fillId="7" borderId="1" xfId="27" applyFont="1" applyFill="1" applyBorder="1" applyAlignment="1">
      <alignment horizontal="center" vertical="center" wrapText="1"/>
    </xf>
    <xf numFmtId="0" fontId="15" fillId="7" borderId="1" xfId="27" applyFont="1" applyFill="1" applyBorder="1" applyAlignment="1">
      <alignment horizontal="justify" vertical="center" wrapText="1"/>
    </xf>
    <xf numFmtId="43" fontId="15" fillId="7" borderId="1" xfId="27" applyNumberFormat="1" applyFont="1" applyFill="1" applyBorder="1" applyAlignment="1">
      <alignment horizontal="center" vertical="center" wrapText="1"/>
    </xf>
    <xf numFmtId="1" fontId="15" fillId="7" borderId="1" xfId="27" quotePrefix="1" applyNumberFormat="1" applyFont="1" applyFill="1" applyBorder="1" applyAlignment="1">
      <alignment horizontal="center" vertical="center" wrapText="1"/>
    </xf>
    <xf numFmtId="0" fontId="15" fillId="7" borderId="52" xfId="27" applyFont="1" applyFill="1" applyBorder="1" applyAlignment="1">
      <alignment horizontal="justify" vertical="center" wrapText="1"/>
    </xf>
    <xf numFmtId="0" fontId="15" fillId="7" borderId="59" xfId="27" applyFont="1" applyFill="1" applyBorder="1" applyAlignment="1">
      <alignment horizontal="justify" vertical="center" wrapText="1"/>
    </xf>
    <xf numFmtId="0" fontId="15" fillId="7" borderId="55" xfId="27" applyFont="1" applyFill="1" applyBorder="1" applyAlignment="1">
      <alignment horizontal="center" vertical="center" wrapText="1"/>
    </xf>
    <xf numFmtId="0" fontId="15" fillId="7" borderId="53" xfId="27" applyFont="1" applyFill="1" applyBorder="1" applyAlignment="1">
      <alignment horizontal="center" vertical="center" wrapText="1"/>
    </xf>
    <xf numFmtId="10" fontId="15" fillId="7" borderId="1" xfId="7" applyNumberFormat="1" applyFont="1" applyFill="1" applyBorder="1" applyAlignment="1">
      <alignment horizontal="center" vertical="center" wrapText="1"/>
    </xf>
    <xf numFmtId="0" fontId="15" fillId="7" borderId="5" xfId="27" applyFont="1" applyFill="1" applyBorder="1" applyAlignment="1">
      <alignment horizontal="justify" vertical="center" wrapText="1"/>
    </xf>
    <xf numFmtId="0" fontId="17" fillId="0" borderId="55" xfId="27" applyFont="1" applyBorder="1" applyAlignment="1">
      <alignment horizontal="center" vertical="center" wrapText="1"/>
    </xf>
    <xf numFmtId="0" fontId="17" fillId="0" borderId="0" xfId="27" applyFont="1" applyBorder="1" applyAlignment="1">
      <alignment horizontal="center" vertical="center" wrapText="1"/>
    </xf>
    <xf numFmtId="0" fontId="17" fillId="0" borderId="0" xfId="27" applyFont="1" applyAlignment="1">
      <alignment horizontal="center" vertical="center" wrapText="1"/>
    </xf>
    <xf numFmtId="0" fontId="17" fillId="0" borderId="53" xfId="27" applyFont="1" applyBorder="1" applyAlignment="1">
      <alignment horizontal="center" vertical="center" wrapText="1"/>
    </xf>
    <xf numFmtId="0" fontId="15" fillId="7" borderId="55" xfId="27" applyFont="1" applyFill="1" applyBorder="1" applyAlignment="1">
      <alignment horizontal="justify" vertical="center" wrapText="1"/>
    </xf>
    <xf numFmtId="0" fontId="15" fillId="7" borderId="53" xfId="27" applyFont="1" applyFill="1" applyBorder="1" applyAlignment="1">
      <alignment horizontal="justify" vertical="center" wrapText="1"/>
    </xf>
    <xf numFmtId="3" fontId="15" fillId="7" borderId="104" xfId="27" applyNumberFormat="1" applyFont="1" applyFill="1" applyBorder="1" applyAlignment="1">
      <alignment horizontal="center" vertical="center" wrapText="1"/>
    </xf>
    <xf numFmtId="3" fontId="15" fillId="7" borderId="43" xfId="27" applyNumberFormat="1" applyFont="1" applyFill="1" applyBorder="1" applyAlignment="1">
      <alignment horizontal="center" vertical="center" wrapText="1"/>
    </xf>
    <xf numFmtId="173" fontId="15" fillId="7" borderId="1" xfId="27" applyNumberFormat="1" applyFont="1" applyFill="1" applyBorder="1" applyAlignment="1">
      <alignment horizontal="center" vertical="center" wrapText="1"/>
    </xf>
    <xf numFmtId="9" fontId="15" fillId="0" borderId="56" xfId="7" applyFont="1" applyFill="1" applyBorder="1" applyAlignment="1">
      <alignment horizontal="center" vertical="center" wrapText="1"/>
    </xf>
    <xf numFmtId="9" fontId="15" fillId="0" borderId="15" xfId="7" applyFont="1" applyFill="1" applyBorder="1" applyAlignment="1">
      <alignment horizontal="center" vertical="center" wrapText="1"/>
    </xf>
    <xf numFmtId="9" fontId="15" fillId="0" borderId="57" xfId="7" applyFont="1" applyFill="1" applyBorder="1" applyAlignment="1">
      <alignment horizontal="center" vertical="center" wrapText="1"/>
    </xf>
    <xf numFmtId="49" fontId="15" fillId="0" borderId="56" xfId="28" applyNumberFormat="1" applyFont="1" applyBorder="1" applyAlignment="1">
      <alignment horizontal="justify" vertical="center" wrapText="1"/>
    </xf>
    <xf numFmtId="49" fontId="15" fillId="0" borderId="57" xfId="28" applyNumberFormat="1" applyFont="1" applyBorder="1" applyAlignment="1">
      <alignment horizontal="justify" vertical="center" wrapText="1"/>
    </xf>
    <xf numFmtId="9" fontId="15" fillId="0" borderId="56" xfId="3" applyFont="1" applyBorder="1" applyAlignment="1">
      <alignment horizontal="center" vertical="center"/>
    </xf>
    <xf numFmtId="9" fontId="15" fillId="0" borderId="15" xfId="3" applyFont="1" applyBorder="1" applyAlignment="1">
      <alignment horizontal="center" vertical="center"/>
    </xf>
    <xf numFmtId="9" fontId="15" fillId="0" borderId="57" xfId="3" applyFont="1" applyBorder="1" applyAlignment="1">
      <alignment horizontal="center" vertical="center"/>
    </xf>
    <xf numFmtId="3" fontId="15" fillId="0" borderId="56" xfId="0" applyNumberFormat="1" applyFont="1" applyBorder="1" applyAlignment="1">
      <alignment horizontal="center" vertical="center"/>
    </xf>
    <xf numFmtId="3" fontId="15" fillId="0" borderId="56" xfId="0" applyNumberFormat="1" applyFont="1" applyBorder="1" applyAlignment="1">
      <alignment horizontal="center" vertical="center" wrapText="1"/>
    </xf>
    <xf numFmtId="14" fontId="15" fillId="0" borderId="56" xfId="0" applyNumberFormat="1" applyFont="1" applyBorder="1" applyAlignment="1">
      <alignment horizontal="center" vertical="center"/>
    </xf>
    <xf numFmtId="1" fontId="15" fillId="7" borderId="56" xfId="27" applyNumberFormat="1" applyFont="1" applyFill="1" applyBorder="1" applyAlignment="1">
      <alignment horizontal="center" vertical="center" wrapText="1"/>
    </xf>
    <xf numFmtId="1" fontId="15" fillId="7" borderId="15" xfId="27" applyNumberFormat="1" applyFont="1" applyFill="1" applyBorder="1" applyAlignment="1">
      <alignment horizontal="center" vertical="center" wrapText="1"/>
    </xf>
    <xf numFmtId="1" fontId="15" fillId="7" borderId="57" xfId="27" applyNumberFormat="1" applyFont="1" applyFill="1" applyBorder="1" applyAlignment="1">
      <alignment horizontal="center" vertical="center" wrapText="1"/>
    </xf>
    <xf numFmtId="43" fontId="15" fillId="0" borderId="56" xfId="1" applyFont="1" applyBorder="1" applyAlignment="1">
      <alignment horizontal="center" vertical="center"/>
    </xf>
    <xf numFmtId="43" fontId="15" fillId="0" borderId="15" xfId="1" applyFont="1" applyBorder="1" applyAlignment="1">
      <alignment horizontal="center" vertical="center"/>
    </xf>
    <xf numFmtId="43" fontId="15" fillId="0" borderId="57" xfId="1" applyFont="1" applyBorder="1" applyAlignment="1">
      <alignment horizontal="center" vertical="center"/>
    </xf>
    <xf numFmtId="1" fontId="15" fillId="7" borderId="75" xfId="27" applyNumberFormat="1" applyFont="1" applyFill="1" applyBorder="1" applyAlignment="1">
      <alignment horizontal="center" vertical="center" wrapText="1"/>
    </xf>
    <xf numFmtId="1" fontId="15" fillId="7" borderId="72" xfId="27" applyNumberFormat="1" applyFont="1" applyFill="1" applyBorder="1" applyAlignment="1">
      <alignment horizontal="center" vertical="center" wrapText="1"/>
    </xf>
    <xf numFmtId="1" fontId="15" fillId="7" borderId="73" xfId="27" applyNumberFormat="1" applyFont="1" applyFill="1" applyBorder="1" applyAlignment="1">
      <alignment horizontal="center" vertical="center" wrapText="1"/>
    </xf>
    <xf numFmtId="0" fontId="15" fillId="0" borderId="41" xfId="27" applyFont="1" applyBorder="1" applyAlignment="1">
      <alignment horizontal="center" vertical="center" wrapText="1"/>
    </xf>
    <xf numFmtId="0" fontId="15" fillId="0" borderId="31" xfId="27" applyFont="1" applyBorder="1" applyAlignment="1">
      <alignment horizontal="justify" vertical="center" wrapText="1"/>
    </xf>
    <xf numFmtId="0" fontId="15" fillId="0" borderId="52" xfId="27" applyFont="1" applyBorder="1" applyAlignment="1">
      <alignment horizontal="justify" vertical="center" wrapText="1"/>
    </xf>
    <xf numFmtId="0" fontId="15" fillId="0" borderId="17" xfId="27" applyFont="1" applyBorder="1" applyAlignment="1">
      <alignment horizontal="justify" vertical="center" wrapText="1"/>
    </xf>
    <xf numFmtId="0" fontId="15" fillId="0" borderId="59" xfId="27" applyFont="1" applyBorder="1" applyAlignment="1">
      <alignment horizontal="justify" vertical="center" wrapText="1"/>
    </xf>
    <xf numFmtId="14" fontId="15" fillId="7" borderId="96" xfId="27" applyNumberFormat="1" applyFont="1" applyFill="1" applyBorder="1" applyAlignment="1">
      <alignment horizontal="center" vertical="center" wrapText="1"/>
    </xf>
    <xf numFmtId="14" fontId="15" fillId="7" borderId="97" xfId="27" applyNumberFormat="1" applyFont="1" applyFill="1" applyBorder="1" applyAlignment="1">
      <alignment horizontal="center" vertical="center" wrapText="1"/>
    </xf>
    <xf numFmtId="14" fontId="15" fillId="7" borderId="102" xfId="27" applyNumberFormat="1" applyFont="1" applyFill="1" applyBorder="1" applyAlignment="1">
      <alignment horizontal="center" vertical="center" wrapText="1"/>
    </xf>
    <xf numFmtId="14" fontId="15" fillId="7" borderId="44" xfId="27" applyNumberFormat="1" applyFont="1" applyFill="1" applyBorder="1" applyAlignment="1">
      <alignment horizontal="center" vertical="center" wrapText="1"/>
    </xf>
    <xf numFmtId="168" fontId="15" fillId="7" borderId="44" xfId="27" applyNumberFormat="1" applyFont="1" applyFill="1" applyBorder="1" applyAlignment="1">
      <alignment horizontal="center" vertical="center" wrapText="1"/>
    </xf>
    <xf numFmtId="168" fontId="15" fillId="7" borderId="97" xfId="27" applyNumberFormat="1" applyFont="1" applyFill="1" applyBorder="1" applyAlignment="1">
      <alignment horizontal="center" vertical="center" wrapText="1"/>
    </xf>
    <xf numFmtId="168" fontId="15" fillId="7" borderId="102" xfId="27" applyNumberFormat="1" applyFont="1" applyFill="1" applyBorder="1" applyAlignment="1">
      <alignment horizontal="center" vertical="center" wrapText="1"/>
    </xf>
    <xf numFmtId="0" fontId="15" fillId="7" borderId="98" xfId="27" applyFont="1" applyFill="1" applyBorder="1" applyAlignment="1">
      <alignment horizontal="center" vertical="center" wrapText="1"/>
    </xf>
    <xf numFmtId="0" fontId="15" fillId="7" borderId="100" xfId="27" applyFont="1" applyFill="1" applyBorder="1" applyAlignment="1">
      <alignment horizontal="center" vertical="center" wrapText="1"/>
    </xf>
    <xf numFmtId="2" fontId="15" fillId="7" borderId="96" xfId="27" applyNumberFormat="1" applyFont="1" applyFill="1" applyBorder="1" applyAlignment="1">
      <alignment horizontal="center" vertical="center" wrapText="1"/>
    </xf>
    <xf numFmtId="2" fontId="15" fillId="7" borderId="99" xfId="27" applyNumberFormat="1" applyFont="1" applyFill="1" applyBorder="1" applyAlignment="1">
      <alignment horizontal="center" vertical="center" wrapText="1"/>
    </xf>
    <xf numFmtId="2" fontId="15" fillId="7" borderId="101" xfId="27" applyNumberFormat="1" applyFont="1" applyFill="1" applyBorder="1" applyAlignment="1">
      <alignment horizontal="center" vertical="center" wrapText="1"/>
    </xf>
    <xf numFmtId="9" fontId="15" fillId="7" borderId="96" xfId="3" applyFont="1" applyFill="1" applyBorder="1" applyAlignment="1">
      <alignment horizontal="center" vertical="center" wrapText="1"/>
    </xf>
    <xf numFmtId="9" fontId="15" fillId="7" borderId="97" xfId="3" applyFont="1" applyFill="1" applyBorder="1" applyAlignment="1">
      <alignment horizontal="center" vertical="center" wrapText="1"/>
    </xf>
    <xf numFmtId="9" fontId="15" fillId="7" borderId="102" xfId="3" applyFont="1" applyFill="1" applyBorder="1" applyAlignment="1">
      <alignment horizontal="center" vertical="center" wrapText="1"/>
    </xf>
    <xf numFmtId="0" fontId="15" fillId="7" borderId="96" xfId="27" applyFont="1" applyFill="1" applyBorder="1" applyAlignment="1">
      <alignment horizontal="center" vertical="center" wrapText="1"/>
    </xf>
    <xf numFmtId="0" fontId="15" fillId="7" borderId="97" xfId="27" applyFont="1" applyFill="1" applyBorder="1" applyAlignment="1">
      <alignment horizontal="center" vertical="center" wrapText="1"/>
    </xf>
    <xf numFmtId="0" fontId="15" fillId="7" borderId="102" xfId="27" applyFont="1" applyFill="1" applyBorder="1" applyAlignment="1">
      <alignment horizontal="center" vertical="center" wrapText="1"/>
    </xf>
    <xf numFmtId="168" fontId="15" fillId="7" borderId="96" xfId="27" applyNumberFormat="1" applyFont="1" applyFill="1" applyBorder="1" applyAlignment="1">
      <alignment horizontal="center" vertical="center" wrapText="1"/>
    </xf>
    <xf numFmtId="0" fontId="15" fillId="7" borderId="95" xfId="27" applyFont="1" applyFill="1" applyBorder="1" applyAlignment="1">
      <alignment horizontal="center" vertical="center" wrapText="1"/>
    </xf>
    <xf numFmtId="0" fontId="15" fillId="7" borderId="83" xfId="27" applyFont="1" applyFill="1" applyBorder="1" applyAlignment="1">
      <alignment horizontal="center" vertical="center" wrapText="1"/>
    </xf>
    <xf numFmtId="173" fontId="15" fillId="7" borderId="95" xfId="8" applyFont="1" applyFill="1" applyBorder="1" applyAlignment="1">
      <alignment horizontal="center" vertical="center" wrapText="1"/>
    </xf>
    <xf numFmtId="173" fontId="15" fillId="7" borderId="97" xfId="8" applyFont="1" applyFill="1" applyBorder="1" applyAlignment="1">
      <alignment horizontal="center" vertical="center" wrapText="1"/>
    </xf>
    <xf numFmtId="173" fontId="15" fillId="7" borderId="83" xfId="8" applyFont="1" applyFill="1" applyBorder="1" applyAlignment="1">
      <alignment horizontal="center" vertical="center" wrapText="1"/>
    </xf>
    <xf numFmtId="0" fontId="15" fillId="7" borderId="95" xfId="27" applyFont="1" applyFill="1" applyBorder="1" applyAlignment="1">
      <alignment horizontal="justify" vertical="center" wrapText="1"/>
    </xf>
    <xf numFmtId="0" fontId="15" fillId="7" borderId="97" xfId="27" applyFont="1" applyFill="1" applyBorder="1" applyAlignment="1">
      <alignment horizontal="justify" vertical="center" wrapText="1"/>
    </xf>
    <xf numFmtId="0" fontId="15" fillId="7" borderId="83" xfId="27" applyFont="1" applyFill="1" applyBorder="1" applyAlignment="1">
      <alignment horizontal="justify" vertical="center" wrapText="1"/>
    </xf>
    <xf numFmtId="0" fontId="15" fillId="7" borderId="44" xfId="27" applyFont="1" applyFill="1" applyBorder="1" applyAlignment="1">
      <alignment horizontal="justify" vertical="center" wrapText="1"/>
    </xf>
    <xf numFmtId="49" fontId="15" fillId="0" borderId="56" xfId="10" applyNumberFormat="1" applyFont="1" applyBorder="1" applyAlignment="1">
      <alignment horizontal="justify" vertical="center" wrapText="1"/>
    </xf>
    <xf numFmtId="49" fontId="15" fillId="0" borderId="15" xfId="10" applyNumberFormat="1" applyFont="1" applyBorder="1" applyAlignment="1">
      <alignment horizontal="justify" vertical="center" wrapText="1"/>
    </xf>
    <xf numFmtId="49" fontId="15" fillId="0" borderId="57" xfId="10" applyNumberFormat="1" applyFont="1" applyBorder="1" applyAlignment="1">
      <alignment horizontal="justify" vertical="center" wrapText="1"/>
    </xf>
    <xf numFmtId="49" fontId="15" fillId="0" borderId="94" xfId="10" applyNumberFormat="1" applyFont="1" applyBorder="1" applyAlignment="1">
      <alignment horizontal="justify" vertical="center" wrapText="1"/>
    </xf>
    <xf numFmtId="0" fontId="15" fillId="7" borderId="32" xfId="27" applyFont="1" applyFill="1" applyBorder="1" applyAlignment="1">
      <alignment horizontal="center" vertical="center" wrapText="1"/>
    </xf>
    <xf numFmtId="0" fontId="15" fillId="7" borderId="31" xfId="27" applyFont="1" applyFill="1" applyBorder="1" applyAlignment="1">
      <alignment horizontal="justify" vertical="center" wrapText="1"/>
    </xf>
    <xf numFmtId="3" fontId="15" fillId="0" borderId="52" xfId="0" applyNumberFormat="1" applyFont="1" applyBorder="1" applyAlignment="1">
      <alignment horizontal="center" vertical="center" wrapText="1"/>
    </xf>
    <xf numFmtId="3" fontId="15" fillId="0" borderId="17" xfId="0" applyNumberFormat="1" applyFont="1" applyBorder="1" applyAlignment="1">
      <alignment horizontal="center" vertical="center" wrapText="1"/>
    </xf>
    <xf numFmtId="3" fontId="15" fillId="0" borderId="52" xfId="0" applyNumberFormat="1" applyFont="1" applyBorder="1" applyAlignment="1">
      <alignment horizontal="center" vertical="center"/>
    </xf>
    <xf numFmtId="3" fontId="15" fillId="0" borderId="17" xfId="0" applyNumberFormat="1" applyFont="1" applyBorder="1" applyAlignment="1">
      <alignment horizontal="center" vertical="center"/>
    </xf>
    <xf numFmtId="14" fontId="15" fillId="0" borderId="52" xfId="0" applyNumberFormat="1" applyFont="1" applyBorder="1" applyAlignment="1">
      <alignment horizontal="center" vertical="center"/>
    </xf>
    <xf numFmtId="14" fontId="15" fillId="0" borderId="17" xfId="0" applyNumberFormat="1" applyFont="1" applyBorder="1" applyAlignment="1">
      <alignment horizontal="center" vertical="center"/>
    </xf>
    <xf numFmtId="9" fontId="15" fillId="0" borderId="52" xfId="3" applyFont="1" applyBorder="1" applyAlignment="1">
      <alignment horizontal="center" vertical="center"/>
    </xf>
    <xf numFmtId="9" fontId="15" fillId="0" borderId="17" xfId="3" applyFont="1" applyBorder="1" applyAlignment="1">
      <alignment horizontal="center" vertical="center"/>
    </xf>
    <xf numFmtId="0" fontId="15" fillId="7" borderId="79" xfId="27" applyFont="1" applyFill="1" applyBorder="1" applyAlignment="1">
      <alignment horizontal="justify" vertical="center" wrapText="1"/>
    </xf>
    <xf numFmtId="0" fontId="15" fillId="7" borderId="91" xfId="27" applyFont="1" applyFill="1" applyBorder="1" applyAlignment="1">
      <alignment horizontal="justify" vertical="center" wrapText="1"/>
    </xf>
    <xf numFmtId="49" fontId="15" fillId="7" borderId="80" xfId="10" applyNumberFormat="1" applyFont="1" applyFill="1" applyBorder="1" applyAlignment="1">
      <alignment horizontal="justify" vertical="center" wrapText="1"/>
    </xf>
    <xf numFmtId="49" fontId="15" fillId="7" borderId="92" xfId="10" applyNumberFormat="1" applyFont="1" applyFill="1" applyBorder="1" applyAlignment="1">
      <alignment horizontal="justify" vertical="center" wrapText="1"/>
    </xf>
    <xf numFmtId="49" fontId="15" fillId="7" borderId="82" xfId="10" applyNumberFormat="1" applyFont="1" applyFill="1" applyBorder="1" applyAlignment="1">
      <alignment horizontal="justify" vertical="center" wrapText="1"/>
    </xf>
    <xf numFmtId="49" fontId="15" fillId="7" borderId="85" xfId="10" applyNumberFormat="1" applyFont="1" applyFill="1" applyBorder="1" applyAlignment="1">
      <alignment horizontal="justify" vertical="center" wrapText="1"/>
    </xf>
    <xf numFmtId="49" fontId="15" fillId="7" borderId="93" xfId="10" applyNumberFormat="1" applyFont="1" applyFill="1" applyBorder="1" applyAlignment="1">
      <alignment horizontal="justify" vertical="center" wrapText="1"/>
    </xf>
    <xf numFmtId="49" fontId="15" fillId="7" borderId="56" xfId="10" applyNumberFormat="1" applyFont="1" applyFill="1" applyBorder="1" applyAlignment="1">
      <alignment horizontal="justify" vertical="center" wrapText="1"/>
    </xf>
    <xf numFmtId="49" fontId="15" fillId="7" borderId="15" xfId="10" applyNumberFormat="1" applyFont="1" applyFill="1" applyBorder="1" applyAlignment="1">
      <alignment horizontal="justify" vertical="center" wrapText="1"/>
    </xf>
    <xf numFmtId="49" fontId="15" fillId="7" borderId="57" xfId="10" applyNumberFormat="1" applyFont="1" applyFill="1" applyBorder="1" applyAlignment="1">
      <alignment horizontal="justify" vertical="center" wrapText="1"/>
    </xf>
    <xf numFmtId="49" fontId="15" fillId="0" borderId="50" xfId="10" applyNumberFormat="1" applyFont="1" applyBorder="1" applyAlignment="1">
      <alignment horizontal="justify" vertical="center" wrapText="1"/>
    </xf>
    <xf numFmtId="49" fontId="15" fillId="0" borderId="58" xfId="10" applyNumberFormat="1" applyFont="1" applyBorder="1" applyAlignment="1">
      <alignment horizontal="justify" vertical="center" wrapText="1"/>
    </xf>
    <xf numFmtId="2" fontId="15" fillId="0" borderId="56" xfId="0" applyNumberFormat="1" applyFont="1" applyBorder="1" applyAlignment="1">
      <alignment horizontal="center" vertical="center"/>
    </xf>
    <xf numFmtId="2" fontId="15" fillId="0" borderId="15" xfId="0" applyNumberFormat="1" applyFont="1" applyBorder="1" applyAlignment="1">
      <alignment horizontal="center" vertical="center"/>
    </xf>
    <xf numFmtId="2" fontId="15" fillId="0" borderId="57" xfId="0" applyNumberFormat="1" applyFont="1" applyBorder="1" applyAlignment="1">
      <alignment horizontal="center" vertical="center"/>
    </xf>
    <xf numFmtId="0" fontId="15" fillId="7" borderId="56" xfId="8" applyNumberFormat="1" applyFont="1" applyFill="1" applyBorder="1" applyAlignment="1">
      <alignment horizontal="center" vertical="center" wrapText="1"/>
    </xf>
    <xf numFmtId="0" fontId="15" fillId="7" borderId="15" xfId="8" applyNumberFormat="1" applyFont="1" applyFill="1" applyBorder="1" applyAlignment="1">
      <alignment horizontal="center" vertical="center" wrapText="1"/>
    </xf>
    <xf numFmtId="0" fontId="15" fillId="7" borderId="57" xfId="8" applyNumberFormat="1" applyFont="1" applyFill="1" applyBorder="1" applyAlignment="1">
      <alignment horizontal="center" vertical="center" wrapText="1"/>
    </xf>
    <xf numFmtId="14" fontId="15" fillId="7" borderId="56" xfId="8" applyNumberFormat="1" applyFont="1" applyFill="1" applyBorder="1" applyAlignment="1">
      <alignment horizontal="center" vertical="center" wrapText="1"/>
    </xf>
    <xf numFmtId="14" fontId="15" fillId="7" borderId="15" xfId="8" applyNumberFormat="1" applyFont="1" applyFill="1" applyBorder="1" applyAlignment="1">
      <alignment horizontal="center" vertical="center" wrapText="1"/>
    </xf>
    <xf numFmtId="14" fontId="15" fillId="7" borderId="57" xfId="8" applyNumberFormat="1" applyFont="1" applyFill="1" applyBorder="1" applyAlignment="1">
      <alignment horizontal="center" vertical="center" wrapText="1"/>
    </xf>
    <xf numFmtId="173" fontId="15" fillId="7" borderId="15" xfId="27" applyNumberFormat="1" applyFont="1" applyFill="1" applyBorder="1" applyAlignment="1">
      <alignment horizontal="center" vertical="center" wrapText="1"/>
    </xf>
    <xf numFmtId="0" fontId="15" fillId="0" borderId="50" xfId="27" applyFont="1" applyBorder="1" applyAlignment="1">
      <alignment horizontal="center"/>
    </xf>
    <xf numFmtId="0" fontId="15" fillId="0" borderId="55" xfId="27" applyFont="1" applyBorder="1" applyAlignment="1">
      <alignment horizontal="center"/>
    </xf>
    <xf numFmtId="0" fontId="15" fillId="0" borderId="52" xfId="27" applyFont="1" applyBorder="1" applyAlignment="1">
      <alignment horizontal="center"/>
    </xf>
    <xf numFmtId="0" fontId="7" fillId="3" borderId="0" xfId="0" applyFont="1" applyFill="1" applyAlignment="1">
      <alignment horizontal="center" vertical="center" wrapText="1"/>
    </xf>
    <xf numFmtId="0" fontId="17" fillId="3" borderId="56"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3" borderId="58"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59" xfId="0" applyFont="1" applyBorder="1" applyAlignment="1">
      <alignment horizontal="center" vertical="center" wrapText="1"/>
    </xf>
    <xf numFmtId="0" fontId="17" fillId="3" borderId="52" xfId="0" applyFont="1" applyFill="1" applyBorder="1" applyAlignment="1">
      <alignment horizontal="center" vertical="center" wrapText="1"/>
    </xf>
    <xf numFmtId="0" fontId="17" fillId="3" borderId="59" xfId="0" applyFont="1" applyFill="1" applyBorder="1" applyAlignment="1">
      <alignment horizontal="center" vertical="center" wrapText="1"/>
    </xf>
    <xf numFmtId="3" fontId="17" fillId="3" borderId="5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57"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168" fontId="5" fillId="3" borderId="6" xfId="0" applyNumberFormat="1" applyFont="1" applyFill="1" applyBorder="1" applyAlignment="1">
      <alignment horizontal="center" vertical="center" wrapText="1"/>
    </xf>
    <xf numFmtId="168" fontId="5" fillId="3" borderId="7" xfId="0" applyNumberFormat="1" applyFont="1" applyFill="1" applyBorder="1" applyAlignment="1">
      <alignment horizontal="center" vertical="center" wrapText="1"/>
    </xf>
    <xf numFmtId="168" fontId="5" fillId="3" borderId="13" xfId="0" applyNumberFormat="1" applyFont="1" applyFill="1" applyBorder="1" applyAlignment="1">
      <alignment horizontal="center" vertical="center" wrapText="1"/>
    </xf>
    <xf numFmtId="168" fontId="5" fillId="3" borderId="14" xfId="0" applyNumberFormat="1"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8" xfId="0" applyFont="1" applyFill="1" applyBorder="1" applyAlignment="1">
      <alignment horizontal="center" vertical="center" wrapText="1"/>
    </xf>
    <xf numFmtId="167" fontId="5" fillId="3" borderId="10" xfId="4" applyFont="1" applyFill="1" applyBorder="1" applyAlignment="1">
      <alignment horizontal="center" vertical="center"/>
    </xf>
    <xf numFmtId="167" fontId="5" fillId="3" borderId="11" xfId="4" applyFont="1" applyFill="1" applyBorder="1" applyAlignment="1">
      <alignment horizontal="center" vertical="center"/>
    </xf>
    <xf numFmtId="167" fontId="5" fillId="3" borderId="12" xfId="4" applyFont="1" applyFill="1" applyBorder="1" applyAlignment="1">
      <alignment horizontal="center" vertical="center"/>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8" xfId="0" applyFont="1" applyFill="1" applyBorder="1" applyAlignment="1">
      <alignment horizontal="center" vertical="center" wrapText="1"/>
    </xf>
    <xf numFmtId="41" fontId="3" fillId="0" borderId="8" xfId="2" applyFont="1" applyFill="1" applyBorder="1" applyAlignment="1">
      <alignment horizontal="justify" vertical="center" wrapText="1"/>
    </xf>
    <xf numFmtId="41" fontId="3" fillId="0" borderId="18" xfId="2" applyFont="1" applyFill="1" applyBorder="1" applyAlignment="1">
      <alignment horizontal="justify" vertical="center" wrapText="1"/>
    </xf>
    <xf numFmtId="3" fontId="14" fillId="0" borderId="8" xfId="0" applyNumberFormat="1" applyFont="1" applyFill="1" applyBorder="1" applyAlignment="1">
      <alignment horizontal="justify" vertical="center" wrapText="1"/>
    </xf>
    <xf numFmtId="3" fontId="14" fillId="0" borderId="18" xfId="0" applyNumberFormat="1" applyFont="1" applyFill="1" applyBorder="1" applyAlignment="1">
      <alignment horizontal="justify" vertical="center" wrapText="1"/>
    </xf>
    <xf numFmtId="0" fontId="14" fillId="0" borderId="8" xfId="0" applyFont="1" applyFill="1" applyBorder="1" applyAlignment="1">
      <alignment horizontal="justify" vertical="center" wrapText="1"/>
    </xf>
    <xf numFmtId="0" fontId="14" fillId="0" borderId="18" xfId="0" applyFont="1" applyFill="1" applyBorder="1" applyAlignment="1">
      <alignment horizontal="justify" vertical="center" wrapText="1"/>
    </xf>
    <xf numFmtId="41" fontId="3" fillId="0" borderId="8" xfId="2"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8" xfId="0" applyFont="1" applyFill="1" applyBorder="1" applyAlignment="1">
      <alignment horizontal="center" vertical="center" wrapText="1"/>
    </xf>
    <xf numFmtId="41" fontId="15" fillId="0" borderId="8" xfId="2" applyFont="1" applyFill="1" applyBorder="1" applyAlignment="1">
      <alignment horizontal="center" vertical="center" wrapText="1"/>
    </xf>
    <xf numFmtId="41" fontId="15" fillId="0" borderId="18" xfId="2" applyFont="1" applyFill="1" applyBorder="1" applyAlignment="1">
      <alignment horizontal="center" vertical="center" wrapText="1"/>
    </xf>
    <xf numFmtId="3" fontId="3" fillId="0" borderId="8" xfId="1" applyNumberFormat="1" applyFont="1" applyFill="1" applyBorder="1" applyAlignment="1">
      <alignment horizontal="center" vertical="center" wrapText="1"/>
    </xf>
    <xf numFmtId="3" fontId="3" fillId="0" borderId="18" xfId="1" applyNumberFormat="1" applyFont="1" applyFill="1" applyBorder="1" applyAlignment="1">
      <alignment horizontal="center" vertical="center" wrapText="1"/>
    </xf>
    <xf numFmtId="3" fontId="12" fillId="0" borderId="8"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9" fontId="3" fillId="0" borderId="8" xfId="3" applyFont="1" applyFill="1" applyBorder="1" applyAlignment="1">
      <alignment horizontal="center" vertical="center" wrapText="1"/>
    </xf>
    <xf numFmtId="3" fontId="16" fillId="0" borderId="8" xfId="0" applyNumberFormat="1" applyFont="1" applyBorder="1" applyAlignment="1">
      <alignment horizontal="center" vertical="center"/>
    </xf>
    <xf numFmtId="3" fontId="16" fillId="0" borderId="18" xfId="0" applyNumberFormat="1" applyFont="1" applyBorder="1" applyAlignment="1">
      <alignment horizontal="center" vertical="center"/>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41" fontId="3" fillId="0" borderId="15" xfId="2" applyFont="1" applyFill="1" applyBorder="1" applyAlignment="1">
      <alignment horizontal="justify" vertical="center" wrapText="1"/>
    </xf>
    <xf numFmtId="0" fontId="14" fillId="0" borderId="8" xfId="0" applyFont="1" applyBorder="1" applyAlignment="1">
      <alignment horizontal="justify" vertical="center" wrapText="1" readingOrder="2"/>
    </xf>
    <xf numFmtId="0" fontId="14" fillId="0" borderId="18" xfId="0" applyFont="1" applyBorder="1" applyAlignment="1">
      <alignment horizontal="justify" vertical="center" wrapText="1" readingOrder="2"/>
    </xf>
    <xf numFmtId="41" fontId="3" fillId="0" borderId="19" xfId="2" applyFont="1" applyFill="1" applyBorder="1" applyAlignment="1">
      <alignment horizontal="center" vertical="center" wrapText="1"/>
    </xf>
    <xf numFmtId="3" fontId="12" fillId="0" borderId="15" xfId="0" applyNumberFormat="1" applyFont="1" applyBorder="1" applyAlignment="1">
      <alignment horizontal="center" vertical="center" wrapText="1"/>
    </xf>
    <xf numFmtId="2" fontId="3" fillId="0" borderId="8" xfId="0" applyNumberFormat="1" applyFont="1" applyFill="1" applyBorder="1" applyAlignment="1">
      <alignment horizontal="center" vertical="center"/>
    </xf>
    <xf numFmtId="2" fontId="3" fillId="0" borderId="15" xfId="0" applyNumberFormat="1" applyFont="1" applyFill="1" applyBorder="1" applyAlignment="1">
      <alignment horizontal="center" vertical="center"/>
    </xf>
    <xf numFmtId="2" fontId="3" fillId="0" borderId="18" xfId="0" applyNumberFormat="1" applyFont="1" applyFill="1" applyBorder="1" applyAlignment="1">
      <alignment horizontal="center" vertical="center"/>
    </xf>
    <xf numFmtId="3" fontId="3" fillId="0" borderId="15" xfId="1" applyNumberFormat="1" applyFont="1" applyFill="1" applyBorder="1" applyAlignment="1">
      <alignment horizontal="center" vertical="center" wrapText="1"/>
    </xf>
    <xf numFmtId="3" fontId="3" fillId="0" borderId="19" xfId="1"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9" fontId="15" fillId="0" borderId="19" xfId="3" applyFont="1" applyFill="1" applyBorder="1" applyAlignment="1">
      <alignment horizontal="center" vertical="center" wrapText="1"/>
    </xf>
    <xf numFmtId="0" fontId="25" fillId="3" borderId="50" xfId="0" applyFont="1" applyFill="1" applyBorder="1" applyAlignment="1">
      <alignment horizontal="center" vertical="center" wrapText="1"/>
    </xf>
    <xf numFmtId="0" fontId="25" fillId="3" borderId="58" xfId="0" applyFont="1" applyFill="1" applyBorder="1" applyAlignment="1">
      <alignment horizontal="center" vertical="center" wrapText="1"/>
    </xf>
    <xf numFmtId="0" fontId="25" fillId="3" borderId="59"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59" xfId="0" applyFont="1" applyBorder="1" applyAlignment="1">
      <alignment horizontal="center" vertical="center" wrapText="1"/>
    </xf>
    <xf numFmtId="0" fontId="25" fillId="0" borderId="77" xfId="0" applyFont="1" applyBorder="1" applyAlignment="1">
      <alignment horizontal="center" vertical="center"/>
    </xf>
    <xf numFmtId="0" fontId="25" fillId="0" borderId="52" xfId="0" applyFont="1" applyBorder="1" applyAlignment="1">
      <alignment horizontal="center" vertical="center"/>
    </xf>
    <xf numFmtId="0" fontId="25" fillId="0" borderId="59" xfId="0" applyFont="1" applyBorder="1" applyAlignment="1">
      <alignment horizontal="center" vertical="center"/>
    </xf>
    <xf numFmtId="0" fontId="25" fillId="0" borderId="66" xfId="0" applyFont="1" applyBorder="1" applyAlignment="1">
      <alignment horizontal="center" vertical="center"/>
    </xf>
    <xf numFmtId="0" fontId="25" fillId="3" borderId="67" xfId="0" applyFont="1" applyFill="1" applyBorder="1" applyAlignment="1">
      <alignment horizontal="center" vertical="center" wrapText="1"/>
    </xf>
    <xf numFmtId="0" fontId="25" fillId="3" borderId="1" xfId="0" applyFont="1" applyFill="1" applyBorder="1" applyAlignment="1">
      <alignment horizontal="center" vertical="center" textRotation="90" wrapText="1"/>
    </xf>
    <xf numFmtId="49" fontId="25" fillId="3" borderId="1" xfId="0" applyNumberFormat="1" applyFont="1" applyFill="1" applyBorder="1" applyAlignment="1">
      <alignment horizontal="center" vertical="center" textRotation="90" wrapText="1"/>
    </xf>
    <xf numFmtId="0" fontId="25" fillId="3" borderId="3" xfId="0" applyFont="1" applyFill="1" applyBorder="1" applyAlignment="1">
      <alignment horizontal="center" vertical="center" textRotation="90" wrapText="1"/>
    </xf>
    <xf numFmtId="0" fontId="25" fillId="3" borderId="5" xfId="0" applyFont="1" applyFill="1" applyBorder="1" applyAlignment="1">
      <alignment horizontal="center" vertical="center" textRotation="90"/>
    </xf>
    <xf numFmtId="0" fontId="25" fillId="3" borderId="1" xfId="0" applyFont="1" applyFill="1" applyBorder="1" applyAlignment="1">
      <alignment horizontal="center" vertical="center" textRotation="90"/>
    </xf>
    <xf numFmtId="0" fontId="25" fillId="3" borderId="5" xfId="0" applyFont="1" applyFill="1" applyBorder="1" applyAlignment="1">
      <alignment horizontal="center" vertical="center" textRotation="90" wrapText="1"/>
    </xf>
    <xf numFmtId="168" fontId="25" fillId="3" borderId="50" xfId="0" applyNumberFormat="1" applyFont="1" applyFill="1" applyBorder="1" applyAlignment="1">
      <alignment horizontal="center" vertical="center" wrapText="1"/>
    </xf>
    <xf numFmtId="168" fontId="25" fillId="3" borderId="52" xfId="0" applyNumberFormat="1" applyFont="1" applyFill="1" applyBorder="1" applyAlignment="1">
      <alignment horizontal="center" vertical="center" wrapText="1"/>
    </xf>
    <xf numFmtId="168" fontId="25" fillId="3" borderId="58" xfId="0" applyNumberFormat="1" applyFont="1" applyFill="1" applyBorder="1" applyAlignment="1">
      <alignment horizontal="center" vertical="center" wrapText="1"/>
    </xf>
    <xf numFmtId="168" fontId="25" fillId="3" borderId="59" xfId="0" applyNumberFormat="1" applyFont="1" applyFill="1" applyBorder="1" applyAlignment="1">
      <alignment horizontal="center" vertical="center" wrapText="1"/>
    </xf>
    <xf numFmtId="3" fontId="25" fillId="4" borderId="3" xfId="0" applyNumberFormat="1" applyFont="1" applyFill="1" applyBorder="1" applyAlignment="1">
      <alignment horizontal="center" vertical="center" wrapText="1"/>
    </xf>
    <xf numFmtId="3" fontId="25" fillId="4" borderId="4" xfId="0" applyNumberFormat="1" applyFont="1" applyFill="1" applyBorder="1" applyAlignment="1">
      <alignment horizontal="center" vertical="center" wrapText="1"/>
    </xf>
    <xf numFmtId="3" fontId="25" fillId="4" borderId="5" xfId="0" applyNumberFormat="1"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56" xfId="0" applyFont="1" applyFill="1" applyBorder="1" applyAlignment="1">
      <alignment horizontal="center" vertical="center" wrapText="1"/>
    </xf>
    <xf numFmtId="0" fontId="25" fillId="5" borderId="57" xfId="0" applyFont="1" applyFill="1" applyBorder="1" applyAlignment="1">
      <alignment horizontal="center" vertical="center" wrapText="1"/>
    </xf>
    <xf numFmtId="3" fontId="25" fillId="5" borderId="1" xfId="0" applyNumberFormat="1" applyFont="1" applyFill="1" applyBorder="1" applyAlignment="1">
      <alignment horizontal="center" vertical="center" wrapText="1"/>
    </xf>
    <xf numFmtId="9" fontId="25" fillId="5" borderId="1" xfId="3" applyFont="1" applyFill="1" applyBorder="1" applyAlignment="1">
      <alignment horizontal="center" vertical="center" wrapText="1"/>
    </xf>
    <xf numFmtId="0" fontId="25" fillId="4" borderId="3"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50" xfId="0" applyFont="1" applyFill="1" applyBorder="1" applyAlignment="1">
      <alignment horizontal="center" vertical="center" textRotation="90" wrapText="1"/>
    </xf>
    <xf numFmtId="0" fontId="25" fillId="4" borderId="52" xfId="0" applyFont="1" applyFill="1" applyBorder="1" applyAlignment="1">
      <alignment horizontal="center" vertical="center" textRotation="90" wrapText="1"/>
    </xf>
    <xf numFmtId="0" fontId="25" fillId="4" borderId="58" xfId="0" applyFont="1" applyFill="1" applyBorder="1" applyAlignment="1">
      <alignment horizontal="center" vertical="center" textRotation="90" wrapText="1"/>
    </xf>
    <xf numFmtId="0" fontId="25" fillId="4" borderId="59" xfId="0" applyFont="1" applyFill="1" applyBorder="1" applyAlignment="1">
      <alignment horizontal="center" vertical="center" textRotation="90" wrapText="1"/>
    </xf>
    <xf numFmtId="167" fontId="25" fillId="3" borderId="10" xfId="4" applyFont="1" applyFill="1" applyBorder="1" applyAlignment="1">
      <alignment horizontal="center" vertical="center"/>
    </xf>
    <xf numFmtId="167" fontId="25" fillId="3" borderId="11" xfId="4" applyFont="1" applyFill="1" applyBorder="1" applyAlignment="1">
      <alignment horizontal="center" vertical="center"/>
    </xf>
    <xf numFmtId="167" fontId="25" fillId="3" borderId="12" xfId="4" applyFont="1" applyFill="1" applyBorder="1" applyAlignment="1">
      <alignment horizontal="center" vertical="center"/>
    </xf>
    <xf numFmtId="9" fontId="15" fillId="0" borderId="56" xfId="0" applyNumberFormat="1" applyFont="1" applyBorder="1" applyAlignment="1">
      <alignment horizontal="center" vertical="center" wrapText="1"/>
    </xf>
    <xf numFmtId="0" fontId="25" fillId="3" borderId="55"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17" xfId="0" applyFont="1" applyFill="1" applyBorder="1" applyAlignment="1">
      <alignment horizontal="center" vertical="center" wrapText="1"/>
    </xf>
    <xf numFmtId="0" fontId="25" fillId="3" borderId="56"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57" xfId="0" applyFont="1" applyFill="1" applyBorder="1" applyAlignment="1">
      <alignment horizontal="center" vertical="center" wrapText="1"/>
    </xf>
    <xf numFmtId="1" fontId="15" fillId="7" borderId="1" xfId="0" applyNumberFormat="1" applyFont="1" applyFill="1" applyBorder="1" applyAlignment="1">
      <alignment horizontal="center" vertical="center" wrapText="1"/>
    </xf>
    <xf numFmtId="169" fontId="15" fillId="7" borderId="56" xfId="0" applyNumberFormat="1" applyFont="1" applyFill="1" applyBorder="1" applyAlignment="1">
      <alignment horizontal="center" vertical="center" wrapText="1"/>
    </xf>
    <xf numFmtId="169" fontId="15" fillId="7" borderId="15" xfId="0" applyNumberFormat="1" applyFont="1" applyFill="1" applyBorder="1" applyAlignment="1">
      <alignment horizontal="center" vertical="center" wrapText="1"/>
    </xf>
    <xf numFmtId="169" fontId="15" fillId="7" borderId="57" xfId="0" applyNumberFormat="1" applyFont="1" applyFill="1" applyBorder="1" applyAlignment="1">
      <alignment horizontal="center" vertical="center" wrapText="1"/>
    </xf>
    <xf numFmtId="3" fontId="15" fillId="7" borderId="56" xfId="0" applyNumberFormat="1" applyFont="1" applyFill="1" applyBorder="1" applyAlignment="1">
      <alignment horizontal="justify" vertical="center" wrapText="1"/>
    </xf>
    <xf numFmtId="3" fontId="15" fillId="7" borderId="15" xfId="0" applyNumberFormat="1" applyFont="1" applyFill="1" applyBorder="1" applyAlignment="1">
      <alignment horizontal="justify" vertical="center" wrapText="1"/>
    </xf>
    <xf numFmtId="3" fontId="15" fillId="7" borderId="57" xfId="0" applyNumberFormat="1" applyFont="1" applyFill="1" applyBorder="1" applyAlignment="1">
      <alignment horizontal="justify" vertical="center" wrapText="1"/>
    </xf>
    <xf numFmtId="0" fontId="15" fillId="0" borderId="56" xfId="0" applyFont="1" applyBorder="1" applyAlignment="1">
      <alignment horizontal="left" vertical="center" wrapText="1"/>
    </xf>
    <xf numFmtId="0" fontId="15" fillId="0" borderId="57" xfId="0" applyFont="1" applyBorder="1" applyAlignment="1">
      <alignment horizontal="left" vertical="center" wrapText="1"/>
    </xf>
    <xf numFmtId="172" fontId="15" fillId="7" borderId="56" xfId="0" applyNumberFormat="1" applyFont="1" applyFill="1" applyBorder="1" applyAlignment="1">
      <alignment horizontal="center" vertical="center" wrapText="1"/>
    </xf>
    <xf numFmtId="172" fontId="15" fillId="7" borderId="15" xfId="0" applyNumberFormat="1" applyFont="1" applyFill="1" applyBorder="1" applyAlignment="1">
      <alignment horizontal="center" vertical="center" wrapText="1"/>
    </xf>
    <xf numFmtId="172" fontId="15" fillId="7" borderId="57" xfId="0" applyNumberFormat="1" applyFont="1" applyFill="1" applyBorder="1" applyAlignment="1">
      <alignment horizontal="center" vertical="center" wrapText="1"/>
    </xf>
    <xf numFmtId="3" fontId="15" fillId="7" borderId="52" xfId="0" applyNumberFormat="1" applyFont="1" applyFill="1" applyBorder="1" applyAlignment="1">
      <alignment horizontal="center" vertical="center" wrapText="1"/>
    </xf>
    <xf numFmtId="3" fontId="15" fillId="7" borderId="17" xfId="0" applyNumberFormat="1" applyFont="1" applyFill="1" applyBorder="1" applyAlignment="1">
      <alignment horizontal="center" vertical="center" wrapText="1"/>
    </xf>
    <xf numFmtId="3" fontId="15" fillId="7" borderId="59" xfId="0" applyNumberFormat="1" applyFont="1" applyFill="1" applyBorder="1" applyAlignment="1">
      <alignment horizontal="center" vertical="center" wrapText="1"/>
    </xf>
    <xf numFmtId="3" fontId="15" fillId="7" borderId="56" xfId="0" applyNumberFormat="1" applyFont="1" applyFill="1" applyBorder="1" applyAlignment="1">
      <alignment horizontal="center" vertical="center" wrapText="1"/>
    </xf>
    <xf numFmtId="3" fontId="15" fillId="7" borderId="57" xfId="0" applyNumberFormat="1" applyFont="1" applyFill="1" applyBorder="1" applyAlignment="1">
      <alignment horizontal="center" vertical="center" wrapText="1"/>
    </xf>
    <xf numFmtId="1" fontId="15" fillId="7" borderId="56" xfId="0" applyNumberFormat="1" applyFont="1" applyFill="1" applyBorder="1" applyAlignment="1">
      <alignment horizontal="center" vertical="center" wrapText="1"/>
    </xf>
    <xf numFmtId="1" fontId="15" fillId="7" borderId="57" xfId="0" applyNumberFormat="1" applyFont="1" applyFill="1" applyBorder="1" applyAlignment="1">
      <alignment horizontal="center" vertical="center" wrapText="1"/>
    </xf>
    <xf numFmtId="0" fontId="15" fillId="7" borderId="1" xfId="0" applyFont="1" applyFill="1" applyBorder="1" applyAlignment="1">
      <alignment horizontal="center"/>
    </xf>
    <xf numFmtId="1" fontId="15" fillId="7" borderId="1" xfId="0" applyNumberFormat="1" applyFont="1" applyFill="1" applyBorder="1" applyAlignment="1">
      <alignment horizontal="center"/>
    </xf>
    <xf numFmtId="0" fontId="15" fillId="0" borderId="1" xfId="0" applyFont="1" applyBorder="1" applyAlignment="1">
      <alignment horizontal="center" vertical="center" wrapText="1"/>
    </xf>
    <xf numFmtId="172" fontId="15" fillId="7" borderId="1" xfId="0" applyNumberFormat="1" applyFont="1" applyFill="1" applyBorder="1" applyAlignment="1">
      <alignment horizontal="center" vertical="center" wrapText="1"/>
    </xf>
    <xf numFmtId="3" fontId="15" fillId="7" borderId="1" xfId="0" applyNumberFormat="1" applyFont="1" applyFill="1" applyBorder="1" applyAlignment="1">
      <alignment horizontal="justify" vertical="center" wrapText="1"/>
    </xf>
    <xf numFmtId="169" fontId="15" fillId="7" borderId="1" xfId="0" applyNumberFormat="1" applyFont="1" applyFill="1" applyBorder="1" applyAlignment="1">
      <alignment horizontal="center" vertical="center" wrapText="1"/>
    </xf>
    <xf numFmtId="0" fontId="15" fillId="7" borderId="50" xfId="0" applyFont="1" applyFill="1" applyBorder="1" applyAlignment="1">
      <alignment horizontal="center"/>
    </xf>
    <xf numFmtId="0" fontId="15" fillId="7" borderId="16" xfId="0" applyFont="1" applyFill="1" applyBorder="1" applyAlignment="1">
      <alignment horizontal="center"/>
    </xf>
    <xf numFmtId="172" fontId="15" fillId="7" borderId="56" xfId="0" applyNumberFormat="1" applyFont="1" applyFill="1" applyBorder="1" applyAlignment="1">
      <alignment horizontal="justify" vertical="center" wrapText="1"/>
    </xf>
    <xf numFmtId="172" fontId="15" fillId="7" borderId="15" xfId="0" applyNumberFormat="1" applyFont="1" applyFill="1" applyBorder="1" applyAlignment="1">
      <alignment horizontal="justify" vertical="center" wrapText="1"/>
    </xf>
    <xf numFmtId="0" fontId="15" fillId="0" borderId="56" xfId="0" applyFont="1" applyBorder="1" applyAlignment="1">
      <alignment horizontal="center" vertical="center" wrapText="1"/>
    </xf>
    <xf numFmtId="0" fontId="15" fillId="0" borderId="1" xfId="0" applyFont="1" applyBorder="1" applyAlignment="1">
      <alignment horizontal="center" vertical="top" wrapText="1"/>
    </xf>
    <xf numFmtId="0" fontId="15" fillId="7" borderId="50" xfId="0" applyFont="1" applyFill="1" applyBorder="1" applyAlignment="1">
      <alignment horizontal="center" vertical="center" wrapText="1"/>
    </xf>
    <xf numFmtId="1" fontId="17" fillId="7" borderId="50" xfId="0" applyNumberFormat="1" applyFont="1" applyFill="1" applyBorder="1" applyAlignment="1">
      <alignment horizontal="center" vertical="center" wrapText="1"/>
    </xf>
    <xf numFmtId="1" fontId="17" fillId="7" borderId="55" xfId="0" applyNumberFormat="1" applyFont="1" applyFill="1" applyBorder="1" applyAlignment="1">
      <alignment horizontal="center" vertical="center" wrapText="1"/>
    </xf>
    <xf numFmtId="1" fontId="17" fillId="7" borderId="16" xfId="0" applyNumberFormat="1" applyFont="1" applyFill="1" applyBorder="1" applyAlignment="1">
      <alignment horizontal="center" vertical="center" wrapText="1"/>
    </xf>
    <xf numFmtId="1" fontId="17" fillId="7" borderId="0" xfId="0" applyNumberFormat="1" applyFont="1" applyFill="1" applyBorder="1" applyAlignment="1">
      <alignment horizontal="center" vertical="center" wrapText="1"/>
    </xf>
    <xf numFmtId="0" fontId="15" fillId="7" borderId="55" xfId="0" applyFont="1" applyFill="1" applyBorder="1" applyAlignment="1">
      <alignment horizontal="center" vertical="center" wrapText="1"/>
    </xf>
    <xf numFmtId="0" fontId="15" fillId="7" borderId="53" xfId="0" applyFont="1" applyFill="1" applyBorder="1" applyAlignment="1">
      <alignment horizontal="center" vertical="center" wrapText="1"/>
    </xf>
    <xf numFmtId="3" fontId="15" fillId="7" borderId="1" xfId="0" applyNumberFormat="1" applyFont="1" applyFill="1" applyBorder="1" applyAlignment="1">
      <alignment horizontal="center" vertical="center" wrapText="1"/>
    </xf>
    <xf numFmtId="0" fontId="15" fillId="7" borderId="19" xfId="0" applyFont="1" applyFill="1" applyBorder="1" applyAlignment="1">
      <alignment horizontal="justify" vertical="center" wrapText="1"/>
    </xf>
    <xf numFmtId="169" fontId="15" fillId="7" borderId="19" xfId="0" applyNumberFormat="1" applyFont="1" applyFill="1" applyBorder="1" applyAlignment="1">
      <alignment horizontal="center" vertical="center" wrapText="1"/>
    </xf>
    <xf numFmtId="173" fontId="24" fillId="7" borderId="56" xfId="8" applyFont="1" applyFill="1" applyBorder="1" applyAlignment="1">
      <alignment horizontal="center" vertical="center" wrapText="1"/>
    </xf>
    <xf numFmtId="173" fontId="24" fillId="7" borderId="57" xfId="8" applyFont="1" applyFill="1" applyBorder="1" applyAlignment="1">
      <alignment horizontal="center" vertical="center" wrapText="1"/>
    </xf>
    <xf numFmtId="0" fontId="15" fillId="0" borderId="56" xfId="0" applyFont="1" applyBorder="1" applyAlignment="1">
      <alignment horizontal="justify" vertical="center" wrapText="1"/>
    </xf>
    <xf numFmtId="0" fontId="15" fillId="7" borderId="56" xfId="0" applyFont="1" applyFill="1" applyBorder="1" applyAlignment="1">
      <alignment horizontal="justify" vertical="top" wrapText="1"/>
    </xf>
    <xf numFmtId="0" fontId="15" fillId="7" borderId="19" xfId="0" applyFont="1" applyFill="1" applyBorder="1" applyAlignment="1">
      <alignment horizontal="justify" vertical="top" wrapText="1"/>
    </xf>
    <xf numFmtId="9" fontId="15" fillId="7" borderId="19" xfId="0" applyNumberFormat="1" applyFont="1" applyFill="1" applyBorder="1" applyAlignment="1">
      <alignment horizontal="center" vertical="center" wrapText="1"/>
    </xf>
    <xf numFmtId="0" fontId="51" fillId="0" borderId="0" xfId="0" applyFont="1" applyAlignment="1">
      <alignment horizontal="center" vertical="top" wrapText="1"/>
    </xf>
    <xf numFmtId="0" fontId="30" fillId="0" borderId="0" xfId="0" applyFont="1" applyBorder="1" applyAlignment="1">
      <alignment horizontal="center" vertical="top" wrapText="1"/>
    </xf>
    <xf numFmtId="186" fontId="15" fillId="7" borderId="56" xfId="8" applyNumberFormat="1" applyFont="1" applyFill="1" applyBorder="1" applyAlignment="1">
      <alignment horizontal="center" vertical="center" wrapText="1"/>
    </xf>
    <xf numFmtId="186" fontId="15" fillId="7" borderId="15" xfId="8" applyNumberFormat="1"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15" xfId="0" applyFont="1" applyFill="1" applyBorder="1" applyAlignment="1">
      <alignment horizontal="center" vertical="center" wrapText="1"/>
    </xf>
    <xf numFmtId="0" fontId="17" fillId="14" borderId="18" xfId="0" applyFont="1" applyFill="1" applyBorder="1" applyAlignment="1">
      <alignment horizontal="center" vertical="center" wrapText="1"/>
    </xf>
    <xf numFmtId="0" fontId="17" fillId="14" borderId="8" xfId="0" applyFont="1" applyFill="1" applyBorder="1" applyAlignment="1">
      <alignment horizontal="justify" vertical="center"/>
    </xf>
    <xf numFmtId="0" fontId="17" fillId="14" borderId="15" xfId="0" applyFont="1" applyFill="1" applyBorder="1" applyAlignment="1">
      <alignment horizontal="justify" vertical="center"/>
    </xf>
    <xf numFmtId="0" fontId="17" fillId="14" borderId="18" xfId="0" applyFont="1" applyFill="1" applyBorder="1" applyAlignment="1">
      <alignment horizontal="justify" vertical="center"/>
    </xf>
    <xf numFmtId="0" fontId="17" fillId="0" borderId="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5" xfId="0" applyFont="1" applyBorder="1" applyAlignment="1">
      <alignment horizontal="center" vertical="center"/>
    </xf>
    <xf numFmtId="0" fontId="17" fillId="0" borderId="30" xfId="0" applyFont="1" applyBorder="1" applyAlignment="1">
      <alignment horizontal="center" vertical="center"/>
    </xf>
    <xf numFmtId="0" fontId="17" fillId="0" borderId="13" xfId="0" applyFont="1" applyBorder="1" applyAlignment="1">
      <alignment horizontal="center" vertical="center"/>
    </xf>
    <xf numFmtId="0" fontId="17" fillId="0" borderId="2" xfId="0" applyFont="1" applyBorder="1" applyAlignment="1">
      <alignment horizontal="center" vertical="center"/>
    </xf>
    <xf numFmtId="0" fontId="17" fillId="0" borderId="14" xfId="0" applyFont="1" applyBorder="1" applyAlignment="1">
      <alignment horizontal="center" vertical="center"/>
    </xf>
    <xf numFmtId="0" fontId="17" fillId="0" borderId="3" xfId="0" applyFont="1" applyBorder="1" applyAlignment="1">
      <alignment horizontal="justify" vertical="center"/>
    </xf>
    <xf numFmtId="0" fontId="17" fillId="0" borderId="4" xfId="0" applyFont="1" applyBorder="1" applyAlignment="1">
      <alignment horizontal="justify" vertical="center"/>
    </xf>
    <xf numFmtId="0" fontId="17" fillId="0" borderId="5" xfId="0" applyFont="1" applyBorder="1" applyAlignment="1">
      <alignment horizontal="justify" vertical="center"/>
    </xf>
    <xf numFmtId="14" fontId="17" fillId="14" borderId="29" xfId="0" applyNumberFormat="1" applyFont="1" applyFill="1" applyBorder="1" applyAlignment="1">
      <alignment horizontal="center" vertical="center" wrapText="1"/>
    </xf>
    <xf numFmtId="14" fontId="17" fillId="14" borderId="30" xfId="0" applyNumberFormat="1" applyFont="1" applyFill="1" applyBorder="1" applyAlignment="1">
      <alignment horizontal="center" vertical="center" wrapText="1"/>
    </xf>
    <xf numFmtId="14" fontId="17" fillId="14" borderId="16" xfId="0" applyNumberFormat="1" applyFont="1" applyFill="1" applyBorder="1" applyAlignment="1">
      <alignment horizontal="center" vertical="center" wrapText="1"/>
    </xf>
    <xf numFmtId="14" fontId="17" fillId="14" borderId="17" xfId="0" applyNumberFormat="1" applyFont="1" applyFill="1" applyBorder="1" applyAlignment="1">
      <alignment horizontal="center" vertical="center" wrapText="1"/>
    </xf>
    <xf numFmtId="14" fontId="17" fillId="14" borderId="13" xfId="0" applyNumberFormat="1" applyFont="1" applyFill="1" applyBorder="1" applyAlignment="1">
      <alignment horizontal="center" vertical="center" wrapText="1"/>
    </xf>
    <xf numFmtId="14" fontId="17" fillId="14" borderId="14" xfId="0" applyNumberFormat="1" applyFont="1" applyFill="1" applyBorder="1" applyAlignment="1">
      <alignment horizontal="center" vertical="center" wrapText="1"/>
    </xf>
    <xf numFmtId="3" fontId="17" fillId="14" borderId="8" xfId="0" applyNumberFormat="1" applyFont="1" applyFill="1" applyBorder="1" applyAlignment="1">
      <alignment horizontal="justify" vertical="center" wrapText="1"/>
    </xf>
    <xf numFmtId="3" fontId="17" fillId="14" borderId="15" xfId="0" applyNumberFormat="1" applyFont="1" applyFill="1" applyBorder="1" applyAlignment="1">
      <alignment horizontal="justify" vertical="center" wrapText="1"/>
    </xf>
    <xf numFmtId="3" fontId="17" fillId="14" borderId="18" xfId="0" applyNumberFormat="1" applyFont="1" applyFill="1" applyBorder="1" applyAlignment="1">
      <alignment horizontal="justify" vertical="center" wrapText="1"/>
    </xf>
    <xf numFmtId="167" fontId="17" fillId="3" borderId="1" xfId="15" applyFont="1" applyFill="1" applyBorder="1" applyAlignment="1">
      <alignment horizontal="center" vertical="center"/>
    </xf>
    <xf numFmtId="0" fontId="17" fillId="3" borderId="3" xfId="0" applyFont="1" applyFill="1" applyBorder="1" applyAlignment="1">
      <alignment horizontal="center" vertical="center" textRotation="90" wrapText="1"/>
    </xf>
    <xf numFmtId="0" fontId="17" fillId="3" borderId="5" xfId="0" applyFont="1" applyFill="1" applyBorder="1" applyAlignment="1">
      <alignment horizontal="center" vertical="center" textRotation="90" wrapText="1"/>
    </xf>
    <xf numFmtId="49" fontId="17" fillId="3" borderId="3" xfId="0" applyNumberFormat="1" applyFont="1" applyFill="1" applyBorder="1" applyAlignment="1">
      <alignment horizontal="center" vertical="center" textRotation="90" wrapText="1"/>
    </xf>
    <xf numFmtId="49" fontId="17" fillId="3" borderId="5" xfId="0" applyNumberFormat="1" applyFont="1" applyFill="1" applyBorder="1" applyAlignment="1">
      <alignment horizontal="center" vertical="center" textRotation="90" wrapText="1"/>
    </xf>
    <xf numFmtId="0" fontId="17" fillId="5" borderId="1" xfId="0" applyFont="1" applyFill="1" applyBorder="1" applyAlignment="1">
      <alignment horizontal="center" vertical="center" wrapText="1"/>
    </xf>
    <xf numFmtId="9" fontId="17" fillId="5" borderId="1" xfId="13" applyFont="1" applyFill="1" applyBorder="1" applyAlignment="1">
      <alignment horizontal="center" vertical="center" wrapText="1"/>
    </xf>
    <xf numFmtId="0" fontId="17" fillId="6" borderId="3"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17" fillId="15" borderId="3" xfId="0" applyFont="1" applyFill="1" applyBorder="1" applyAlignment="1">
      <alignment horizontal="left" vertical="center" wrapText="1"/>
    </xf>
    <xf numFmtId="0" fontId="17" fillId="15" borderId="4" xfId="0" applyFont="1" applyFill="1" applyBorder="1" applyAlignment="1">
      <alignment horizontal="left" vertical="center" wrapText="1"/>
    </xf>
    <xf numFmtId="3" fontId="17" fillId="5" borderId="1" xfId="0" applyNumberFormat="1" applyFont="1" applyFill="1" applyBorder="1" applyAlignment="1">
      <alignment horizontal="center" vertical="center" wrapText="1"/>
    </xf>
    <xf numFmtId="3" fontId="17" fillId="14" borderId="29" xfId="0" applyNumberFormat="1" applyFont="1" applyFill="1" applyBorder="1" applyAlignment="1">
      <alignment horizontal="center" vertical="center" wrapText="1"/>
    </xf>
    <xf numFmtId="3" fontId="17" fillId="14" borderId="35" xfId="0" applyNumberFormat="1" applyFont="1" applyFill="1" applyBorder="1" applyAlignment="1">
      <alignment horizontal="center" vertical="center" wrapText="1"/>
    </xf>
    <xf numFmtId="3" fontId="17" fillId="14" borderId="30" xfId="0" applyNumberFormat="1" applyFont="1" applyFill="1" applyBorder="1" applyAlignment="1">
      <alignment horizontal="center" vertical="center" wrapText="1"/>
    </xf>
    <xf numFmtId="3" fontId="17" fillId="14" borderId="13" xfId="0" applyNumberFormat="1" applyFont="1" applyFill="1" applyBorder="1" applyAlignment="1">
      <alignment horizontal="center" vertical="center" wrapText="1"/>
    </xf>
    <xf numFmtId="3" fontId="17" fillId="14" borderId="2" xfId="0" applyNumberFormat="1" applyFont="1" applyFill="1" applyBorder="1" applyAlignment="1">
      <alignment horizontal="center" vertical="center" wrapText="1"/>
    </xf>
    <xf numFmtId="3" fontId="17" fillId="14" borderId="14" xfId="0" applyNumberFormat="1" applyFont="1" applyFill="1" applyBorder="1" applyAlignment="1">
      <alignment horizontal="center" vertical="center" wrapText="1"/>
    </xf>
    <xf numFmtId="0" fontId="17" fillId="14" borderId="29" xfId="0" applyFont="1" applyFill="1" applyBorder="1" applyAlignment="1">
      <alignment horizontal="center" vertical="center" wrapText="1"/>
    </xf>
    <xf numFmtId="0" fontId="17" fillId="14" borderId="30" xfId="0" applyFont="1" applyFill="1" applyBorder="1" applyAlignment="1">
      <alignment horizontal="center" vertical="center" wrapText="1"/>
    </xf>
    <xf numFmtId="0" fontId="17" fillId="14" borderId="13" xfId="0" applyFont="1" applyFill="1" applyBorder="1" applyAlignment="1">
      <alignment horizontal="center" vertical="center" wrapText="1"/>
    </xf>
    <xf numFmtId="0" fontId="17" fillId="14" borderId="14" xfId="0" applyFont="1" applyFill="1" applyBorder="1" applyAlignment="1">
      <alignment horizontal="center" vertical="center" wrapText="1"/>
    </xf>
    <xf numFmtId="0" fontId="17" fillId="10" borderId="3" xfId="0" applyFont="1" applyFill="1" applyBorder="1" applyAlignment="1">
      <alignment horizontal="left" vertical="center" wrapText="1"/>
    </xf>
    <xf numFmtId="0" fontId="17" fillId="10" borderId="4" xfId="0" applyFont="1" applyFill="1" applyBorder="1" applyAlignment="1">
      <alignment horizontal="left" vertical="center" wrapText="1"/>
    </xf>
    <xf numFmtId="49" fontId="15" fillId="7" borderId="8" xfId="0" applyNumberFormat="1" applyFont="1" applyFill="1" applyBorder="1" applyAlignment="1">
      <alignment horizontal="center" vertical="center" wrapText="1"/>
    </xf>
    <xf numFmtId="49" fontId="15" fillId="7" borderId="18" xfId="0" applyNumberFormat="1" applyFont="1" applyFill="1" applyBorder="1" applyAlignment="1">
      <alignment horizontal="center" vertical="center" wrapText="1"/>
    </xf>
    <xf numFmtId="0" fontId="15" fillId="0" borderId="8" xfId="8" applyNumberFormat="1" applyFont="1" applyFill="1" applyBorder="1" applyAlignment="1">
      <alignment horizontal="center" vertical="center" wrapText="1"/>
    </xf>
    <xf numFmtId="0" fontId="15" fillId="0" borderId="18" xfId="8" applyNumberFormat="1" applyFont="1" applyFill="1" applyBorder="1" applyAlignment="1">
      <alignment horizontal="center" vertical="center" wrapText="1"/>
    </xf>
    <xf numFmtId="41" fontId="15" fillId="0" borderId="8" xfId="2" applyFont="1" applyBorder="1" applyAlignment="1">
      <alignment horizontal="center" vertical="center" wrapText="1"/>
    </xf>
    <xf numFmtId="41" fontId="15" fillId="0" borderId="18" xfId="2" applyFont="1" applyBorder="1" applyAlignment="1">
      <alignment horizontal="center" vertical="center" wrapText="1"/>
    </xf>
    <xf numFmtId="49" fontId="15" fillId="7" borderId="31" xfId="0" applyNumberFormat="1" applyFont="1" applyFill="1" applyBorder="1" applyAlignment="1">
      <alignment horizontal="center" vertical="center" wrapText="1"/>
    </xf>
    <xf numFmtId="178" fontId="15" fillId="0" borderId="8" xfId="0" applyNumberFormat="1" applyFont="1" applyBorder="1" applyAlignment="1">
      <alignment horizontal="center" vertical="center" wrapText="1"/>
    </xf>
    <xf numFmtId="178" fontId="15" fillId="0" borderId="18" xfId="0" applyNumberFormat="1" applyFont="1" applyBorder="1" applyAlignment="1">
      <alignment horizontal="center" vertical="center" wrapText="1"/>
    </xf>
    <xf numFmtId="9" fontId="15" fillId="0" borderId="8" xfId="3" applyFont="1" applyFill="1" applyBorder="1" applyAlignment="1">
      <alignment horizontal="center" vertical="center" wrapText="1"/>
    </xf>
    <xf numFmtId="171" fontId="19" fillId="0" borderId="8" xfId="6" applyFont="1" applyFill="1" applyBorder="1" applyAlignment="1">
      <alignment horizontal="center" vertical="center" wrapText="1"/>
    </xf>
    <xf numFmtId="171" fontId="19" fillId="0" borderId="15" xfId="6" applyFont="1" applyFill="1" applyBorder="1" applyAlignment="1">
      <alignment horizontal="center" vertical="center" wrapText="1"/>
    </xf>
    <xf numFmtId="178" fontId="15" fillId="0" borderId="30" xfId="0" applyNumberFormat="1" applyFont="1" applyBorder="1" applyAlignment="1">
      <alignment horizontal="center" vertical="center" wrapText="1"/>
    </xf>
    <xf numFmtId="178" fontId="15" fillId="0" borderId="17" xfId="0" applyNumberFormat="1" applyFont="1" applyBorder="1" applyAlignment="1">
      <alignment horizontal="center" vertical="center" wrapText="1"/>
    </xf>
    <xf numFmtId="14" fontId="19" fillId="0" borderId="8" xfId="0" applyNumberFormat="1" applyFont="1" applyBorder="1" applyAlignment="1">
      <alignment horizontal="center" vertical="center" wrapText="1"/>
    </xf>
    <xf numFmtId="14" fontId="19" fillId="0" borderId="18" xfId="0" applyNumberFormat="1" applyFont="1" applyBorder="1" applyAlignment="1">
      <alignment horizontal="center" vertical="center" wrapText="1"/>
    </xf>
    <xf numFmtId="0" fontId="19" fillId="0" borderId="8" xfId="0" applyFont="1" applyBorder="1" applyAlignment="1">
      <alignment horizontal="center" vertical="center" wrapText="1"/>
    </xf>
    <xf numFmtId="0" fontId="19" fillId="0" borderId="18" xfId="0" applyFont="1" applyBorder="1" applyAlignment="1">
      <alignment horizontal="center" vertical="center" wrapText="1"/>
    </xf>
    <xf numFmtId="0" fontId="17" fillId="10" borderId="5" xfId="0" applyFont="1" applyFill="1" applyBorder="1" applyAlignment="1">
      <alignment horizontal="left" vertical="center" wrapText="1"/>
    </xf>
    <xf numFmtId="171" fontId="15" fillId="0" borderId="1" xfId="6" applyFont="1" applyFill="1" applyBorder="1" applyAlignment="1">
      <alignment horizontal="center" vertical="center" wrapText="1"/>
    </xf>
    <xf numFmtId="171" fontId="15" fillId="0" borderId="8" xfId="6" applyFont="1" applyFill="1" applyBorder="1" applyAlignment="1">
      <alignment horizontal="center" vertical="center" wrapText="1"/>
    </xf>
    <xf numFmtId="171" fontId="15" fillId="0" borderId="1" xfId="6" applyFont="1" applyBorder="1" applyAlignment="1">
      <alignment horizontal="center" vertical="center" wrapText="1"/>
    </xf>
    <xf numFmtId="171" fontId="15" fillId="0" borderId="8" xfId="6" applyFont="1" applyBorder="1" applyAlignment="1">
      <alignment horizontal="center" vertical="center" wrapText="1"/>
    </xf>
    <xf numFmtId="9" fontId="15" fillId="0" borderId="29" xfId="3" applyFont="1" applyBorder="1" applyAlignment="1">
      <alignment horizontal="center" vertical="center" wrapText="1"/>
    </xf>
    <xf numFmtId="9" fontId="15" fillId="0" borderId="16" xfId="3" applyFont="1" applyBorder="1" applyAlignment="1">
      <alignment horizontal="center" vertical="center" wrapText="1"/>
    </xf>
    <xf numFmtId="0" fontId="17" fillId="0" borderId="8" xfId="0" applyFont="1" applyBorder="1" applyAlignment="1">
      <alignment horizontal="center" vertical="center" wrapText="1"/>
    </xf>
    <xf numFmtId="0" fontId="17" fillId="0" borderId="15" xfId="0" applyFont="1" applyBorder="1" applyAlignment="1">
      <alignment horizontal="center" vertical="center" wrapText="1"/>
    </xf>
    <xf numFmtId="14" fontId="19" fillId="0" borderId="15" xfId="0" applyNumberFormat="1" applyFont="1" applyBorder="1" applyAlignment="1">
      <alignment horizontal="center" vertical="center" wrapText="1"/>
    </xf>
    <xf numFmtId="0" fontId="19" fillId="0" borderId="15" xfId="0" applyFont="1" applyBorder="1" applyAlignment="1">
      <alignment horizontal="center" vertical="center" wrapText="1"/>
    </xf>
    <xf numFmtId="9" fontId="15" fillId="7" borderId="8" xfId="3" applyFont="1" applyFill="1" applyBorder="1" applyAlignment="1">
      <alignment horizontal="center" vertical="center" wrapText="1"/>
    </xf>
    <xf numFmtId="9" fontId="15" fillId="7" borderId="18" xfId="3" applyFont="1" applyFill="1" applyBorder="1" applyAlignment="1">
      <alignment horizontal="center" vertical="center" wrapText="1"/>
    </xf>
    <xf numFmtId="0" fontId="15" fillId="7" borderId="8" xfId="0" applyFont="1" applyFill="1" applyBorder="1" applyAlignment="1">
      <alignment horizontal="left" vertical="center" wrapText="1"/>
    </xf>
    <xf numFmtId="0" fontId="15" fillId="7" borderId="18" xfId="0" applyFont="1" applyFill="1" applyBorder="1" applyAlignment="1">
      <alignment horizontal="left" vertical="center" wrapText="1"/>
    </xf>
    <xf numFmtId="41" fontId="15" fillId="0" borderId="31" xfId="2" applyFont="1" applyBorder="1" applyAlignment="1">
      <alignment horizontal="center" vertical="center" wrapText="1"/>
    </xf>
    <xf numFmtId="178" fontId="15" fillId="7" borderId="31" xfId="0" applyNumberFormat="1" applyFont="1" applyFill="1" applyBorder="1" applyAlignment="1">
      <alignment horizontal="center" vertical="center" wrapText="1"/>
    </xf>
    <xf numFmtId="41" fontId="15" fillId="0" borderId="15" xfId="2" applyFont="1" applyBorder="1" applyAlignment="1">
      <alignment horizontal="center" vertical="center" wrapText="1"/>
    </xf>
    <xf numFmtId="178" fontId="15" fillId="7" borderId="8" xfId="0" applyNumberFormat="1" applyFont="1" applyFill="1" applyBorder="1" applyAlignment="1">
      <alignment horizontal="center" vertical="center" wrapText="1"/>
    </xf>
    <xf numFmtId="178" fontId="15" fillId="7" borderId="18" xfId="0" applyNumberFormat="1" applyFont="1" applyFill="1" applyBorder="1" applyAlignment="1">
      <alignment horizontal="center" vertical="center" wrapText="1"/>
    </xf>
    <xf numFmtId="168" fontId="5" fillId="3" borderId="29" xfId="0" applyNumberFormat="1" applyFont="1" applyFill="1" applyBorder="1" applyAlignment="1">
      <alignment horizontal="center" vertical="center" wrapText="1"/>
    </xf>
    <xf numFmtId="168" fontId="5" fillId="3" borderId="30" xfId="0" applyNumberFormat="1" applyFont="1" applyFill="1" applyBorder="1" applyAlignment="1">
      <alignment horizontal="center" vertical="center" wrapText="1"/>
    </xf>
    <xf numFmtId="0" fontId="3" fillId="7" borderId="19"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0" xfId="0" applyFont="1" applyFill="1" applyBorder="1" applyAlignment="1">
      <alignment horizontal="center" vertical="center" wrapText="1"/>
    </xf>
    <xf numFmtId="41" fontId="3" fillId="7" borderId="1" xfId="2" applyFont="1" applyFill="1" applyBorder="1" applyAlignment="1">
      <alignment horizontal="center" vertical="center"/>
    </xf>
    <xf numFmtId="1" fontId="3" fillId="0" borderId="19"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168" fontId="3" fillId="0" borderId="19" xfId="0" applyNumberFormat="1" applyFont="1" applyFill="1" applyBorder="1" applyAlignment="1">
      <alignment horizontal="center" vertical="center" wrapText="1"/>
    </xf>
    <xf numFmtId="0" fontId="17" fillId="0" borderId="34" xfId="0" applyFont="1" applyBorder="1" applyAlignment="1">
      <alignment horizontal="center" vertical="center"/>
    </xf>
    <xf numFmtId="10" fontId="3" fillId="0" borderId="8" xfId="3" applyNumberFormat="1" applyFont="1" applyFill="1" applyBorder="1" applyAlignment="1">
      <alignment horizontal="center" vertical="center" wrapText="1"/>
    </xf>
    <xf numFmtId="10" fontId="3" fillId="0" borderId="19" xfId="3" applyNumberFormat="1" applyFont="1" applyFill="1" applyBorder="1" applyAlignment="1">
      <alignment horizontal="center" vertical="center" wrapText="1"/>
    </xf>
    <xf numFmtId="169" fontId="3" fillId="0" borderId="8" xfId="0" applyNumberFormat="1" applyFont="1" applyFill="1" applyBorder="1" applyAlignment="1">
      <alignment horizontal="center" vertical="center" wrapText="1"/>
    </xf>
    <xf numFmtId="0" fontId="15" fillId="0" borderId="17" xfId="0" applyFont="1" applyBorder="1" applyAlignment="1">
      <alignment horizontal="center" vertical="center" wrapText="1"/>
    </xf>
    <xf numFmtId="0" fontId="14" fillId="7" borderId="5"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4" fillId="0" borderId="3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Alignment="1">
      <alignment horizontal="center" vertical="center" wrapText="1"/>
    </xf>
  </cellXfs>
  <cellStyles count="32">
    <cellStyle name="Excel Built-in Normal" xfId="10" xr:uid="{00000000-0005-0000-0000-000000000000}"/>
    <cellStyle name="Excel Built-in Normal 2" xfId="28" xr:uid="{00000000-0005-0000-0000-000001000000}"/>
    <cellStyle name="Millares" xfId="1" builtinId="3"/>
    <cellStyle name="Millares [0]" xfId="2" builtinId="6"/>
    <cellStyle name="Millares [0] 2" xfId="26" xr:uid="{00000000-0005-0000-0000-000004000000}"/>
    <cellStyle name="Millares [0] 3" xfId="6" xr:uid="{00000000-0005-0000-0000-000005000000}"/>
    <cellStyle name="Millares 2" xfId="20" xr:uid="{00000000-0005-0000-0000-000006000000}"/>
    <cellStyle name="Millares 2 2" xfId="8" xr:uid="{00000000-0005-0000-0000-000007000000}"/>
    <cellStyle name="Millares 3 2" xfId="23" xr:uid="{00000000-0005-0000-0000-000008000000}"/>
    <cellStyle name="Millares 3 3" xfId="25" xr:uid="{00000000-0005-0000-0000-000009000000}"/>
    <cellStyle name="Millares 4" xfId="19" xr:uid="{00000000-0005-0000-0000-00000A000000}"/>
    <cellStyle name="Moneda [0]" xfId="24" builtinId="7"/>
    <cellStyle name="Moneda [0] 2" xfId="29" xr:uid="{00000000-0005-0000-0000-00000C000000}"/>
    <cellStyle name="Moneda [0] 2 3" xfId="31" xr:uid="{00000000-0005-0000-0000-00000D000000}"/>
    <cellStyle name="Moneda [0] 3" xfId="17" xr:uid="{00000000-0005-0000-0000-00000E000000}"/>
    <cellStyle name="Moneda 2" xfId="12" xr:uid="{00000000-0005-0000-0000-00000F000000}"/>
    <cellStyle name="Moneda 2 2" xfId="16" xr:uid="{00000000-0005-0000-0000-000010000000}"/>
    <cellStyle name="Moneda 3" xfId="18" xr:uid="{00000000-0005-0000-0000-000011000000}"/>
    <cellStyle name="Normal" xfId="0" builtinId="0"/>
    <cellStyle name="Normal 2" xfId="14" xr:uid="{00000000-0005-0000-0000-000013000000}"/>
    <cellStyle name="Normal 2 2" xfId="9" xr:uid="{00000000-0005-0000-0000-000014000000}"/>
    <cellStyle name="Normal 2 2 2" xfId="4" xr:uid="{00000000-0005-0000-0000-000015000000}"/>
    <cellStyle name="Normal 2 2 2 2" xfId="15" xr:uid="{00000000-0005-0000-0000-000016000000}"/>
    <cellStyle name="Normal 3 2" xfId="21" xr:uid="{00000000-0005-0000-0000-000017000000}"/>
    <cellStyle name="Normal 4" xfId="11" xr:uid="{00000000-0005-0000-0000-000018000000}"/>
    <cellStyle name="Normal 7" xfId="27" xr:uid="{00000000-0005-0000-0000-000019000000}"/>
    <cellStyle name="Porcentaje" xfId="3" builtinId="5"/>
    <cellStyle name="Porcentaje 2" xfId="5" xr:uid="{00000000-0005-0000-0000-00001B000000}"/>
    <cellStyle name="Porcentaje 2 2" xfId="13" xr:uid="{00000000-0005-0000-0000-00001C000000}"/>
    <cellStyle name="Porcentaje 2 2 2 2" xfId="30" xr:uid="{00000000-0005-0000-0000-00001D000000}"/>
    <cellStyle name="Porcentaje 2 3" xfId="7" xr:uid="{00000000-0005-0000-0000-00001E000000}"/>
    <cellStyle name="Porcentual 2" xfId="22"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108856</xdr:colOff>
      <xdr:row>0</xdr:row>
      <xdr:rowOff>54429</xdr:rowOff>
    </xdr:from>
    <xdr:ext cx="857251" cy="734786"/>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6131" y="54429"/>
          <a:ext cx="857251" cy="734786"/>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488" y="176893"/>
          <a:ext cx="993321" cy="92528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444500</xdr:colOff>
      <xdr:row>0</xdr:row>
      <xdr:rowOff>0</xdr:rowOff>
    </xdr:from>
    <xdr:ext cx="993321" cy="925286"/>
    <xdr:pic>
      <xdr:nvPicPr>
        <xdr:cNvPr id="2" name="Imagen 1"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0"/>
          <a:ext cx="993321" cy="925286"/>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488" y="176893"/>
          <a:ext cx="993321" cy="92528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488" y="176893"/>
          <a:ext cx="993321" cy="92528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488" y="176893"/>
          <a:ext cx="993321" cy="925286"/>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27215</xdr:colOff>
      <xdr:row>0</xdr:row>
      <xdr:rowOff>204108</xdr:rowOff>
    </xdr:from>
    <xdr:to>
      <xdr:col>2</xdr:col>
      <xdr:colOff>353293</xdr:colOff>
      <xdr:row>1</xdr:row>
      <xdr:rowOff>4083</xdr:rowOff>
    </xdr:to>
    <xdr:pic>
      <xdr:nvPicPr>
        <xdr:cNvPr id="2" name="Imagen 1" descr="C:\Users\AUXPLANEACION03\Desktop\Gobernacion_del_quindio.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3515" y="194583"/>
          <a:ext cx="640403" cy="0"/>
        </a:xfrm>
        <a:prstGeom prst="rect">
          <a:avLst/>
        </a:prstGeom>
        <a:noFill/>
        <a:ln>
          <a:noFill/>
        </a:ln>
      </xdr:spPr>
    </xdr:pic>
    <xdr:clientData/>
  </xdr:twoCellAnchor>
  <xdr:twoCellAnchor editAs="oneCell">
    <xdr:from>
      <xdr:col>1</xdr:col>
      <xdr:colOff>27215</xdr:colOff>
      <xdr:row>0</xdr:row>
      <xdr:rowOff>204108</xdr:rowOff>
    </xdr:from>
    <xdr:to>
      <xdr:col>2</xdr:col>
      <xdr:colOff>356261</xdr:colOff>
      <xdr:row>1</xdr:row>
      <xdr:rowOff>4083</xdr:rowOff>
    </xdr:to>
    <xdr:pic>
      <xdr:nvPicPr>
        <xdr:cNvPr id="3" name="Imagen 2" descr="C:\Users\AUXPLANEACION03\Desktop\Gobernacion_del_quindio.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3515" y="194583"/>
          <a:ext cx="643371" cy="0"/>
        </a:xfrm>
        <a:prstGeom prst="rect">
          <a:avLst/>
        </a:prstGeom>
        <a:noFill/>
        <a:ln>
          <a:noFill/>
        </a:ln>
      </xdr:spPr>
    </xdr:pic>
    <xdr:clientData/>
  </xdr:twoCellAnchor>
  <xdr:oneCellAnchor>
    <xdr:from>
      <xdr:col>1</xdr:col>
      <xdr:colOff>27213</xdr:colOff>
      <xdr:row>0</xdr:row>
      <xdr:rowOff>176893</xdr:rowOff>
    </xdr:from>
    <xdr:ext cx="993321" cy="925286"/>
    <xdr:pic>
      <xdr:nvPicPr>
        <xdr:cNvPr id="4" name="Imagen 3" descr="C:\Users\AUXPLANEACION03\Desktop\Gobernacion_del_quindio.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3513" y="176893"/>
          <a:ext cx="993321" cy="925286"/>
        </a:xfrm>
        <a:prstGeom prst="rect">
          <a:avLst/>
        </a:prstGeom>
        <a:noFill/>
        <a:ln>
          <a:noFill/>
        </a:ln>
      </xdr:spPr>
    </xdr:pic>
    <xdr:clientData/>
  </xdr:oneCellAnchor>
  <xdr:oneCellAnchor>
    <xdr:from>
      <xdr:col>1</xdr:col>
      <xdr:colOff>27213</xdr:colOff>
      <xdr:row>0</xdr:row>
      <xdr:rowOff>176893</xdr:rowOff>
    </xdr:from>
    <xdr:ext cx="993321" cy="925286"/>
    <xdr:pic>
      <xdr:nvPicPr>
        <xdr:cNvPr id="5" name="Imagen 4" descr="C:\Users\AUXPLANEACION03\Desktop\Gobernacion_del_quindio.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3513" y="176893"/>
          <a:ext cx="993321" cy="925286"/>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488" y="176893"/>
          <a:ext cx="993321" cy="925286"/>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361951</xdr:colOff>
      <xdr:row>0</xdr:row>
      <xdr:rowOff>0</xdr:rowOff>
    </xdr:from>
    <xdr:ext cx="1265850" cy="721364"/>
    <xdr:pic>
      <xdr:nvPicPr>
        <xdr:cNvPr id="2" name="Imagen 1" descr="C:\Users\AUXPLANEACION03\Desktop\Gobernacion_del_quindio.jpg">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0"/>
          <a:ext cx="1265850" cy="72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1</xdr:col>
      <xdr:colOff>677635</xdr:colOff>
      <xdr:row>5</xdr:row>
      <xdr:rowOff>69850</xdr:rowOff>
    </xdr:to>
    <xdr:pic>
      <xdr:nvPicPr>
        <xdr:cNvPr id="2" name="Imagen 1" descr="C:\Users\AUXPLANEACION03\Desktop\Gobernacion_del_quindio.jpg">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1126671" cy="121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274864</xdr:colOff>
      <xdr:row>0</xdr:row>
      <xdr:rowOff>0</xdr:rowOff>
    </xdr:from>
    <xdr:to>
      <xdr:col>1</xdr:col>
      <xdr:colOff>677635</xdr:colOff>
      <xdr:row>5</xdr:row>
      <xdr:rowOff>64407</xdr:rowOff>
    </xdr:to>
    <xdr:pic>
      <xdr:nvPicPr>
        <xdr:cNvPr id="3" name="Imagen 2" descr="C:\Users\AUXPLANEACION03\Desktop\Gobernacion_del_quindio.jpg">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1126671" cy="1207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YECTOS%202019\ok%20P_134_AJUSTADO\Inicial\Poblacion_1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ROYECTOS%202020\ok%20P_138_AJUSTADO\Inicial\Poblacion_13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YECTOS%202019\ok%20P_141_AJUSTADO\Inicial\Poblacion_1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ROYECTOS%202019\ok%20P_142_AJUSTADO\Inicial\Poblacion_14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GOBERNACI&#211;N%202020\PROGRAMACION%20PLAN%20DE%20ACCION%202020\POAI%202020%20DEFINITIVO-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NDICADORES/INSTRUMENTOS%20MARZO%202020/Sgto%20Instrumentos%20Parcial/SGTO%20SECRETARIAS/Sgto%20Promotora%20marz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X5">
            <v>439</v>
          </cell>
          <cell r="Y5">
            <v>413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W5">
            <v>439</v>
          </cell>
          <cell r="X5">
            <v>413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W5">
            <v>439</v>
          </cell>
          <cell r="X5">
            <v>413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W5">
            <v>439</v>
          </cell>
          <cell r="X5">
            <v>413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INICIAL 2020"/>
      <sheetName val="Hoja1"/>
    </sheetNames>
    <sheetDataSet>
      <sheetData sheetId="0">
        <row r="550">
          <cell r="V550">
            <v>59636000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MARZO 31-2020"/>
      <sheetName val="MP PROMOTORA"/>
      <sheetName val="PLAN ACCION PROMOTORA"/>
      <sheetName val="SGTO PLAN ACCION"/>
      <sheetName val="GESTION DE RECURSOS"/>
      <sheetName val="INVERS TERRITORIAL"/>
    </sheetNames>
    <sheetDataSet>
      <sheetData sheetId="0"/>
      <sheetData sheetId="1">
        <row r="20">
          <cell r="P20">
            <v>29088500</v>
          </cell>
          <cell r="Q20">
            <v>12434550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102"/>
  <sheetViews>
    <sheetView showGridLines="0" tabSelected="1" zoomScale="60" zoomScaleNormal="60" workbookViewId="0">
      <selection activeCell="H12" sqref="H12"/>
    </sheetView>
  </sheetViews>
  <sheetFormatPr baseColWidth="10" defaultColWidth="20.5703125" defaultRowHeight="39.75" customHeight="1" x14ac:dyDescent="0.2"/>
  <cols>
    <col min="1" max="1" width="12.140625" style="195" customWidth="1"/>
    <col min="2" max="2" width="10" style="484" customWidth="1"/>
    <col min="3" max="3" width="9.7109375" style="484" customWidth="1"/>
    <col min="4" max="4" width="12.5703125" style="484" customWidth="1"/>
    <col min="5" max="5" width="8.85546875" style="484" customWidth="1"/>
    <col min="6" max="6" width="10.28515625" style="484" customWidth="1"/>
    <col min="7" max="7" width="20.7109375" style="484" customWidth="1"/>
    <col min="8" max="8" width="12.5703125" style="484" customWidth="1"/>
    <col min="9" max="9" width="19.28515625" style="484" customWidth="1"/>
    <col min="10" max="10" width="17.85546875" style="89" customWidth="1"/>
    <col min="11" max="11" width="48.140625" style="197" customWidth="1"/>
    <col min="12" max="12" width="40.42578125" style="198" customWidth="1"/>
    <col min="13" max="13" width="15" style="140" hidden="1" customWidth="1"/>
    <col min="14" max="14" width="32.42578125" style="199" customWidth="1"/>
    <col min="15" max="15" width="20.140625" style="199" customWidth="1"/>
    <col min="16" max="16" width="26.42578125" style="200" customWidth="1"/>
    <col min="17" max="17" width="17.7109375" style="201" customWidth="1"/>
    <col min="18" max="18" width="22.28515625" style="202" customWidth="1"/>
    <col min="19" max="19" width="46" style="197" customWidth="1"/>
    <col min="20" max="20" width="51.85546875" style="197" customWidth="1"/>
    <col min="21" max="21" width="75.140625" style="197" customWidth="1"/>
    <col min="22" max="22" width="30.85546875" style="209" customWidth="1"/>
    <col min="23" max="23" width="31.28515625" style="209" customWidth="1"/>
    <col min="24" max="24" width="29.28515625" style="209" customWidth="1"/>
    <col min="25" max="25" width="20.140625" style="204" customWidth="1"/>
    <col min="26" max="26" width="17" style="103" customWidth="1"/>
    <col min="27" max="28" width="14.42578125" style="2" customWidth="1"/>
    <col min="29" max="29" width="13.7109375" style="2" bestFit="1" customWidth="1"/>
    <col min="30" max="30" width="13.7109375" style="2" customWidth="1"/>
    <col min="31" max="31" width="14.42578125" style="2" customWidth="1"/>
    <col min="32" max="32" width="14" style="2" customWidth="1"/>
    <col min="33" max="34" width="12.42578125" style="2" customWidth="1"/>
    <col min="35" max="35" width="14" style="2" bestFit="1" customWidth="1"/>
    <col min="36" max="36" width="14" style="2" customWidth="1"/>
    <col min="37" max="37" width="14" style="2" bestFit="1" customWidth="1"/>
    <col min="38" max="38" width="14" style="2" customWidth="1"/>
    <col min="39" max="56" width="12.140625" style="2" customWidth="1"/>
    <col min="57" max="57" width="17" style="2" bestFit="1" customWidth="1"/>
    <col min="58" max="59" width="17" style="2" customWidth="1"/>
    <col min="60" max="60" width="24.85546875" style="2" customWidth="1"/>
    <col min="61" max="61" width="24.5703125" style="2" customWidth="1"/>
    <col min="62" max="62" width="23" style="2" customWidth="1"/>
    <col min="63" max="63" width="22" style="2" customWidth="1"/>
    <col min="64" max="64" width="23.85546875" style="2" customWidth="1"/>
    <col min="65" max="66" width="15.5703125" style="205" customWidth="1"/>
    <col min="67" max="67" width="18.28515625" style="206" customWidth="1"/>
    <col min="68" max="68" width="18.5703125" style="206" customWidth="1"/>
    <col min="69" max="69" width="24.42578125" style="86" customWidth="1"/>
    <col min="70" max="16384" width="20.5703125" style="2"/>
  </cols>
  <sheetData>
    <row r="1" spans="1:89" ht="30" customHeight="1" x14ac:dyDescent="0.2">
      <c r="A1" s="2564" t="s">
        <v>754</v>
      </c>
      <c r="B1" s="2564"/>
      <c r="C1" s="2564"/>
      <c r="D1" s="2564"/>
      <c r="E1" s="2564"/>
      <c r="F1" s="2564"/>
      <c r="G1" s="2564"/>
      <c r="H1" s="2564"/>
      <c r="I1" s="2564"/>
      <c r="J1" s="2564"/>
      <c r="K1" s="2564"/>
      <c r="L1" s="2564"/>
      <c r="M1" s="2564"/>
      <c r="N1" s="2564"/>
      <c r="O1" s="2564"/>
      <c r="P1" s="2564"/>
      <c r="Q1" s="2564"/>
      <c r="R1" s="2564"/>
      <c r="S1" s="2564"/>
      <c r="T1" s="2564"/>
      <c r="U1" s="2564"/>
      <c r="V1" s="2564"/>
      <c r="W1" s="2564"/>
      <c r="X1" s="2564"/>
      <c r="Y1" s="2564"/>
      <c r="Z1" s="2564"/>
      <c r="AA1" s="2564"/>
      <c r="AB1" s="2564"/>
      <c r="AC1" s="2564"/>
      <c r="AD1" s="2564"/>
      <c r="AE1" s="2564"/>
      <c r="AF1" s="2564"/>
      <c r="AG1" s="2564"/>
      <c r="AH1" s="2564"/>
      <c r="AI1" s="2564"/>
      <c r="AJ1" s="2564"/>
      <c r="AK1" s="2564"/>
      <c r="AL1" s="2564"/>
      <c r="AM1" s="2564"/>
      <c r="AN1" s="2564"/>
      <c r="AO1" s="2564"/>
      <c r="AP1" s="2564"/>
      <c r="AQ1" s="2564"/>
      <c r="AR1" s="2564"/>
      <c r="AS1" s="2564"/>
      <c r="AT1" s="2564"/>
      <c r="AU1" s="2564"/>
      <c r="AV1" s="2564"/>
      <c r="AW1" s="2564"/>
      <c r="AX1" s="2564"/>
      <c r="AY1" s="2564"/>
      <c r="AZ1" s="2564"/>
      <c r="BA1" s="2564"/>
      <c r="BB1" s="2564"/>
      <c r="BC1" s="2564"/>
      <c r="BD1" s="2564"/>
      <c r="BE1" s="2564"/>
      <c r="BF1" s="2564"/>
      <c r="BG1" s="2564"/>
      <c r="BH1" s="2564"/>
      <c r="BI1" s="2564"/>
      <c r="BJ1" s="2564"/>
      <c r="BK1" s="2564"/>
      <c r="BL1" s="2564"/>
      <c r="BM1" s="2564"/>
      <c r="BN1" s="2564"/>
      <c r="BO1" s="2565"/>
      <c r="BP1" s="9" t="s">
        <v>0</v>
      </c>
      <c r="BQ1" s="9" t="s">
        <v>1</v>
      </c>
      <c r="BR1" s="99"/>
      <c r="BS1" s="99"/>
      <c r="BT1" s="99"/>
      <c r="BU1" s="99"/>
      <c r="BV1" s="99"/>
      <c r="BW1" s="99"/>
      <c r="BX1" s="99"/>
      <c r="BY1" s="99"/>
      <c r="BZ1" s="99"/>
      <c r="CA1" s="99"/>
      <c r="CB1" s="99"/>
      <c r="CC1" s="99"/>
      <c r="CD1" s="99"/>
      <c r="CE1" s="99"/>
      <c r="CF1" s="99"/>
      <c r="CG1" s="99"/>
      <c r="CH1" s="99"/>
      <c r="CI1" s="99"/>
      <c r="CJ1" s="99"/>
      <c r="CK1" s="99"/>
    </row>
    <row r="2" spans="1:89" ht="30" customHeight="1" x14ac:dyDescent="0.2">
      <c r="A2" s="2564"/>
      <c r="B2" s="2564"/>
      <c r="C2" s="2564"/>
      <c r="D2" s="2564"/>
      <c r="E2" s="2564"/>
      <c r="F2" s="2564"/>
      <c r="G2" s="2564"/>
      <c r="H2" s="2564"/>
      <c r="I2" s="2564"/>
      <c r="J2" s="2564"/>
      <c r="K2" s="2564"/>
      <c r="L2" s="2564"/>
      <c r="M2" s="2564"/>
      <c r="N2" s="2564"/>
      <c r="O2" s="2564"/>
      <c r="P2" s="2564"/>
      <c r="Q2" s="2564"/>
      <c r="R2" s="2564"/>
      <c r="S2" s="2564"/>
      <c r="T2" s="2564"/>
      <c r="U2" s="2564"/>
      <c r="V2" s="2564"/>
      <c r="W2" s="2564"/>
      <c r="X2" s="2564"/>
      <c r="Y2" s="2564"/>
      <c r="Z2" s="2564"/>
      <c r="AA2" s="2564"/>
      <c r="AB2" s="2564"/>
      <c r="AC2" s="2564"/>
      <c r="AD2" s="2564"/>
      <c r="AE2" s="2564"/>
      <c r="AF2" s="2564"/>
      <c r="AG2" s="2564"/>
      <c r="AH2" s="2564"/>
      <c r="AI2" s="2564"/>
      <c r="AJ2" s="2564"/>
      <c r="AK2" s="2564"/>
      <c r="AL2" s="2564"/>
      <c r="AM2" s="2564"/>
      <c r="AN2" s="2564"/>
      <c r="AO2" s="2564"/>
      <c r="AP2" s="2564"/>
      <c r="AQ2" s="2564"/>
      <c r="AR2" s="2564"/>
      <c r="AS2" s="2564"/>
      <c r="AT2" s="2564"/>
      <c r="AU2" s="2564"/>
      <c r="AV2" s="2564"/>
      <c r="AW2" s="2564"/>
      <c r="AX2" s="2564"/>
      <c r="AY2" s="2564"/>
      <c r="AZ2" s="2564"/>
      <c r="BA2" s="2564"/>
      <c r="BB2" s="2564"/>
      <c r="BC2" s="2564"/>
      <c r="BD2" s="2564"/>
      <c r="BE2" s="2564"/>
      <c r="BF2" s="2564"/>
      <c r="BG2" s="2564"/>
      <c r="BH2" s="2564"/>
      <c r="BI2" s="2564"/>
      <c r="BJ2" s="2564"/>
      <c r="BK2" s="2564"/>
      <c r="BL2" s="2564"/>
      <c r="BM2" s="2564"/>
      <c r="BN2" s="2564"/>
      <c r="BO2" s="2565"/>
      <c r="BP2" s="100" t="s">
        <v>2</v>
      </c>
      <c r="BQ2" s="9" t="s">
        <v>755</v>
      </c>
      <c r="BR2" s="99"/>
      <c r="BS2" s="99"/>
      <c r="BT2" s="99"/>
      <c r="BU2" s="99"/>
      <c r="BV2" s="99"/>
      <c r="BW2" s="99"/>
      <c r="BX2" s="99"/>
      <c r="BY2" s="99"/>
      <c r="BZ2" s="99"/>
      <c r="CA2" s="99"/>
      <c r="CB2" s="99"/>
      <c r="CC2" s="99"/>
      <c r="CD2" s="99"/>
      <c r="CE2" s="99"/>
      <c r="CF2" s="99"/>
      <c r="CG2" s="99"/>
      <c r="CH2" s="99"/>
      <c r="CI2" s="99"/>
      <c r="CJ2" s="99"/>
      <c r="CK2" s="99"/>
    </row>
    <row r="3" spans="1:89" ht="30" customHeight="1" x14ac:dyDescent="0.2">
      <c r="A3" s="2564"/>
      <c r="B3" s="2564"/>
      <c r="C3" s="2564"/>
      <c r="D3" s="2564"/>
      <c r="E3" s="2564"/>
      <c r="F3" s="2564"/>
      <c r="G3" s="2564"/>
      <c r="H3" s="2564"/>
      <c r="I3" s="2564"/>
      <c r="J3" s="2564"/>
      <c r="K3" s="2564"/>
      <c r="L3" s="2564"/>
      <c r="M3" s="2564"/>
      <c r="N3" s="2564"/>
      <c r="O3" s="2564"/>
      <c r="P3" s="2564"/>
      <c r="Q3" s="2564"/>
      <c r="R3" s="2564"/>
      <c r="S3" s="2564"/>
      <c r="T3" s="2564"/>
      <c r="U3" s="2564"/>
      <c r="V3" s="2564"/>
      <c r="W3" s="2564"/>
      <c r="X3" s="2564"/>
      <c r="Y3" s="2564"/>
      <c r="Z3" s="2564"/>
      <c r="AA3" s="2564"/>
      <c r="AB3" s="2564"/>
      <c r="AC3" s="2564"/>
      <c r="AD3" s="2564"/>
      <c r="AE3" s="2564"/>
      <c r="AF3" s="2564"/>
      <c r="AG3" s="2564"/>
      <c r="AH3" s="2564"/>
      <c r="AI3" s="2564"/>
      <c r="AJ3" s="2564"/>
      <c r="AK3" s="2564"/>
      <c r="AL3" s="2564"/>
      <c r="AM3" s="2564"/>
      <c r="AN3" s="2564"/>
      <c r="AO3" s="2564"/>
      <c r="AP3" s="2564"/>
      <c r="AQ3" s="2564"/>
      <c r="AR3" s="2564"/>
      <c r="AS3" s="2564"/>
      <c r="AT3" s="2564"/>
      <c r="AU3" s="2564"/>
      <c r="AV3" s="2564"/>
      <c r="AW3" s="2564"/>
      <c r="AX3" s="2564"/>
      <c r="AY3" s="2564"/>
      <c r="AZ3" s="2564"/>
      <c r="BA3" s="2564"/>
      <c r="BB3" s="2564"/>
      <c r="BC3" s="2564"/>
      <c r="BD3" s="2564"/>
      <c r="BE3" s="2564"/>
      <c r="BF3" s="2564"/>
      <c r="BG3" s="2564"/>
      <c r="BH3" s="2564"/>
      <c r="BI3" s="2564"/>
      <c r="BJ3" s="2564"/>
      <c r="BK3" s="2564"/>
      <c r="BL3" s="2564"/>
      <c r="BM3" s="2564"/>
      <c r="BN3" s="2564"/>
      <c r="BO3" s="2565"/>
      <c r="BP3" s="9" t="s">
        <v>3</v>
      </c>
      <c r="BQ3" s="101" t="s">
        <v>4</v>
      </c>
      <c r="BR3" s="99"/>
      <c r="BS3" s="99"/>
      <c r="BT3" s="99"/>
      <c r="BU3" s="99"/>
      <c r="BV3" s="99"/>
      <c r="BW3" s="99"/>
      <c r="BX3" s="99"/>
      <c r="BY3" s="99"/>
      <c r="BZ3" s="99"/>
      <c r="CA3" s="99"/>
      <c r="CB3" s="99"/>
      <c r="CC3" s="99"/>
      <c r="CD3" s="99"/>
      <c r="CE3" s="99"/>
      <c r="CF3" s="99"/>
      <c r="CG3" s="99"/>
      <c r="CH3" s="99"/>
      <c r="CI3" s="99"/>
      <c r="CJ3" s="99"/>
      <c r="CK3" s="99"/>
    </row>
    <row r="4" spans="1:89" ht="30" customHeight="1" x14ac:dyDescent="0.2">
      <c r="A4" s="2566"/>
      <c r="B4" s="2566"/>
      <c r="C4" s="2566"/>
      <c r="D4" s="2566"/>
      <c r="E4" s="2566"/>
      <c r="F4" s="2566"/>
      <c r="G4" s="2566"/>
      <c r="H4" s="2566"/>
      <c r="I4" s="2566"/>
      <c r="J4" s="2566"/>
      <c r="K4" s="2566"/>
      <c r="L4" s="2566"/>
      <c r="M4" s="2566"/>
      <c r="N4" s="2566"/>
      <c r="O4" s="2566"/>
      <c r="P4" s="2566"/>
      <c r="Q4" s="2566"/>
      <c r="R4" s="2566"/>
      <c r="S4" s="2566"/>
      <c r="T4" s="2566"/>
      <c r="U4" s="2566"/>
      <c r="V4" s="2566"/>
      <c r="W4" s="2566"/>
      <c r="X4" s="2566"/>
      <c r="Y4" s="2566"/>
      <c r="Z4" s="2566"/>
      <c r="AA4" s="2566"/>
      <c r="AB4" s="2566"/>
      <c r="AC4" s="2566"/>
      <c r="AD4" s="2566"/>
      <c r="AE4" s="2566"/>
      <c r="AF4" s="2566"/>
      <c r="AG4" s="2566"/>
      <c r="AH4" s="2566"/>
      <c r="AI4" s="2566"/>
      <c r="AJ4" s="2566"/>
      <c r="AK4" s="2566"/>
      <c r="AL4" s="2566"/>
      <c r="AM4" s="2566"/>
      <c r="AN4" s="2566"/>
      <c r="AO4" s="2566"/>
      <c r="AP4" s="2566"/>
      <c r="AQ4" s="2566"/>
      <c r="AR4" s="2566"/>
      <c r="AS4" s="2566"/>
      <c r="AT4" s="2566"/>
      <c r="AU4" s="2566"/>
      <c r="AV4" s="2566"/>
      <c r="AW4" s="2566"/>
      <c r="AX4" s="2566"/>
      <c r="AY4" s="2566"/>
      <c r="AZ4" s="2566"/>
      <c r="BA4" s="2566"/>
      <c r="BB4" s="2566"/>
      <c r="BC4" s="2566"/>
      <c r="BD4" s="2566"/>
      <c r="BE4" s="2566"/>
      <c r="BF4" s="2566"/>
      <c r="BG4" s="2566"/>
      <c r="BH4" s="2566"/>
      <c r="BI4" s="2566"/>
      <c r="BJ4" s="2566"/>
      <c r="BK4" s="2566"/>
      <c r="BL4" s="2566"/>
      <c r="BM4" s="2566"/>
      <c r="BN4" s="2566"/>
      <c r="BO4" s="2567"/>
      <c r="BP4" s="9" t="s">
        <v>5</v>
      </c>
      <c r="BQ4" s="102" t="s">
        <v>97</v>
      </c>
      <c r="BR4" s="99"/>
      <c r="BS4" s="99"/>
      <c r="BT4" s="99"/>
      <c r="BU4" s="99"/>
      <c r="BV4" s="99"/>
      <c r="BW4" s="99"/>
      <c r="BX4" s="99"/>
      <c r="BY4" s="99"/>
      <c r="BZ4" s="99"/>
      <c r="CA4" s="99"/>
      <c r="CB4" s="99"/>
      <c r="CC4" s="99"/>
      <c r="CD4" s="99"/>
      <c r="CE4" s="99"/>
      <c r="CF4" s="99"/>
      <c r="CG4" s="99"/>
      <c r="CH4" s="99"/>
      <c r="CI4" s="99"/>
      <c r="CJ4" s="99"/>
      <c r="CK4" s="99"/>
    </row>
    <row r="5" spans="1:89" ht="50.25" customHeight="1" x14ac:dyDescent="0.2">
      <c r="A5" s="2374" t="s">
        <v>7</v>
      </c>
      <c r="B5" s="2374"/>
      <c r="C5" s="2374"/>
      <c r="D5" s="2374"/>
      <c r="E5" s="2374"/>
      <c r="F5" s="2374"/>
      <c r="G5" s="2374"/>
      <c r="H5" s="2374"/>
      <c r="I5" s="2374"/>
      <c r="J5" s="2374"/>
      <c r="K5" s="2374"/>
      <c r="L5" s="2374"/>
      <c r="M5" s="2374"/>
      <c r="N5" s="2375" t="s">
        <v>8</v>
      </c>
      <c r="O5" s="2376"/>
      <c r="P5" s="2376"/>
      <c r="Q5" s="2376"/>
      <c r="R5" s="2376"/>
      <c r="S5" s="2376"/>
      <c r="T5" s="2376"/>
      <c r="U5" s="2376"/>
      <c r="V5" s="2376"/>
      <c r="W5" s="2376"/>
      <c r="X5" s="2376"/>
      <c r="Y5" s="2376"/>
      <c r="Z5" s="2376"/>
      <c r="AA5" s="2376"/>
      <c r="AB5" s="2376"/>
      <c r="AC5" s="2376"/>
      <c r="AD5" s="2376"/>
      <c r="AE5" s="2376"/>
      <c r="AF5" s="2376"/>
      <c r="AG5" s="2376"/>
      <c r="AH5" s="2376"/>
      <c r="AI5" s="2376"/>
      <c r="AJ5" s="2376"/>
      <c r="AK5" s="2376"/>
      <c r="AL5" s="2376"/>
      <c r="AM5" s="2376"/>
      <c r="AN5" s="2376"/>
      <c r="AO5" s="2376"/>
      <c r="AP5" s="2376"/>
      <c r="AQ5" s="2376"/>
      <c r="AR5" s="2376"/>
      <c r="AS5" s="2376"/>
      <c r="AT5" s="2376"/>
      <c r="AU5" s="2376"/>
      <c r="AV5" s="2376"/>
      <c r="AW5" s="2376"/>
      <c r="AX5" s="2376"/>
      <c r="AY5" s="2376"/>
      <c r="AZ5" s="2376"/>
      <c r="BA5" s="2376"/>
      <c r="BB5" s="2376"/>
      <c r="BC5" s="2376"/>
      <c r="BD5" s="2376"/>
      <c r="BE5" s="2376"/>
      <c r="BF5" s="2377"/>
      <c r="BG5" s="2394" t="s">
        <v>29</v>
      </c>
      <c r="BH5" s="2394"/>
      <c r="BI5" s="2394"/>
      <c r="BJ5" s="2394"/>
      <c r="BK5" s="2394"/>
      <c r="BL5" s="2394"/>
      <c r="BM5" s="2395"/>
      <c r="BN5" s="2396"/>
      <c r="BO5" s="2396"/>
      <c r="BP5" s="2396"/>
      <c r="BQ5" s="2397"/>
      <c r="BR5" s="99"/>
      <c r="BS5" s="99"/>
      <c r="BT5" s="99"/>
      <c r="BU5" s="99"/>
      <c r="BV5" s="99"/>
      <c r="BW5" s="99"/>
      <c r="BX5" s="99"/>
      <c r="BY5" s="99"/>
      <c r="BZ5" s="99"/>
      <c r="CA5" s="99"/>
      <c r="CB5" s="99"/>
      <c r="CC5" s="99"/>
      <c r="CD5" s="99"/>
      <c r="CE5" s="99"/>
      <c r="CF5" s="99"/>
      <c r="CG5" s="99"/>
      <c r="CH5" s="99"/>
      <c r="CI5" s="99"/>
      <c r="CJ5" s="99"/>
      <c r="CK5" s="99"/>
    </row>
    <row r="6" spans="1:89" ht="27.75" customHeight="1" x14ac:dyDescent="0.2">
      <c r="A6" s="2386" t="s">
        <v>9</v>
      </c>
      <c r="B6" s="2388" t="s">
        <v>10</v>
      </c>
      <c r="C6" s="2388"/>
      <c r="D6" s="2388" t="s">
        <v>9</v>
      </c>
      <c r="E6" s="2388" t="s">
        <v>11</v>
      </c>
      <c r="F6" s="2388"/>
      <c r="G6" s="2388" t="s">
        <v>9</v>
      </c>
      <c r="H6" s="2388" t="s">
        <v>12</v>
      </c>
      <c r="I6" s="2388"/>
      <c r="J6" s="2388" t="s">
        <v>9</v>
      </c>
      <c r="K6" s="2388" t="s">
        <v>13</v>
      </c>
      <c r="L6" s="2388" t="s">
        <v>14</v>
      </c>
      <c r="M6" s="2388" t="s">
        <v>15</v>
      </c>
      <c r="N6" s="2388" t="s">
        <v>16</v>
      </c>
      <c r="O6" s="2388" t="s">
        <v>98</v>
      </c>
      <c r="P6" s="2388" t="s">
        <v>8</v>
      </c>
      <c r="Q6" s="2420" t="s">
        <v>18</v>
      </c>
      <c r="R6" s="2422" t="s">
        <v>19</v>
      </c>
      <c r="S6" s="2388" t="s">
        <v>20</v>
      </c>
      <c r="T6" s="2388" t="s">
        <v>21</v>
      </c>
      <c r="U6" s="2388" t="s">
        <v>22</v>
      </c>
      <c r="V6" s="2416" t="s">
        <v>19</v>
      </c>
      <c r="W6" s="2416" t="s">
        <v>99</v>
      </c>
      <c r="X6" s="2416" t="s">
        <v>100</v>
      </c>
      <c r="Y6" s="2386" t="s">
        <v>9</v>
      </c>
      <c r="Z6" s="2418" t="s">
        <v>23</v>
      </c>
      <c r="AA6" s="2427" t="s">
        <v>24</v>
      </c>
      <c r="AB6" s="2428"/>
      <c r="AC6" s="2428"/>
      <c r="AD6" s="468"/>
      <c r="AE6" s="2398" t="s">
        <v>25</v>
      </c>
      <c r="AF6" s="2399"/>
      <c r="AG6" s="2399"/>
      <c r="AH6" s="2399"/>
      <c r="AI6" s="2399"/>
      <c r="AJ6" s="2399"/>
      <c r="AK6" s="2399"/>
      <c r="AL6" s="469"/>
      <c r="AM6" s="2400" t="s">
        <v>26</v>
      </c>
      <c r="AN6" s="2401"/>
      <c r="AO6" s="2401"/>
      <c r="AP6" s="2401"/>
      <c r="AQ6" s="2401"/>
      <c r="AR6" s="2401"/>
      <c r="AS6" s="2401"/>
      <c r="AT6" s="2401"/>
      <c r="AU6" s="2401"/>
      <c r="AV6" s="2401"/>
      <c r="AW6" s="2401"/>
      <c r="AX6" s="786"/>
      <c r="AY6" s="2398" t="s">
        <v>27</v>
      </c>
      <c r="AZ6" s="2399"/>
      <c r="BA6" s="2399"/>
      <c r="BB6" s="2399"/>
      <c r="BC6" s="2399"/>
      <c r="BD6" s="488"/>
      <c r="BE6" s="2402" t="s">
        <v>28</v>
      </c>
      <c r="BF6" s="2403"/>
      <c r="BG6" s="2392" t="s">
        <v>48</v>
      </c>
      <c r="BH6" s="2391" t="s">
        <v>49</v>
      </c>
      <c r="BI6" s="2392" t="s">
        <v>50</v>
      </c>
      <c r="BJ6" s="2393" t="s">
        <v>51</v>
      </c>
      <c r="BK6" s="2392" t="s">
        <v>52</v>
      </c>
      <c r="BL6" s="2392" t="s">
        <v>53</v>
      </c>
      <c r="BM6" s="2378" t="s">
        <v>30</v>
      </c>
      <c r="BN6" s="2378"/>
      <c r="BO6" s="2378" t="s">
        <v>31</v>
      </c>
      <c r="BP6" s="2378"/>
      <c r="BQ6" s="2379" t="s">
        <v>32</v>
      </c>
      <c r="BR6" s="99"/>
      <c r="BS6" s="99"/>
      <c r="BT6" s="99"/>
      <c r="BU6" s="99"/>
      <c r="BV6" s="99"/>
      <c r="BW6" s="99"/>
      <c r="BX6" s="99"/>
      <c r="BY6" s="99"/>
      <c r="BZ6" s="99"/>
      <c r="CA6" s="99"/>
      <c r="CB6" s="99"/>
      <c r="CC6" s="99"/>
      <c r="CD6" s="99"/>
      <c r="CE6" s="99"/>
      <c r="CF6" s="99"/>
      <c r="CG6" s="99"/>
      <c r="CH6" s="99"/>
      <c r="CI6" s="99"/>
      <c r="CJ6" s="99"/>
      <c r="CK6" s="99"/>
    </row>
    <row r="7" spans="1:89" s="89" customFormat="1" ht="124.5" customHeight="1" x14ac:dyDescent="0.25">
      <c r="A7" s="2387"/>
      <c r="B7" s="2389"/>
      <c r="C7" s="2389"/>
      <c r="D7" s="2389"/>
      <c r="E7" s="2389"/>
      <c r="F7" s="2389"/>
      <c r="G7" s="2389"/>
      <c r="H7" s="2389"/>
      <c r="I7" s="2389"/>
      <c r="J7" s="2389"/>
      <c r="K7" s="2389"/>
      <c r="L7" s="2389"/>
      <c r="M7" s="2390"/>
      <c r="N7" s="2389"/>
      <c r="O7" s="2389"/>
      <c r="P7" s="2389"/>
      <c r="Q7" s="2421"/>
      <c r="R7" s="2423"/>
      <c r="S7" s="2389"/>
      <c r="T7" s="2389"/>
      <c r="U7" s="2389"/>
      <c r="V7" s="2417"/>
      <c r="W7" s="2417"/>
      <c r="X7" s="2417"/>
      <c r="Y7" s="2387"/>
      <c r="Z7" s="2419"/>
      <c r="AA7" s="2382" t="s">
        <v>33</v>
      </c>
      <c r="AB7" s="2383"/>
      <c r="AC7" s="2384" t="s">
        <v>34</v>
      </c>
      <c r="AD7" s="2385"/>
      <c r="AE7" s="2382" t="s">
        <v>35</v>
      </c>
      <c r="AF7" s="2383"/>
      <c r="AG7" s="2382" t="s">
        <v>36</v>
      </c>
      <c r="AH7" s="2383"/>
      <c r="AI7" s="2382" t="s">
        <v>272</v>
      </c>
      <c r="AJ7" s="2383"/>
      <c r="AK7" s="2382" t="s">
        <v>38</v>
      </c>
      <c r="AL7" s="2383"/>
      <c r="AM7" s="2382" t="s">
        <v>39</v>
      </c>
      <c r="AN7" s="2383"/>
      <c r="AO7" s="2382" t="s">
        <v>40</v>
      </c>
      <c r="AP7" s="2383"/>
      <c r="AQ7" s="2382" t="s">
        <v>41</v>
      </c>
      <c r="AR7" s="2383"/>
      <c r="AS7" s="2382" t="s">
        <v>42</v>
      </c>
      <c r="AT7" s="2383"/>
      <c r="AU7" s="2382" t="s">
        <v>43</v>
      </c>
      <c r="AV7" s="2383"/>
      <c r="AW7" s="2382" t="s">
        <v>101</v>
      </c>
      <c r="AX7" s="2383"/>
      <c r="AY7" s="2410" t="s">
        <v>45</v>
      </c>
      <c r="AZ7" s="2411"/>
      <c r="BA7" s="2410" t="s">
        <v>46</v>
      </c>
      <c r="BB7" s="2411"/>
      <c r="BC7" s="2410" t="s">
        <v>47</v>
      </c>
      <c r="BD7" s="2411"/>
      <c r="BE7" s="2404"/>
      <c r="BF7" s="2405"/>
      <c r="BG7" s="2392"/>
      <c r="BH7" s="2391"/>
      <c r="BI7" s="2392"/>
      <c r="BJ7" s="2393"/>
      <c r="BK7" s="2392"/>
      <c r="BL7" s="2392"/>
      <c r="BM7" s="2378"/>
      <c r="BN7" s="2378"/>
      <c r="BO7" s="2378"/>
      <c r="BP7" s="2378"/>
      <c r="BQ7" s="2380"/>
      <c r="BR7" s="103"/>
      <c r="BS7" s="103"/>
      <c r="BT7" s="103"/>
      <c r="BU7" s="103"/>
      <c r="BV7" s="103"/>
      <c r="BW7" s="103"/>
      <c r="BX7" s="103"/>
      <c r="BY7" s="103"/>
      <c r="BZ7" s="103"/>
      <c r="CA7" s="103"/>
      <c r="CB7" s="103"/>
      <c r="CC7" s="103"/>
      <c r="CD7" s="103"/>
      <c r="CE7" s="103"/>
      <c r="CF7" s="103"/>
      <c r="CG7" s="103"/>
      <c r="CH7" s="103"/>
      <c r="CI7" s="103"/>
      <c r="CJ7" s="103"/>
      <c r="CK7" s="103"/>
    </row>
    <row r="8" spans="1:89" s="89" customFormat="1" ht="25.5" customHeight="1" x14ac:dyDescent="0.25">
      <c r="A8" s="791"/>
      <c r="B8" s="470"/>
      <c r="C8" s="792"/>
      <c r="D8" s="487"/>
      <c r="E8" s="470"/>
      <c r="F8" s="792"/>
      <c r="G8" s="487"/>
      <c r="H8" s="470"/>
      <c r="I8" s="792"/>
      <c r="J8" s="487"/>
      <c r="K8" s="487"/>
      <c r="L8" s="487"/>
      <c r="M8" s="487"/>
      <c r="N8" s="487"/>
      <c r="O8" s="487"/>
      <c r="P8" s="487"/>
      <c r="Q8" s="491"/>
      <c r="R8" s="492"/>
      <c r="S8" s="487"/>
      <c r="T8" s="487"/>
      <c r="U8" s="487"/>
      <c r="V8" s="467"/>
      <c r="W8" s="467"/>
      <c r="X8" s="467"/>
      <c r="Y8" s="791"/>
      <c r="Z8" s="792"/>
      <c r="AA8" s="486" t="s">
        <v>54</v>
      </c>
      <c r="AB8" s="486" t="s">
        <v>55</v>
      </c>
      <c r="AC8" s="486" t="s">
        <v>54</v>
      </c>
      <c r="AD8" s="486" t="s">
        <v>55</v>
      </c>
      <c r="AE8" s="486" t="s">
        <v>54</v>
      </c>
      <c r="AF8" s="486" t="s">
        <v>55</v>
      </c>
      <c r="AG8" s="486" t="s">
        <v>54</v>
      </c>
      <c r="AH8" s="486" t="s">
        <v>55</v>
      </c>
      <c r="AI8" s="486" t="s">
        <v>54</v>
      </c>
      <c r="AJ8" s="486" t="s">
        <v>55</v>
      </c>
      <c r="AK8" s="486" t="s">
        <v>54</v>
      </c>
      <c r="AL8" s="486" t="s">
        <v>55</v>
      </c>
      <c r="AM8" s="486" t="s">
        <v>54</v>
      </c>
      <c r="AN8" s="486" t="s">
        <v>55</v>
      </c>
      <c r="AO8" s="486" t="s">
        <v>54</v>
      </c>
      <c r="AP8" s="486" t="s">
        <v>55</v>
      </c>
      <c r="AQ8" s="486" t="s">
        <v>54</v>
      </c>
      <c r="AR8" s="486" t="s">
        <v>55</v>
      </c>
      <c r="AS8" s="486" t="s">
        <v>54</v>
      </c>
      <c r="AT8" s="486" t="s">
        <v>55</v>
      </c>
      <c r="AU8" s="486" t="s">
        <v>54</v>
      </c>
      <c r="AV8" s="486" t="s">
        <v>55</v>
      </c>
      <c r="AW8" s="486" t="s">
        <v>54</v>
      </c>
      <c r="AX8" s="486" t="s">
        <v>55</v>
      </c>
      <c r="AY8" s="486" t="s">
        <v>54</v>
      </c>
      <c r="AZ8" s="486" t="s">
        <v>55</v>
      </c>
      <c r="BA8" s="486" t="s">
        <v>54</v>
      </c>
      <c r="BB8" s="486" t="s">
        <v>55</v>
      </c>
      <c r="BC8" s="486" t="s">
        <v>54</v>
      </c>
      <c r="BD8" s="486" t="s">
        <v>55</v>
      </c>
      <c r="BE8" s="486" t="s">
        <v>54</v>
      </c>
      <c r="BF8" s="486" t="s">
        <v>55</v>
      </c>
      <c r="BG8" s="486"/>
      <c r="BH8" s="486"/>
      <c r="BI8" s="486"/>
      <c r="BJ8" s="486"/>
      <c r="BK8" s="486"/>
      <c r="BL8" s="486"/>
      <c r="BM8" s="486" t="s">
        <v>54</v>
      </c>
      <c r="BN8" s="486" t="s">
        <v>55</v>
      </c>
      <c r="BO8" s="486" t="s">
        <v>54</v>
      </c>
      <c r="BP8" s="486" t="s">
        <v>55</v>
      </c>
      <c r="BQ8" s="2381"/>
      <c r="BR8" s="103"/>
      <c r="BS8" s="103"/>
      <c r="BT8" s="103"/>
      <c r="BU8" s="103"/>
      <c r="BV8" s="103"/>
      <c r="BW8" s="103"/>
      <c r="BX8" s="103"/>
      <c r="BY8" s="103"/>
      <c r="BZ8" s="103"/>
      <c r="CA8" s="103"/>
      <c r="CB8" s="103"/>
      <c r="CC8" s="103"/>
      <c r="CD8" s="103"/>
      <c r="CE8" s="103"/>
      <c r="CF8" s="103"/>
      <c r="CG8" s="103"/>
      <c r="CH8" s="103"/>
      <c r="CI8" s="103"/>
      <c r="CJ8" s="103"/>
      <c r="CK8" s="103"/>
    </row>
    <row r="9" spans="1:89" ht="15.75" customHeight="1" x14ac:dyDescent="0.2">
      <c r="A9" s="769">
        <v>5</v>
      </c>
      <c r="B9" s="2412" t="s">
        <v>59</v>
      </c>
      <c r="C9" s="2412"/>
      <c r="D9" s="2413"/>
      <c r="E9" s="2413"/>
      <c r="F9" s="2413"/>
      <c r="G9" s="2413"/>
      <c r="H9" s="2413"/>
      <c r="I9" s="2413"/>
      <c r="J9" s="2413"/>
      <c r="K9" s="2413"/>
      <c r="L9" s="105"/>
      <c r="M9" s="105"/>
      <c r="N9" s="106"/>
      <c r="O9" s="107"/>
      <c r="P9" s="105"/>
      <c r="Q9" s="105"/>
      <c r="R9" s="106"/>
      <c r="S9" s="107"/>
      <c r="T9" s="105"/>
      <c r="U9" s="106"/>
      <c r="V9" s="107"/>
      <c r="W9" s="107"/>
      <c r="X9" s="107"/>
      <c r="Y9" s="108"/>
      <c r="Z9" s="489"/>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1"/>
      <c r="BN9" s="111"/>
      <c r="BO9" s="111"/>
      <c r="BP9" s="111"/>
      <c r="BQ9" s="112"/>
      <c r="BR9" s="99"/>
      <c r="BS9" s="99"/>
      <c r="BT9" s="99"/>
      <c r="BU9" s="99"/>
      <c r="BV9" s="99"/>
      <c r="BW9" s="99"/>
      <c r="BX9" s="99"/>
      <c r="BY9" s="99"/>
      <c r="BZ9" s="99"/>
      <c r="CA9" s="99"/>
      <c r="CB9" s="99"/>
      <c r="CC9" s="99"/>
      <c r="CD9" s="99"/>
      <c r="CE9" s="99"/>
      <c r="CF9" s="99"/>
      <c r="CG9" s="99"/>
      <c r="CH9" s="99"/>
      <c r="CI9" s="99"/>
      <c r="CJ9" s="99"/>
      <c r="CK9" s="99"/>
    </row>
    <row r="10" spans="1:89" s="99" customFormat="1" ht="23.25" customHeight="1" x14ac:dyDescent="0.2">
      <c r="A10" s="773"/>
      <c r="B10" s="759"/>
      <c r="C10" s="774"/>
      <c r="D10" s="113">
        <v>26</v>
      </c>
      <c r="E10" s="2414" t="s">
        <v>102</v>
      </c>
      <c r="F10" s="2414"/>
      <c r="G10" s="2414"/>
      <c r="H10" s="2414"/>
      <c r="I10" s="2414"/>
      <c r="J10" s="2414"/>
      <c r="K10" s="2414"/>
      <c r="L10" s="115"/>
      <c r="M10" s="115"/>
      <c r="N10" s="116"/>
      <c r="O10" s="117"/>
      <c r="P10" s="115"/>
      <c r="Q10" s="115"/>
      <c r="R10" s="116"/>
      <c r="S10" s="117"/>
      <c r="T10" s="115"/>
      <c r="U10" s="116"/>
      <c r="V10" s="117"/>
      <c r="W10" s="117"/>
      <c r="X10" s="117"/>
      <c r="Y10" s="118"/>
      <c r="Z10" s="119"/>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1"/>
      <c r="BN10" s="121"/>
      <c r="BO10" s="121"/>
      <c r="BP10" s="121"/>
      <c r="BQ10" s="122"/>
    </row>
    <row r="11" spans="1:89" s="99" customFormat="1" ht="32.25" customHeight="1" x14ac:dyDescent="0.2">
      <c r="A11" s="123"/>
      <c r="B11" s="772"/>
      <c r="C11" s="775"/>
      <c r="D11" s="759"/>
      <c r="E11" s="759"/>
      <c r="F11" s="774"/>
      <c r="G11" s="124">
        <v>83</v>
      </c>
      <c r="H11" s="2415" t="s">
        <v>103</v>
      </c>
      <c r="I11" s="2415"/>
      <c r="J11" s="2415"/>
      <c r="K11" s="2415"/>
      <c r="L11" s="125"/>
      <c r="M11" s="125"/>
      <c r="N11" s="126"/>
      <c r="O11" s="127"/>
      <c r="P11" s="125"/>
      <c r="Q11" s="125"/>
      <c r="R11" s="126"/>
      <c r="S11" s="127"/>
      <c r="T11" s="125"/>
      <c r="U11" s="126"/>
      <c r="V11" s="127"/>
      <c r="W11" s="127"/>
      <c r="X11" s="127"/>
      <c r="Y11" s="128"/>
      <c r="Z11" s="129"/>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1"/>
      <c r="BN11" s="131"/>
      <c r="BO11" s="131"/>
      <c r="BP11" s="131"/>
      <c r="BQ11" s="132"/>
    </row>
    <row r="12" spans="1:89" s="51" customFormat="1" ht="236.25" customHeight="1" x14ac:dyDescent="0.2">
      <c r="A12" s="133"/>
      <c r="B12" s="760"/>
      <c r="C12" s="481"/>
      <c r="D12" s="760"/>
      <c r="E12" s="134"/>
      <c r="F12" s="481"/>
      <c r="G12" s="806"/>
      <c r="H12" s="134"/>
      <c r="I12" s="134"/>
      <c r="J12" s="2406">
        <v>246</v>
      </c>
      <c r="K12" s="2408" t="s">
        <v>104</v>
      </c>
      <c r="L12" s="2406" t="s">
        <v>105</v>
      </c>
      <c r="M12" s="2406">
        <v>13</v>
      </c>
      <c r="N12" s="2406" t="s">
        <v>106</v>
      </c>
      <c r="O12" s="2406" t="s">
        <v>107</v>
      </c>
      <c r="P12" s="2408" t="s">
        <v>108</v>
      </c>
      <c r="Q12" s="2429">
        <f>+(V12+V13+V14+V15+V16+V17)/R12</f>
        <v>1</v>
      </c>
      <c r="R12" s="2431">
        <f>SUM(V12:V17)</f>
        <v>30000000</v>
      </c>
      <c r="S12" s="2408" t="s">
        <v>109</v>
      </c>
      <c r="T12" s="136" t="s">
        <v>110</v>
      </c>
      <c r="U12" s="137" t="s">
        <v>111</v>
      </c>
      <c r="V12" s="728">
        <v>1200000</v>
      </c>
      <c r="W12" s="728"/>
      <c r="X12" s="728"/>
      <c r="Y12" s="478">
        <v>20</v>
      </c>
      <c r="Z12" s="473" t="s">
        <v>70</v>
      </c>
      <c r="AA12" s="2424">
        <v>295972</v>
      </c>
      <c r="AB12" s="2424"/>
      <c r="AC12" s="2424">
        <v>285580</v>
      </c>
      <c r="AD12" s="2424"/>
      <c r="AE12" s="2424">
        <v>135545</v>
      </c>
      <c r="AF12" s="2424"/>
      <c r="AG12" s="2424">
        <v>44254</v>
      </c>
      <c r="AH12" s="2424"/>
      <c r="AI12" s="2424">
        <v>309146</v>
      </c>
      <c r="AJ12" s="2424"/>
      <c r="AK12" s="2424">
        <v>92607</v>
      </c>
      <c r="AL12" s="2424"/>
      <c r="AM12" s="2424">
        <v>2145</v>
      </c>
      <c r="AN12" s="2424"/>
      <c r="AO12" s="2424">
        <v>12718</v>
      </c>
      <c r="AP12" s="2424"/>
      <c r="AQ12" s="2424">
        <v>26</v>
      </c>
      <c r="AR12" s="2424"/>
      <c r="AS12" s="2424">
        <v>37</v>
      </c>
      <c r="AT12" s="2424"/>
      <c r="AU12" s="2424">
        <v>0</v>
      </c>
      <c r="AV12" s="2424"/>
      <c r="AW12" s="2424">
        <v>0</v>
      </c>
      <c r="AX12" s="2424"/>
      <c r="AY12" s="2424">
        <v>44350</v>
      </c>
      <c r="AZ12" s="2424"/>
      <c r="BA12" s="2424">
        <v>21944</v>
      </c>
      <c r="BB12" s="2424"/>
      <c r="BC12" s="2424">
        <v>75687</v>
      </c>
      <c r="BD12" s="2424"/>
      <c r="BE12" s="2424">
        <f>SUM(AE12:AK12)</f>
        <v>581552</v>
      </c>
      <c r="BF12" s="2424"/>
      <c r="BG12" s="2424"/>
      <c r="BH12" s="2424"/>
      <c r="BI12" s="2424"/>
      <c r="BJ12" s="2424"/>
      <c r="BK12" s="2424"/>
      <c r="BL12" s="2424"/>
      <c r="BM12" s="2439">
        <v>43832</v>
      </c>
      <c r="BN12" s="2424"/>
      <c r="BO12" s="2439">
        <v>44196</v>
      </c>
      <c r="BP12" s="2424"/>
      <c r="BQ12" s="2433" t="s">
        <v>763</v>
      </c>
      <c r="BR12" s="2435"/>
    </row>
    <row r="13" spans="1:89" s="51" customFormat="1" ht="196.5" customHeight="1" x14ac:dyDescent="0.2">
      <c r="A13" s="133"/>
      <c r="B13" s="760"/>
      <c r="C13" s="481"/>
      <c r="D13" s="760"/>
      <c r="E13" s="134"/>
      <c r="F13" s="481"/>
      <c r="G13" s="135"/>
      <c r="H13" s="134"/>
      <c r="I13" s="134"/>
      <c r="J13" s="2407"/>
      <c r="K13" s="2409"/>
      <c r="L13" s="2407"/>
      <c r="M13" s="2407"/>
      <c r="N13" s="2407"/>
      <c r="O13" s="2407"/>
      <c r="P13" s="2409"/>
      <c r="Q13" s="2430"/>
      <c r="R13" s="2432"/>
      <c r="S13" s="2409"/>
      <c r="T13" s="2406" t="s">
        <v>112</v>
      </c>
      <c r="U13" s="496" t="s">
        <v>113</v>
      </c>
      <c r="V13" s="728">
        <v>1200000</v>
      </c>
      <c r="W13" s="728"/>
      <c r="X13" s="728"/>
      <c r="Y13" s="478">
        <v>20</v>
      </c>
      <c r="Z13" s="473" t="s">
        <v>70</v>
      </c>
      <c r="AA13" s="2425"/>
      <c r="AB13" s="2425"/>
      <c r="AC13" s="2425"/>
      <c r="AD13" s="2425"/>
      <c r="AE13" s="2425"/>
      <c r="AF13" s="2425"/>
      <c r="AG13" s="2425"/>
      <c r="AH13" s="2425"/>
      <c r="AI13" s="2425"/>
      <c r="AJ13" s="2425"/>
      <c r="AK13" s="2425"/>
      <c r="AL13" s="2425"/>
      <c r="AM13" s="2425"/>
      <c r="AN13" s="2425"/>
      <c r="AO13" s="2425"/>
      <c r="AP13" s="2425"/>
      <c r="AQ13" s="2425"/>
      <c r="AR13" s="2425"/>
      <c r="AS13" s="2425"/>
      <c r="AT13" s="2425"/>
      <c r="AU13" s="2425"/>
      <c r="AV13" s="2425"/>
      <c r="AW13" s="2425"/>
      <c r="AX13" s="2425"/>
      <c r="AY13" s="2425"/>
      <c r="AZ13" s="2425"/>
      <c r="BA13" s="2425"/>
      <c r="BB13" s="2425"/>
      <c r="BC13" s="2425"/>
      <c r="BD13" s="2425"/>
      <c r="BE13" s="2425"/>
      <c r="BF13" s="2425"/>
      <c r="BG13" s="2425"/>
      <c r="BH13" s="2425"/>
      <c r="BI13" s="2425"/>
      <c r="BJ13" s="2425"/>
      <c r="BK13" s="2425"/>
      <c r="BL13" s="2425"/>
      <c r="BM13" s="2440"/>
      <c r="BN13" s="2425"/>
      <c r="BO13" s="2440"/>
      <c r="BP13" s="2425"/>
      <c r="BQ13" s="2434"/>
      <c r="BR13" s="2435"/>
    </row>
    <row r="14" spans="1:89" s="51" customFormat="1" ht="38.25" customHeight="1" x14ac:dyDescent="0.2">
      <c r="A14" s="133"/>
      <c r="B14" s="760"/>
      <c r="C14" s="481"/>
      <c r="D14" s="760"/>
      <c r="E14" s="134"/>
      <c r="F14" s="481"/>
      <c r="G14" s="135"/>
      <c r="H14" s="134"/>
      <c r="I14" s="134"/>
      <c r="J14" s="2407"/>
      <c r="K14" s="2409"/>
      <c r="L14" s="2407"/>
      <c r="M14" s="2407"/>
      <c r="N14" s="2407"/>
      <c r="O14" s="2407"/>
      <c r="P14" s="2409"/>
      <c r="Q14" s="2430"/>
      <c r="R14" s="2432"/>
      <c r="S14" s="2409"/>
      <c r="T14" s="2407"/>
      <c r="U14" s="496" t="s">
        <v>114</v>
      </c>
      <c r="V14" s="728">
        <v>12000000</v>
      </c>
      <c r="W14" s="728"/>
      <c r="X14" s="728"/>
      <c r="Y14" s="478">
        <v>20</v>
      </c>
      <c r="Z14" s="473" t="s">
        <v>70</v>
      </c>
      <c r="AA14" s="2425"/>
      <c r="AB14" s="2425"/>
      <c r="AC14" s="2425"/>
      <c r="AD14" s="2425"/>
      <c r="AE14" s="2425"/>
      <c r="AF14" s="2425"/>
      <c r="AG14" s="2425"/>
      <c r="AH14" s="2425"/>
      <c r="AI14" s="2425"/>
      <c r="AJ14" s="2425"/>
      <c r="AK14" s="2425"/>
      <c r="AL14" s="2425"/>
      <c r="AM14" s="2425"/>
      <c r="AN14" s="2425"/>
      <c r="AO14" s="2425"/>
      <c r="AP14" s="2425"/>
      <c r="AQ14" s="2425"/>
      <c r="AR14" s="2425"/>
      <c r="AS14" s="2425"/>
      <c r="AT14" s="2425"/>
      <c r="AU14" s="2425"/>
      <c r="AV14" s="2425"/>
      <c r="AW14" s="2425"/>
      <c r="AX14" s="2425"/>
      <c r="AY14" s="2425"/>
      <c r="AZ14" s="2425"/>
      <c r="BA14" s="2425"/>
      <c r="BB14" s="2425"/>
      <c r="BC14" s="2425"/>
      <c r="BD14" s="2425"/>
      <c r="BE14" s="2425"/>
      <c r="BF14" s="2425"/>
      <c r="BG14" s="2425"/>
      <c r="BH14" s="2425"/>
      <c r="BI14" s="2425"/>
      <c r="BJ14" s="2425"/>
      <c r="BK14" s="2425"/>
      <c r="BL14" s="2425"/>
      <c r="BM14" s="2440"/>
      <c r="BN14" s="2425"/>
      <c r="BO14" s="2440"/>
      <c r="BP14" s="2425"/>
      <c r="BQ14" s="2434"/>
      <c r="BR14" s="2435"/>
    </row>
    <row r="15" spans="1:89" s="51" customFormat="1" ht="41.25" customHeight="1" x14ac:dyDescent="0.2">
      <c r="A15" s="133"/>
      <c r="B15" s="760"/>
      <c r="C15" s="481"/>
      <c r="D15" s="760"/>
      <c r="E15" s="134"/>
      <c r="F15" s="481"/>
      <c r="G15" s="135"/>
      <c r="H15" s="134"/>
      <c r="I15" s="134"/>
      <c r="J15" s="2407"/>
      <c r="K15" s="2409"/>
      <c r="L15" s="2407"/>
      <c r="M15" s="2407"/>
      <c r="N15" s="2407"/>
      <c r="O15" s="2407"/>
      <c r="P15" s="2409"/>
      <c r="Q15" s="2430"/>
      <c r="R15" s="2432"/>
      <c r="S15" s="2409"/>
      <c r="T15" s="2407"/>
      <c r="U15" s="137" t="s">
        <v>115</v>
      </c>
      <c r="V15" s="728">
        <v>3600000</v>
      </c>
      <c r="W15" s="728"/>
      <c r="X15" s="728"/>
      <c r="Y15" s="478">
        <v>20</v>
      </c>
      <c r="Z15" s="473" t="s">
        <v>70</v>
      </c>
      <c r="AA15" s="2425"/>
      <c r="AB15" s="2425"/>
      <c r="AC15" s="2425"/>
      <c r="AD15" s="2425"/>
      <c r="AE15" s="2425"/>
      <c r="AF15" s="2425"/>
      <c r="AG15" s="2425"/>
      <c r="AH15" s="2425"/>
      <c r="AI15" s="2425"/>
      <c r="AJ15" s="2425"/>
      <c r="AK15" s="2425"/>
      <c r="AL15" s="2425"/>
      <c r="AM15" s="2425"/>
      <c r="AN15" s="2425"/>
      <c r="AO15" s="2425"/>
      <c r="AP15" s="2425"/>
      <c r="AQ15" s="2425"/>
      <c r="AR15" s="2425"/>
      <c r="AS15" s="2425"/>
      <c r="AT15" s="2425"/>
      <c r="AU15" s="2425"/>
      <c r="AV15" s="2425"/>
      <c r="AW15" s="2425"/>
      <c r="AX15" s="2425"/>
      <c r="AY15" s="2425"/>
      <c r="AZ15" s="2425"/>
      <c r="BA15" s="2425"/>
      <c r="BB15" s="2425"/>
      <c r="BC15" s="2425"/>
      <c r="BD15" s="2425"/>
      <c r="BE15" s="2425"/>
      <c r="BF15" s="2425"/>
      <c r="BG15" s="2425"/>
      <c r="BH15" s="2425"/>
      <c r="BI15" s="2425"/>
      <c r="BJ15" s="2425"/>
      <c r="BK15" s="2425"/>
      <c r="BL15" s="2425"/>
      <c r="BM15" s="2440"/>
      <c r="BN15" s="2425"/>
      <c r="BO15" s="2440"/>
      <c r="BP15" s="2425"/>
      <c r="BQ15" s="2434"/>
      <c r="BR15" s="2435"/>
    </row>
    <row r="16" spans="1:89" s="51" customFormat="1" ht="188.25" customHeight="1" x14ac:dyDescent="0.2">
      <c r="A16" s="133"/>
      <c r="B16" s="760"/>
      <c r="C16" s="481"/>
      <c r="D16" s="760"/>
      <c r="E16" s="134"/>
      <c r="F16" s="481"/>
      <c r="G16" s="135"/>
      <c r="H16" s="134"/>
      <c r="I16" s="134"/>
      <c r="J16" s="2407"/>
      <c r="K16" s="2409"/>
      <c r="L16" s="2407"/>
      <c r="M16" s="2407"/>
      <c r="N16" s="2407"/>
      <c r="O16" s="2407"/>
      <c r="P16" s="2409"/>
      <c r="Q16" s="2430"/>
      <c r="R16" s="2432"/>
      <c r="S16" s="2409"/>
      <c r="T16" s="2407"/>
      <c r="U16" s="496" t="s">
        <v>116</v>
      </c>
      <c r="V16" s="728">
        <v>3600000</v>
      </c>
      <c r="W16" s="728"/>
      <c r="X16" s="728"/>
      <c r="Y16" s="478">
        <v>20</v>
      </c>
      <c r="Z16" s="473" t="s">
        <v>70</v>
      </c>
      <c r="AA16" s="2425"/>
      <c r="AB16" s="2425"/>
      <c r="AC16" s="2425"/>
      <c r="AD16" s="2425"/>
      <c r="AE16" s="2425"/>
      <c r="AF16" s="2425"/>
      <c r="AG16" s="2425"/>
      <c r="AH16" s="2425"/>
      <c r="AI16" s="2425"/>
      <c r="AJ16" s="2425"/>
      <c r="AK16" s="2425"/>
      <c r="AL16" s="2425"/>
      <c r="AM16" s="2425"/>
      <c r="AN16" s="2425"/>
      <c r="AO16" s="2425"/>
      <c r="AP16" s="2425"/>
      <c r="AQ16" s="2425"/>
      <c r="AR16" s="2425"/>
      <c r="AS16" s="2425"/>
      <c r="AT16" s="2425"/>
      <c r="AU16" s="2425"/>
      <c r="AV16" s="2425"/>
      <c r="AW16" s="2425"/>
      <c r="AX16" s="2425"/>
      <c r="AY16" s="2425"/>
      <c r="AZ16" s="2425"/>
      <c r="BA16" s="2425"/>
      <c r="BB16" s="2425"/>
      <c r="BC16" s="2425"/>
      <c r="BD16" s="2425"/>
      <c r="BE16" s="2425"/>
      <c r="BF16" s="2425"/>
      <c r="BG16" s="2425"/>
      <c r="BH16" s="2425"/>
      <c r="BI16" s="2425"/>
      <c r="BJ16" s="2425"/>
      <c r="BK16" s="2425"/>
      <c r="BL16" s="2425"/>
      <c r="BM16" s="2440"/>
      <c r="BN16" s="2425"/>
      <c r="BO16" s="2440"/>
      <c r="BP16" s="2425"/>
      <c r="BQ16" s="2434"/>
      <c r="BR16" s="2435"/>
    </row>
    <row r="17" spans="1:70" s="51" customFormat="1" ht="42.75" customHeight="1" x14ac:dyDescent="0.2">
      <c r="A17" s="133"/>
      <c r="B17" s="760"/>
      <c r="C17" s="481"/>
      <c r="D17" s="760"/>
      <c r="E17" s="134"/>
      <c r="F17" s="481"/>
      <c r="G17" s="135"/>
      <c r="H17" s="134"/>
      <c r="I17" s="134"/>
      <c r="J17" s="2407"/>
      <c r="K17" s="2409"/>
      <c r="L17" s="2407"/>
      <c r="M17" s="2407"/>
      <c r="N17" s="2407"/>
      <c r="O17" s="2407"/>
      <c r="P17" s="2409"/>
      <c r="Q17" s="2430"/>
      <c r="R17" s="2432"/>
      <c r="S17" s="2409"/>
      <c r="T17" s="2407"/>
      <c r="U17" s="496" t="s">
        <v>117</v>
      </c>
      <c r="V17" s="728">
        <v>8400000</v>
      </c>
      <c r="W17" s="728"/>
      <c r="X17" s="728"/>
      <c r="Y17" s="478">
        <v>20</v>
      </c>
      <c r="Z17" s="473" t="s">
        <v>70</v>
      </c>
      <c r="AA17" s="2426"/>
      <c r="AB17" s="2426"/>
      <c r="AC17" s="2426"/>
      <c r="AD17" s="2426"/>
      <c r="AE17" s="2426"/>
      <c r="AF17" s="2426"/>
      <c r="AG17" s="2426"/>
      <c r="AH17" s="2426"/>
      <c r="AI17" s="2426"/>
      <c r="AJ17" s="2426"/>
      <c r="AK17" s="2426"/>
      <c r="AL17" s="2426"/>
      <c r="AM17" s="2426"/>
      <c r="AN17" s="2426"/>
      <c r="AO17" s="2426"/>
      <c r="AP17" s="2426"/>
      <c r="AQ17" s="2426"/>
      <c r="AR17" s="2426"/>
      <c r="AS17" s="2426"/>
      <c r="AT17" s="2426"/>
      <c r="AU17" s="2426"/>
      <c r="AV17" s="2426"/>
      <c r="AW17" s="2426"/>
      <c r="AX17" s="2426"/>
      <c r="AY17" s="2426"/>
      <c r="AZ17" s="2426"/>
      <c r="BA17" s="2426"/>
      <c r="BB17" s="2426"/>
      <c r="BC17" s="2426"/>
      <c r="BD17" s="2426"/>
      <c r="BE17" s="2426"/>
      <c r="BF17" s="2426"/>
      <c r="BG17" s="2426"/>
      <c r="BH17" s="2426"/>
      <c r="BI17" s="2426"/>
      <c r="BJ17" s="2426"/>
      <c r="BK17" s="2426"/>
      <c r="BL17" s="2426"/>
      <c r="BM17" s="2440"/>
      <c r="BN17" s="2426"/>
      <c r="BO17" s="2440"/>
      <c r="BP17" s="2426"/>
      <c r="BQ17" s="2434"/>
      <c r="BR17" s="2435"/>
    </row>
    <row r="18" spans="1:70" s="51" customFormat="1" ht="56.25" customHeight="1" x14ac:dyDescent="0.2">
      <c r="A18" s="139"/>
      <c r="B18" s="761"/>
      <c r="C18" s="776"/>
      <c r="D18" s="761"/>
      <c r="E18" s="140"/>
      <c r="F18" s="140"/>
      <c r="G18" s="141"/>
      <c r="H18" s="140"/>
      <c r="I18" s="140"/>
      <c r="J18" s="2436">
        <v>248</v>
      </c>
      <c r="K18" s="2437" t="s">
        <v>118</v>
      </c>
      <c r="L18" s="2436" t="s">
        <v>119</v>
      </c>
      <c r="M18" s="2438">
        <v>12</v>
      </c>
      <c r="N18" s="2436" t="s">
        <v>120</v>
      </c>
      <c r="O18" s="2436" t="s">
        <v>121</v>
      </c>
      <c r="P18" s="2437" t="s">
        <v>122</v>
      </c>
      <c r="Q18" s="2441">
        <f>+(V18+V19+V20+V21+V22)/R18</f>
        <v>1</v>
      </c>
      <c r="R18" s="2442">
        <f>SUM(V18:V22)</f>
        <v>30000000</v>
      </c>
      <c r="S18" s="2443" t="s">
        <v>123</v>
      </c>
      <c r="T18" s="2437" t="s">
        <v>124</v>
      </c>
      <c r="U18" s="472" t="s">
        <v>125</v>
      </c>
      <c r="V18" s="728">
        <v>7000000</v>
      </c>
      <c r="W18" s="728"/>
      <c r="X18" s="728"/>
      <c r="Y18" s="478">
        <v>20</v>
      </c>
      <c r="Z18" s="473" t="s">
        <v>70</v>
      </c>
      <c r="AA18" s="2424">
        <v>295972</v>
      </c>
      <c r="AB18" s="2424"/>
      <c r="AC18" s="2424">
        <v>285580</v>
      </c>
      <c r="AD18" s="2424"/>
      <c r="AE18" s="2424">
        <v>135545</v>
      </c>
      <c r="AF18" s="2424"/>
      <c r="AG18" s="2424">
        <v>44254</v>
      </c>
      <c r="AH18" s="2424"/>
      <c r="AI18" s="2424">
        <v>309146</v>
      </c>
      <c r="AJ18" s="2424"/>
      <c r="AK18" s="2424">
        <v>92607</v>
      </c>
      <c r="AL18" s="2424"/>
      <c r="AM18" s="2424">
        <v>2145</v>
      </c>
      <c r="AN18" s="2424"/>
      <c r="AO18" s="2424">
        <v>12718</v>
      </c>
      <c r="AP18" s="2424"/>
      <c r="AQ18" s="2424">
        <v>26</v>
      </c>
      <c r="AR18" s="2424"/>
      <c r="AS18" s="2424">
        <v>37</v>
      </c>
      <c r="AT18" s="2424"/>
      <c r="AU18" s="2424">
        <v>0</v>
      </c>
      <c r="AV18" s="2424"/>
      <c r="AW18" s="2424">
        <v>0</v>
      </c>
      <c r="AX18" s="2424"/>
      <c r="AY18" s="2424">
        <v>44350</v>
      </c>
      <c r="AZ18" s="2424"/>
      <c r="BA18" s="2424">
        <v>21944</v>
      </c>
      <c r="BB18" s="2424"/>
      <c r="BC18" s="2424">
        <v>75687</v>
      </c>
      <c r="BD18" s="2424"/>
      <c r="BE18" s="2424">
        <f>SUM(AE18:AK18)</f>
        <v>581552</v>
      </c>
      <c r="BF18" s="2424"/>
      <c r="BG18" s="2424"/>
      <c r="BH18" s="2424"/>
      <c r="BI18" s="2424"/>
      <c r="BJ18" s="2424"/>
      <c r="BK18" s="2424"/>
      <c r="BL18" s="2424"/>
      <c r="BM18" s="2444">
        <v>43832</v>
      </c>
      <c r="BN18" s="2424"/>
      <c r="BO18" s="2444">
        <v>44196</v>
      </c>
      <c r="BP18" s="2424"/>
      <c r="BQ18" s="2445" t="s">
        <v>757</v>
      </c>
    </row>
    <row r="19" spans="1:70" s="51" customFormat="1" ht="45" customHeight="1" x14ac:dyDescent="0.2">
      <c r="A19" s="139"/>
      <c r="B19" s="761"/>
      <c r="C19" s="776"/>
      <c r="D19" s="761"/>
      <c r="E19" s="140"/>
      <c r="F19" s="140"/>
      <c r="G19" s="141"/>
      <c r="H19" s="140"/>
      <c r="I19" s="140"/>
      <c r="J19" s="2436"/>
      <c r="K19" s="2437"/>
      <c r="L19" s="2436"/>
      <c r="M19" s="2438"/>
      <c r="N19" s="2436"/>
      <c r="O19" s="2436"/>
      <c r="P19" s="2437"/>
      <c r="Q19" s="2441"/>
      <c r="R19" s="2442"/>
      <c r="S19" s="2443"/>
      <c r="T19" s="2437"/>
      <c r="U19" s="472" t="s">
        <v>126</v>
      </c>
      <c r="V19" s="728">
        <v>3000000</v>
      </c>
      <c r="W19" s="728"/>
      <c r="X19" s="728"/>
      <c r="Y19" s="478">
        <v>20</v>
      </c>
      <c r="Z19" s="473" t="s">
        <v>70</v>
      </c>
      <c r="AA19" s="2425"/>
      <c r="AB19" s="2425"/>
      <c r="AC19" s="2425"/>
      <c r="AD19" s="2425"/>
      <c r="AE19" s="2425"/>
      <c r="AF19" s="2425"/>
      <c r="AG19" s="2425"/>
      <c r="AH19" s="2425"/>
      <c r="AI19" s="2425"/>
      <c r="AJ19" s="2425"/>
      <c r="AK19" s="2425"/>
      <c r="AL19" s="2425"/>
      <c r="AM19" s="2425"/>
      <c r="AN19" s="2425"/>
      <c r="AO19" s="2425"/>
      <c r="AP19" s="2425"/>
      <c r="AQ19" s="2425"/>
      <c r="AR19" s="2425"/>
      <c r="AS19" s="2425"/>
      <c r="AT19" s="2425"/>
      <c r="AU19" s="2425"/>
      <c r="AV19" s="2425"/>
      <c r="AW19" s="2425"/>
      <c r="AX19" s="2425"/>
      <c r="AY19" s="2425"/>
      <c r="AZ19" s="2425"/>
      <c r="BA19" s="2425"/>
      <c r="BB19" s="2425"/>
      <c r="BC19" s="2425"/>
      <c r="BD19" s="2425"/>
      <c r="BE19" s="2425"/>
      <c r="BF19" s="2425"/>
      <c r="BG19" s="2425"/>
      <c r="BH19" s="2425"/>
      <c r="BI19" s="2425"/>
      <c r="BJ19" s="2425"/>
      <c r="BK19" s="2425"/>
      <c r="BL19" s="2425"/>
      <c r="BM19" s="2444"/>
      <c r="BN19" s="2425"/>
      <c r="BO19" s="2444"/>
      <c r="BP19" s="2425"/>
      <c r="BQ19" s="2445"/>
    </row>
    <row r="20" spans="1:70" s="51" customFormat="1" ht="114" customHeight="1" x14ac:dyDescent="0.2">
      <c r="A20" s="139"/>
      <c r="B20" s="761"/>
      <c r="C20" s="776"/>
      <c r="D20" s="761"/>
      <c r="E20" s="140"/>
      <c r="F20" s="140"/>
      <c r="G20" s="141"/>
      <c r="H20" s="140"/>
      <c r="I20" s="140"/>
      <c r="J20" s="2436"/>
      <c r="K20" s="2437"/>
      <c r="L20" s="2436"/>
      <c r="M20" s="2438"/>
      <c r="N20" s="2436"/>
      <c r="O20" s="2436"/>
      <c r="P20" s="2437"/>
      <c r="Q20" s="2441"/>
      <c r="R20" s="2442"/>
      <c r="S20" s="2443"/>
      <c r="T20" s="472" t="s">
        <v>127</v>
      </c>
      <c r="U20" s="485" t="s">
        <v>128</v>
      </c>
      <c r="V20" s="729">
        <v>10000000</v>
      </c>
      <c r="W20" s="729"/>
      <c r="X20" s="729"/>
      <c r="Y20" s="478">
        <v>20</v>
      </c>
      <c r="Z20" s="473" t="s">
        <v>70</v>
      </c>
      <c r="AA20" s="2425"/>
      <c r="AB20" s="2425"/>
      <c r="AC20" s="2425"/>
      <c r="AD20" s="2425"/>
      <c r="AE20" s="2425"/>
      <c r="AF20" s="2425"/>
      <c r="AG20" s="2425"/>
      <c r="AH20" s="2425"/>
      <c r="AI20" s="2425"/>
      <c r="AJ20" s="2425"/>
      <c r="AK20" s="2425"/>
      <c r="AL20" s="2425"/>
      <c r="AM20" s="2425"/>
      <c r="AN20" s="2425"/>
      <c r="AO20" s="2425"/>
      <c r="AP20" s="2425"/>
      <c r="AQ20" s="2425"/>
      <c r="AR20" s="2425"/>
      <c r="AS20" s="2425"/>
      <c r="AT20" s="2425"/>
      <c r="AU20" s="2425"/>
      <c r="AV20" s="2425"/>
      <c r="AW20" s="2425"/>
      <c r="AX20" s="2425"/>
      <c r="AY20" s="2425"/>
      <c r="AZ20" s="2425"/>
      <c r="BA20" s="2425"/>
      <c r="BB20" s="2425"/>
      <c r="BC20" s="2425"/>
      <c r="BD20" s="2425"/>
      <c r="BE20" s="2425"/>
      <c r="BF20" s="2425"/>
      <c r="BG20" s="2425"/>
      <c r="BH20" s="2425"/>
      <c r="BI20" s="2425"/>
      <c r="BJ20" s="2425"/>
      <c r="BK20" s="2425"/>
      <c r="BL20" s="2425"/>
      <c r="BM20" s="2444"/>
      <c r="BN20" s="2425"/>
      <c r="BO20" s="2444"/>
      <c r="BP20" s="2425"/>
      <c r="BQ20" s="2445"/>
    </row>
    <row r="21" spans="1:70" s="51" customFormat="1" ht="60" customHeight="1" x14ac:dyDescent="0.2">
      <c r="A21" s="139"/>
      <c r="B21" s="761"/>
      <c r="C21" s="776"/>
      <c r="D21" s="761"/>
      <c r="E21" s="140"/>
      <c r="F21" s="140"/>
      <c r="G21" s="141"/>
      <c r="H21" s="140"/>
      <c r="I21" s="140"/>
      <c r="J21" s="2436"/>
      <c r="K21" s="2437"/>
      <c r="L21" s="2436"/>
      <c r="M21" s="2438"/>
      <c r="N21" s="2436"/>
      <c r="O21" s="2436"/>
      <c r="P21" s="2437"/>
      <c r="Q21" s="2441"/>
      <c r="R21" s="2442"/>
      <c r="S21" s="2443"/>
      <c r="T21" s="2437" t="s">
        <v>129</v>
      </c>
      <c r="U21" s="485" t="s">
        <v>130</v>
      </c>
      <c r="V21" s="729">
        <v>3000000</v>
      </c>
      <c r="W21" s="729"/>
      <c r="X21" s="729"/>
      <c r="Y21" s="478">
        <v>20</v>
      </c>
      <c r="Z21" s="473" t="s">
        <v>70</v>
      </c>
      <c r="AA21" s="2425"/>
      <c r="AB21" s="2425"/>
      <c r="AC21" s="2425"/>
      <c r="AD21" s="2425"/>
      <c r="AE21" s="2425"/>
      <c r="AF21" s="2425"/>
      <c r="AG21" s="2425"/>
      <c r="AH21" s="2425"/>
      <c r="AI21" s="2425"/>
      <c r="AJ21" s="2425"/>
      <c r="AK21" s="2425"/>
      <c r="AL21" s="2425"/>
      <c r="AM21" s="2425"/>
      <c r="AN21" s="2425"/>
      <c r="AO21" s="2425"/>
      <c r="AP21" s="2425"/>
      <c r="AQ21" s="2425"/>
      <c r="AR21" s="2425"/>
      <c r="AS21" s="2425"/>
      <c r="AT21" s="2425"/>
      <c r="AU21" s="2425"/>
      <c r="AV21" s="2425"/>
      <c r="AW21" s="2425"/>
      <c r="AX21" s="2425"/>
      <c r="AY21" s="2425"/>
      <c r="AZ21" s="2425"/>
      <c r="BA21" s="2425"/>
      <c r="BB21" s="2425"/>
      <c r="BC21" s="2425"/>
      <c r="BD21" s="2425"/>
      <c r="BE21" s="2425"/>
      <c r="BF21" s="2425"/>
      <c r="BG21" s="2425"/>
      <c r="BH21" s="2425"/>
      <c r="BI21" s="2425"/>
      <c r="BJ21" s="2425"/>
      <c r="BK21" s="2425"/>
      <c r="BL21" s="2425"/>
      <c r="BM21" s="2444"/>
      <c r="BN21" s="2425"/>
      <c r="BO21" s="2444"/>
      <c r="BP21" s="2425"/>
      <c r="BQ21" s="2445"/>
    </row>
    <row r="22" spans="1:70" s="51" customFormat="1" ht="82.5" customHeight="1" x14ac:dyDescent="0.2">
      <c r="A22" s="139"/>
      <c r="B22" s="761"/>
      <c r="C22" s="776"/>
      <c r="D22" s="761"/>
      <c r="E22" s="140"/>
      <c r="F22" s="140"/>
      <c r="G22" s="144"/>
      <c r="H22" s="140"/>
      <c r="I22" s="140"/>
      <c r="J22" s="2436"/>
      <c r="K22" s="2437"/>
      <c r="L22" s="2436"/>
      <c r="M22" s="2438"/>
      <c r="N22" s="2436"/>
      <c r="O22" s="2436"/>
      <c r="P22" s="2437"/>
      <c r="Q22" s="2441"/>
      <c r="R22" s="2442"/>
      <c r="S22" s="2443"/>
      <c r="T22" s="2437"/>
      <c r="U22" s="485" t="s">
        <v>131</v>
      </c>
      <c r="V22" s="729">
        <v>7000000</v>
      </c>
      <c r="W22" s="729"/>
      <c r="X22" s="729"/>
      <c r="Y22" s="478">
        <v>20</v>
      </c>
      <c r="Z22" s="473" t="s">
        <v>70</v>
      </c>
      <c r="AA22" s="2426"/>
      <c r="AB22" s="2426"/>
      <c r="AC22" s="2426"/>
      <c r="AD22" s="2426"/>
      <c r="AE22" s="2426"/>
      <c r="AF22" s="2426"/>
      <c r="AG22" s="2426"/>
      <c r="AH22" s="2426"/>
      <c r="AI22" s="2426"/>
      <c r="AJ22" s="2426"/>
      <c r="AK22" s="2426"/>
      <c r="AL22" s="2426"/>
      <c r="AM22" s="2426"/>
      <c r="AN22" s="2426"/>
      <c r="AO22" s="2426"/>
      <c r="AP22" s="2426"/>
      <c r="AQ22" s="2426"/>
      <c r="AR22" s="2426"/>
      <c r="AS22" s="2426"/>
      <c r="AT22" s="2426"/>
      <c r="AU22" s="2426"/>
      <c r="AV22" s="2426"/>
      <c r="AW22" s="2426"/>
      <c r="AX22" s="2426"/>
      <c r="AY22" s="2426"/>
      <c r="AZ22" s="2426"/>
      <c r="BA22" s="2426"/>
      <c r="BB22" s="2426"/>
      <c r="BC22" s="2426"/>
      <c r="BD22" s="2426"/>
      <c r="BE22" s="2426"/>
      <c r="BF22" s="2426"/>
      <c r="BG22" s="2426"/>
      <c r="BH22" s="2426"/>
      <c r="BI22" s="2426"/>
      <c r="BJ22" s="2426"/>
      <c r="BK22" s="2426"/>
      <c r="BL22" s="2426"/>
      <c r="BM22" s="2444"/>
      <c r="BN22" s="2426"/>
      <c r="BO22" s="2444"/>
      <c r="BP22" s="2426"/>
      <c r="BQ22" s="2445"/>
    </row>
    <row r="23" spans="1:70" ht="39.75" customHeight="1" x14ac:dyDescent="0.2">
      <c r="A23" s="145"/>
      <c r="B23" s="763"/>
      <c r="C23" s="147"/>
      <c r="D23" s="762">
        <v>27</v>
      </c>
      <c r="E23" s="2446" t="s">
        <v>132</v>
      </c>
      <c r="F23" s="2446"/>
      <c r="G23" s="2446"/>
      <c r="H23" s="2446"/>
      <c r="I23" s="2446"/>
      <c r="J23" s="2446"/>
      <c r="K23" s="2446"/>
      <c r="L23" s="807"/>
      <c r="M23" s="808"/>
      <c r="N23" s="809"/>
      <c r="O23" s="810"/>
      <c r="P23" s="807"/>
      <c r="Q23" s="808"/>
      <c r="R23" s="811"/>
      <c r="S23" s="810"/>
      <c r="T23" s="808"/>
      <c r="U23" s="809"/>
      <c r="V23" s="812"/>
      <c r="W23" s="812"/>
      <c r="X23" s="812"/>
      <c r="Y23" s="813"/>
      <c r="Z23" s="814"/>
      <c r="AA23" s="782"/>
      <c r="AB23" s="782"/>
      <c r="AC23" s="784"/>
      <c r="AD23" s="784"/>
      <c r="AE23" s="782"/>
      <c r="AF23" s="782"/>
      <c r="AG23" s="782"/>
      <c r="AH23" s="782"/>
      <c r="AI23" s="782"/>
      <c r="AJ23" s="782"/>
      <c r="AK23" s="782"/>
      <c r="AL23" s="782"/>
      <c r="AM23" s="782"/>
      <c r="AN23" s="782"/>
      <c r="AO23" s="782"/>
      <c r="AP23" s="782"/>
      <c r="AQ23" s="782"/>
      <c r="AR23" s="782"/>
      <c r="AS23" s="782"/>
      <c r="AT23" s="782"/>
      <c r="AU23" s="782"/>
      <c r="AV23" s="782"/>
      <c r="AW23" s="782"/>
      <c r="AX23" s="782"/>
      <c r="AY23" s="782"/>
      <c r="AZ23" s="782"/>
      <c r="BA23" s="782"/>
      <c r="BB23" s="782"/>
      <c r="BC23" s="782"/>
      <c r="BD23" s="782"/>
      <c r="BE23" s="782"/>
      <c r="BF23" s="782"/>
      <c r="BG23" s="782"/>
      <c r="BH23" s="782"/>
      <c r="BI23" s="782"/>
      <c r="BJ23" s="782"/>
      <c r="BK23" s="782"/>
      <c r="BL23" s="782"/>
      <c r="BM23" s="789"/>
      <c r="BN23" s="789"/>
      <c r="BO23" s="787"/>
      <c r="BP23" s="787"/>
      <c r="BQ23" s="815"/>
    </row>
    <row r="24" spans="1:70" ht="39.75" customHeight="1" x14ac:dyDescent="0.2">
      <c r="A24" s="145"/>
      <c r="B24" s="763"/>
      <c r="C24" s="147"/>
      <c r="D24" s="763"/>
      <c r="E24" s="146"/>
      <c r="F24" s="147"/>
      <c r="G24" s="124">
        <v>85</v>
      </c>
      <c r="H24" s="2415" t="s">
        <v>133</v>
      </c>
      <c r="I24" s="2415"/>
      <c r="J24" s="2415"/>
      <c r="K24" s="2415"/>
      <c r="L24" s="125"/>
      <c r="M24" s="148"/>
      <c r="N24" s="126"/>
      <c r="O24" s="149"/>
      <c r="P24" s="125"/>
      <c r="Q24" s="148"/>
      <c r="R24" s="726"/>
      <c r="S24" s="149"/>
      <c r="T24" s="148"/>
      <c r="U24" s="126"/>
      <c r="V24" s="730"/>
      <c r="W24" s="730"/>
      <c r="X24" s="730"/>
      <c r="Y24" s="150"/>
      <c r="Z24" s="151"/>
      <c r="AA24" s="152"/>
      <c r="AB24" s="152"/>
      <c r="AC24" s="153"/>
      <c r="AD24" s="153"/>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4"/>
      <c r="BN24" s="154"/>
      <c r="BO24" s="155"/>
      <c r="BP24" s="155"/>
      <c r="BQ24" s="156"/>
    </row>
    <row r="25" spans="1:70" ht="75" customHeight="1" x14ac:dyDescent="0.2">
      <c r="A25" s="157"/>
      <c r="B25" s="764"/>
      <c r="C25" s="158"/>
      <c r="D25" s="764"/>
      <c r="E25" s="86"/>
      <c r="F25" s="86"/>
      <c r="G25" s="816"/>
      <c r="H25" s="86"/>
      <c r="I25" s="86"/>
      <c r="J25" s="2447">
        <v>249</v>
      </c>
      <c r="K25" s="2448" t="s">
        <v>134</v>
      </c>
      <c r="L25" s="2445" t="s">
        <v>135</v>
      </c>
      <c r="M25" s="2438">
        <v>1</v>
      </c>
      <c r="N25" s="2436" t="s">
        <v>136</v>
      </c>
      <c r="O25" s="2436" t="s">
        <v>137</v>
      </c>
      <c r="P25" s="2437" t="s">
        <v>138</v>
      </c>
      <c r="Q25" s="2441">
        <f>+(V25+V28+V29+V30+V31+V32+V33+V34+V35+V36+V26+V27)/R25</f>
        <v>1</v>
      </c>
      <c r="R25" s="2442">
        <f>SUM(V25:V36)</f>
        <v>200000000</v>
      </c>
      <c r="S25" s="2448" t="s">
        <v>139</v>
      </c>
      <c r="T25" s="2448" t="s">
        <v>140</v>
      </c>
      <c r="U25" s="793" t="s">
        <v>141</v>
      </c>
      <c r="V25" s="731">
        <v>4000000</v>
      </c>
      <c r="W25" s="731"/>
      <c r="X25" s="731"/>
      <c r="Y25" s="478">
        <v>20</v>
      </c>
      <c r="Z25" s="473" t="s">
        <v>70</v>
      </c>
      <c r="AA25" s="2449">
        <v>295972</v>
      </c>
      <c r="AB25" s="2449"/>
      <c r="AC25" s="2449">
        <v>285580</v>
      </c>
      <c r="AD25" s="2449"/>
      <c r="AE25" s="2449">
        <v>135545</v>
      </c>
      <c r="AF25" s="2449"/>
      <c r="AG25" s="2449">
        <v>44254</v>
      </c>
      <c r="AH25" s="2449"/>
      <c r="AI25" s="2449">
        <v>309146</v>
      </c>
      <c r="AJ25" s="2449"/>
      <c r="AK25" s="2449">
        <v>92607</v>
      </c>
      <c r="AL25" s="2449"/>
      <c r="AM25" s="2449">
        <v>2145</v>
      </c>
      <c r="AN25" s="2449"/>
      <c r="AO25" s="2449">
        <v>12718</v>
      </c>
      <c r="AP25" s="2449"/>
      <c r="AQ25" s="2449">
        <v>26</v>
      </c>
      <c r="AR25" s="2449"/>
      <c r="AS25" s="2449">
        <v>37</v>
      </c>
      <c r="AT25" s="2449"/>
      <c r="AU25" s="2449">
        <v>0</v>
      </c>
      <c r="AV25" s="2449"/>
      <c r="AW25" s="2449">
        <v>0</v>
      </c>
      <c r="AX25" s="2449"/>
      <c r="AY25" s="2449">
        <v>44350</v>
      </c>
      <c r="AZ25" s="2449"/>
      <c r="BA25" s="2449">
        <v>21944</v>
      </c>
      <c r="BB25" s="2449"/>
      <c r="BC25" s="2449">
        <v>75687</v>
      </c>
      <c r="BD25" s="2449"/>
      <c r="BE25" s="2461">
        <f>AA25+AC25</f>
        <v>581552</v>
      </c>
      <c r="BF25" s="2461"/>
      <c r="BG25" s="2461">
        <v>1</v>
      </c>
      <c r="BH25" s="2461">
        <f>SUM(W25:W36)</f>
        <v>6425000</v>
      </c>
      <c r="BI25" s="2461"/>
      <c r="BJ25" s="2459">
        <v>0</v>
      </c>
      <c r="BK25" s="2460" t="s">
        <v>756</v>
      </c>
      <c r="BL25" s="2460" t="s">
        <v>758</v>
      </c>
      <c r="BM25" s="2462">
        <v>43832</v>
      </c>
      <c r="BN25" s="2462">
        <v>43907</v>
      </c>
      <c r="BO25" s="2462">
        <v>44196</v>
      </c>
      <c r="BP25" s="2449">
        <v>44196</v>
      </c>
      <c r="BQ25" s="2447" t="s">
        <v>757</v>
      </c>
    </row>
    <row r="26" spans="1:70" ht="86.25" customHeight="1" x14ac:dyDescent="0.2">
      <c r="A26" s="157"/>
      <c r="B26" s="764"/>
      <c r="C26" s="158"/>
      <c r="D26" s="764"/>
      <c r="E26" s="86"/>
      <c r="F26" s="86"/>
      <c r="G26" s="159"/>
      <c r="H26" s="86"/>
      <c r="I26" s="86"/>
      <c r="J26" s="2447"/>
      <c r="K26" s="2448"/>
      <c r="L26" s="2445"/>
      <c r="M26" s="2438"/>
      <c r="N26" s="2436"/>
      <c r="O26" s="2436"/>
      <c r="P26" s="2437"/>
      <c r="Q26" s="2441"/>
      <c r="R26" s="2442"/>
      <c r="S26" s="2448"/>
      <c r="T26" s="2448"/>
      <c r="U26" s="161" t="s">
        <v>142</v>
      </c>
      <c r="V26" s="731">
        <v>9000000</v>
      </c>
      <c r="W26" s="731"/>
      <c r="X26" s="731"/>
      <c r="Y26" s="478">
        <v>20</v>
      </c>
      <c r="Z26" s="473" t="s">
        <v>70</v>
      </c>
      <c r="AA26" s="2450"/>
      <c r="AB26" s="2450"/>
      <c r="AC26" s="2450"/>
      <c r="AD26" s="2450"/>
      <c r="AE26" s="2450"/>
      <c r="AF26" s="2450"/>
      <c r="AG26" s="2450"/>
      <c r="AH26" s="2450"/>
      <c r="AI26" s="2450"/>
      <c r="AJ26" s="2450"/>
      <c r="AK26" s="2450"/>
      <c r="AL26" s="2450"/>
      <c r="AM26" s="2450"/>
      <c r="AN26" s="2450"/>
      <c r="AO26" s="2450"/>
      <c r="AP26" s="2450"/>
      <c r="AQ26" s="2450"/>
      <c r="AR26" s="2450"/>
      <c r="AS26" s="2450"/>
      <c r="AT26" s="2450"/>
      <c r="AU26" s="2450"/>
      <c r="AV26" s="2450"/>
      <c r="AW26" s="2450"/>
      <c r="AX26" s="2450"/>
      <c r="AY26" s="2450"/>
      <c r="AZ26" s="2450"/>
      <c r="BA26" s="2450"/>
      <c r="BB26" s="2450"/>
      <c r="BC26" s="2450"/>
      <c r="BD26" s="2450"/>
      <c r="BE26" s="2461"/>
      <c r="BF26" s="2461"/>
      <c r="BG26" s="2461"/>
      <c r="BH26" s="2461"/>
      <c r="BI26" s="2461"/>
      <c r="BJ26" s="2459"/>
      <c r="BK26" s="2461"/>
      <c r="BL26" s="2461"/>
      <c r="BM26" s="2462"/>
      <c r="BN26" s="2462"/>
      <c r="BO26" s="2462"/>
      <c r="BP26" s="2450"/>
      <c r="BQ26" s="2447"/>
    </row>
    <row r="27" spans="1:70" ht="168.75" customHeight="1" x14ac:dyDescent="0.2">
      <c r="A27" s="157"/>
      <c r="B27" s="764"/>
      <c r="C27" s="158"/>
      <c r="D27" s="764"/>
      <c r="E27" s="86"/>
      <c r="F27" s="86"/>
      <c r="G27" s="159"/>
      <c r="H27" s="86"/>
      <c r="I27" s="86"/>
      <c r="J27" s="2447"/>
      <c r="K27" s="2448"/>
      <c r="L27" s="2445"/>
      <c r="M27" s="2438"/>
      <c r="N27" s="2436"/>
      <c r="O27" s="2436"/>
      <c r="P27" s="2437"/>
      <c r="Q27" s="2441"/>
      <c r="R27" s="2442"/>
      <c r="S27" s="2448"/>
      <c r="T27" s="2448"/>
      <c r="U27" s="474" t="s">
        <v>143</v>
      </c>
      <c r="V27" s="731">
        <v>10000000</v>
      </c>
      <c r="W27" s="731"/>
      <c r="X27" s="731"/>
      <c r="Y27" s="478">
        <v>20</v>
      </c>
      <c r="Z27" s="473" t="s">
        <v>70</v>
      </c>
      <c r="AA27" s="2450"/>
      <c r="AB27" s="2450"/>
      <c r="AC27" s="2450"/>
      <c r="AD27" s="2450"/>
      <c r="AE27" s="2450"/>
      <c r="AF27" s="2450"/>
      <c r="AG27" s="2450"/>
      <c r="AH27" s="2450"/>
      <c r="AI27" s="2450"/>
      <c r="AJ27" s="2450"/>
      <c r="AK27" s="2450"/>
      <c r="AL27" s="2450"/>
      <c r="AM27" s="2450"/>
      <c r="AN27" s="2450"/>
      <c r="AO27" s="2450"/>
      <c r="AP27" s="2450"/>
      <c r="AQ27" s="2450"/>
      <c r="AR27" s="2450"/>
      <c r="AS27" s="2450"/>
      <c r="AT27" s="2450"/>
      <c r="AU27" s="2450"/>
      <c r="AV27" s="2450"/>
      <c r="AW27" s="2450"/>
      <c r="AX27" s="2450"/>
      <c r="AY27" s="2450"/>
      <c r="AZ27" s="2450"/>
      <c r="BA27" s="2450"/>
      <c r="BB27" s="2450"/>
      <c r="BC27" s="2450"/>
      <c r="BD27" s="2450"/>
      <c r="BE27" s="2461"/>
      <c r="BF27" s="2461"/>
      <c r="BG27" s="2461"/>
      <c r="BH27" s="2461"/>
      <c r="BI27" s="2461"/>
      <c r="BJ27" s="2459"/>
      <c r="BK27" s="2461"/>
      <c r="BL27" s="2461"/>
      <c r="BM27" s="2462"/>
      <c r="BN27" s="2462"/>
      <c r="BO27" s="2462"/>
      <c r="BP27" s="2450"/>
      <c r="BQ27" s="2447"/>
    </row>
    <row r="28" spans="1:70" ht="146.25" customHeight="1" x14ac:dyDescent="0.2">
      <c r="A28" s="157"/>
      <c r="B28" s="764"/>
      <c r="C28" s="158"/>
      <c r="D28" s="764"/>
      <c r="E28" s="86"/>
      <c r="F28" s="86"/>
      <c r="G28" s="159"/>
      <c r="H28" s="86"/>
      <c r="I28" s="86"/>
      <c r="J28" s="2447"/>
      <c r="K28" s="2448"/>
      <c r="L28" s="2445"/>
      <c r="M28" s="2438"/>
      <c r="N28" s="2436"/>
      <c r="O28" s="2436"/>
      <c r="P28" s="2437"/>
      <c r="Q28" s="2441"/>
      <c r="R28" s="2442"/>
      <c r="S28" s="2448"/>
      <c r="T28" s="2448"/>
      <c r="U28" s="161" t="s">
        <v>144</v>
      </c>
      <c r="V28" s="731">
        <v>9000000</v>
      </c>
      <c r="W28" s="731"/>
      <c r="X28" s="731"/>
      <c r="Y28" s="478">
        <v>20</v>
      </c>
      <c r="Z28" s="473" t="s">
        <v>70</v>
      </c>
      <c r="AA28" s="2450"/>
      <c r="AB28" s="2450"/>
      <c r="AC28" s="2450"/>
      <c r="AD28" s="2450"/>
      <c r="AE28" s="2450"/>
      <c r="AF28" s="2450"/>
      <c r="AG28" s="2450"/>
      <c r="AH28" s="2450"/>
      <c r="AI28" s="2450"/>
      <c r="AJ28" s="2450"/>
      <c r="AK28" s="2450"/>
      <c r="AL28" s="2450"/>
      <c r="AM28" s="2450"/>
      <c r="AN28" s="2450"/>
      <c r="AO28" s="2450"/>
      <c r="AP28" s="2450"/>
      <c r="AQ28" s="2450"/>
      <c r="AR28" s="2450"/>
      <c r="AS28" s="2450"/>
      <c r="AT28" s="2450"/>
      <c r="AU28" s="2450"/>
      <c r="AV28" s="2450"/>
      <c r="AW28" s="2450"/>
      <c r="AX28" s="2450"/>
      <c r="AY28" s="2450"/>
      <c r="AZ28" s="2450"/>
      <c r="BA28" s="2450"/>
      <c r="BB28" s="2450"/>
      <c r="BC28" s="2450"/>
      <c r="BD28" s="2450"/>
      <c r="BE28" s="2461"/>
      <c r="BF28" s="2461"/>
      <c r="BG28" s="2461"/>
      <c r="BH28" s="2461"/>
      <c r="BI28" s="2461"/>
      <c r="BJ28" s="2459"/>
      <c r="BK28" s="2461"/>
      <c r="BL28" s="2461"/>
      <c r="BM28" s="2462"/>
      <c r="BN28" s="2462"/>
      <c r="BO28" s="2462"/>
      <c r="BP28" s="2450"/>
      <c r="BQ28" s="2447"/>
    </row>
    <row r="29" spans="1:70" ht="146.25" customHeight="1" x14ac:dyDescent="0.2">
      <c r="A29" s="157"/>
      <c r="B29" s="764"/>
      <c r="C29" s="158"/>
      <c r="D29" s="764"/>
      <c r="E29" s="86"/>
      <c r="F29" s="86"/>
      <c r="G29" s="159"/>
      <c r="H29" s="86"/>
      <c r="I29" s="86"/>
      <c r="J29" s="2447"/>
      <c r="K29" s="2448"/>
      <c r="L29" s="2445"/>
      <c r="M29" s="2438"/>
      <c r="N29" s="2436"/>
      <c r="O29" s="2436"/>
      <c r="P29" s="2437"/>
      <c r="Q29" s="2441"/>
      <c r="R29" s="2442"/>
      <c r="S29" s="2448"/>
      <c r="T29" s="2448"/>
      <c r="U29" s="474" t="s">
        <v>145</v>
      </c>
      <c r="V29" s="731">
        <v>9000000</v>
      </c>
      <c r="W29" s="731"/>
      <c r="X29" s="731"/>
      <c r="Y29" s="478">
        <v>20</v>
      </c>
      <c r="Z29" s="473" t="s">
        <v>70</v>
      </c>
      <c r="AA29" s="2450"/>
      <c r="AB29" s="2450"/>
      <c r="AC29" s="2450"/>
      <c r="AD29" s="2450"/>
      <c r="AE29" s="2450"/>
      <c r="AF29" s="2450"/>
      <c r="AG29" s="2450"/>
      <c r="AH29" s="2450"/>
      <c r="AI29" s="2450"/>
      <c r="AJ29" s="2450"/>
      <c r="AK29" s="2450"/>
      <c r="AL29" s="2450"/>
      <c r="AM29" s="2450"/>
      <c r="AN29" s="2450"/>
      <c r="AO29" s="2450"/>
      <c r="AP29" s="2450"/>
      <c r="AQ29" s="2450"/>
      <c r="AR29" s="2450"/>
      <c r="AS29" s="2450"/>
      <c r="AT29" s="2450"/>
      <c r="AU29" s="2450"/>
      <c r="AV29" s="2450"/>
      <c r="AW29" s="2450"/>
      <c r="AX29" s="2450"/>
      <c r="AY29" s="2450"/>
      <c r="AZ29" s="2450"/>
      <c r="BA29" s="2450"/>
      <c r="BB29" s="2450"/>
      <c r="BC29" s="2450"/>
      <c r="BD29" s="2450"/>
      <c r="BE29" s="2461"/>
      <c r="BF29" s="2461"/>
      <c r="BG29" s="2461"/>
      <c r="BH29" s="2461"/>
      <c r="BI29" s="2461"/>
      <c r="BJ29" s="2459"/>
      <c r="BK29" s="2461"/>
      <c r="BL29" s="2461"/>
      <c r="BM29" s="2462"/>
      <c r="BN29" s="2462"/>
      <c r="BO29" s="2462"/>
      <c r="BP29" s="2450"/>
      <c r="BQ29" s="2447"/>
    </row>
    <row r="30" spans="1:70" ht="93.75" customHeight="1" x14ac:dyDescent="0.2">
      <c r="A30" s="157"/>
      <c r="B30" s="764"/>
      <c r="C30" s="158"/>
      <c r="D30" s="764"/>
      <c r="E30" s="86"/>
      <c r="F30" s="86"/>
      <c r="G30" s="159"/>
      <c r="H30" s="86"/>
      <c r="I30" s="86"/>
      <c r="J30" s="2447"/>
      <c r="K30" s="2448"/>
      <c r="L30" s="2445"/>
      <c r="M30" s="2438"/>
      <c r="N30" s="2436"/>
      <c r="O30" s="2436"/>
      <c r="P30" s="2437"/>
      <c r="Q30" s="2441"/>
      <c r="R30" s="2442"/>
      <c r="S30" s="2448"/>
      <c r="T30" s="2448"/>
      <c r="U30" s="474" t="s">
        <v>146</v>
      </c>
      <c r="V30" s="732">
        <v>80000000</v>
      </c>
      <c r="W30" s="732"/>
      <c r="X30" s="732"/>
      <c r="Y30" s="478">
        <v>20</v>
      </c>
      <c r="Z30" s="473" t="s">
        <v>70</v>
      </c>
      <c r="AA30" s="2450"/>
      <c r="AB30" s="2450"/>
      <c r="AC30" s="2450"/>
      <c r="AD30" s="2450"/>
      <c r="AE30" s="2450"/>
      <c r="AF30" s="2450"/>
      <c r="AG30" s="2450"/>
      <c r="AH30" s="2450"/>
      <c r="AI30" s="2450"/>
      <c r="AJ30" s="2450"/>
      <c r="AK30" s="2450"/>
      <c r="AL30" s="2450"/>
      <c r="AM30" s="2450"/>
      <c r="AN30" s="2450"/>
      <c r="AO30" s="2450"/>
      <c r="AP30" s="2450"/>
      <c r="AQ30" s="2450"/>
      <c r="AR30" s="2450"/>
      <c r="AS30" s="2450"/>
      <c r="AT30" s="2450"/>
      <c r="AU30" s="2450"/>
      <c r="AV30" s="2450"/>
      <c r="AW30" s="2450"/>
      <c r="AX30" s="2450"/>
      <c r="AY30" s="2450"/>
      <c r="AZ30" s="2450"/>
      <c r="BA30" s="2450"/>
      <c r="BB30" s="2450"/>
      <c r="BC30" s="2450"/>
      <c r="BD30" s="2450"/>
      <c r="BE30" s="2461"/>
      <c r="BF30" s="2461"/>
      <c r="BG30" s="2461"/>
      <c r="BH30" s="2461"/>
      <c r="BI30" s="2461"/>
      <c r="BJ30" s="2459"/>
      <c r="BK30" s="2461"/>
      <c r="BL30" s="2461"/>
      <c r="BM30" s="2462"/>
      <c r="BN30" s="2462"/>
      <c r="BO30" s="2462"/>
      <c r="BP30" s="2450"/>
      <c r="BQ30" s="2447"/>
    </row>
    <row r="31" spans="1:70" ht="69.75" customHeight="1" x14ac:dyDescent="0.2">
      <c r="A31" s="157"/>
      <c r="B31" s="764"/>
      <c r="C31" s="158"/>
      <c r="D31" s="764"/>
      <c r="E31" s="86"/>
      <c r="F31" s="86"/>
      <c r="G31" s="159"/>
      <c r="H31" s="86"/>
      <c r="I31" s="86"/>
      <c r="J31" s="2447"/>
      <c r="K31" s="2448"/>
      <c r="L31" s="2445"/>
      <c r="M31" s="2438"/>
      <c r="N31" s="2436"/>
      <c r="O31" s="2436"/>
      <c r="P31" s="2437"/>
      <c r="Q31" s="2441"/>
      <c r="R31" s="2442"/>
      <c r="S31" s="2448"/>
      <c r="T31" s="2448"/>
      <c r="U31" s="161" t="s">
        <v>147</v>
      </c>
      <c r="V31" s="732">
        <v>4000000</v>
      </c>
      <c r="W31" s="732"/>
      <c r="X31" s="732"/>
      <c r="Y31" s="478">
        <v>20</v>
      </c>
      <c r="Z31" s="473" t="s">
        <v>70</v>
      </c>
      <c r="AA31" s="2450"/>
      <c r="AB31" s="2450"/>
      <c r="AC31" s="2450"/>
      <c r="AD31" s="2450"/>
      <c r="AE31" s="2450"/>
      <c r="AF31" s="2450"/>
      <c r="AG31" s="2450"/>
      <c r="AH31" s="2450"/>
      <c r="AI31" s="2450"/>
      <c r="AJ31" s="2450"/>
      <c r="AK31" s="2450"/>
      <c r="AL31" s="2450"/>
      <c r="AM31" s="2450"/>
      <c r="AN31" s="2450"/>
      <c r="AO31" s="2450"/>
      <c r="AP31" s="2450"/>
      <c r="AQ31" s="2450"/>
      <c r="AR31" s="2450"/>
      <c r="AS31" s="2450"/>
      <c r="AT31" s="2450"/>
      <c r="AU31" s="2450"/>
      <c r="AV31" s="2450"/>
      <c r="AW31" s="2450"/>
      <c r="AX31" s="2450"/>
      <c r="AY31" s="2450"/>
      <c r="AZ31" s="2450"/>
      <c r="BA31" s="2450"/>
      <c r="BB31" s="2450"/>
      <c r="BC31" s="2450"/>
      <c r="BD31" s="2450"/>
      <c r="BE31" s="2461"/>
      <c r="BF31" s="2461"/>
      <c r="BG31" s="2461"/>
      <c r="BH31" s="2461"/>
      <c r="BI31" s="2461"/>
      <c r="BJ31" s="2459"/>
      <c r="BK31" s="2461"/>
      <c r="BL31" s="2461"/>
      <c r="BM31" s="2462"/>
      <c r="BN31" s="2462"/>
      <c r="BO31" s="2462"/>
      <c r="BP31" s="2450"/>
      <c r="BQ31" s="2447"/>
    </row>
    <row r="32" spans="1:70" ht="51" customHeight="1" x14ac:dyDescent="0.2">
      <c r="A32" s="157"/>
      <c r="B32" s="764"/>
      <c r="C32" s="158"/>
      <c r="D32" s="764"/>
      <c r="E32" s="86"/>
      <c r="F32" s="86"/>
      <c r="G32" s="159"/>
      <c r="H32" s="86"/>
      <c r="I32" s="86"/>
      <c r="J32" s="2447"/>
      <c r="K32" s="2448"/>
      <c r="L32" s="2445"/>
      <c r="M32" s="2438"/>
      <c r="N32" s="2436"/>
      <c r="O32" s="2436"/>
      <c r="P32" s="2437"/>
      <c r="Q32" s="2441"/>
      <c r="R32" s="2442"/>
      <c r="S32" s="2448"/>
      <c r="T32" s="2448" t="s">
        <v>148</v>
      </c>
      <c r="U32" s="161" t="s">
        <v>149</v>
      </c>
      <c r="V32" s="732">
        <v>18000000</v>
      </c>
      <c r="W32" s="732"/>
      <c r="X32" s="732"/>
      <c r="Y32" s="478">
        <v>20</v>
      </c>
      <c r="Z32" s="473" t="s">
        <v>70</v>
      </c>
      <c r="AA32" s="2450"/>
      <c r="AB32" s="2450"/>
      <c r="AC32" s="2450"/>
      <c r="AD32" s="2450"/>
      <c r="AE32" s="2450"/>
      <c r="AF32" s="2450"/>
      <c r="AG32" s="2450"/>
      <c r="AH32" s="2450"/>
      <c r="AI32" s="2450"/>
      <c r="AJ32" s="2450"/>
      <c r="AK32" s="2450"/>
      <c r="AL32" s="2450"/>
      <c r="AM32" s="2450"/>
      <c r="AN32" s="2450"/>
      <c r="AO32" s="2450"/>
      <c r="AP32" s="2450"/>
      <c r="AQ32" s="2450"/>
      <c r="AR32" s="2450"/>
      <c r="AS32" s="2450"/>
      <c r="AT32" s="2450"/>
      <c r="AU32" s="2450"/>
      <c r="AV32" s="2450"/>
      <c r="AW32" s="2450"/>
      <c r="AX32" s="2450"/>
      <c r="AY32" s="2450"/>
      <c r="AZ32" s="2450"/>
      <c r="BA32" s="2450"/>
      <c r="BB32" s="2450"/>
      <c r="BC32" s="2450"/>
      <c r="BD32" s="2450"/>
      <c r="BE32" s="2461"/>
      <c r="BF32" s="2461"/>
      <c r="BG32" s="2461"/>
      <c r="BH32" s="2461"/>
      <c r="BI32" s="2461"/>
      <c r="BJ32" s="2459"/>
      <c r="BK32" s="2461"/>
      <c r="BL32" s="2461"/>
      <c r="BM32" s="2462"/>
      <c r="BN32" s="2462"/>
      <c r="BO32" s="2462"/>
      <c r="BP32" s="2450"/>
      <c r="BQ32" s="2447"/>
    </row>
    <row r="33" spans="1:71" ht="51" customHeight="1" x14ac:dyDescent="0.2">
      <c r="A33" s="157"/>
      <c r="B33" s="764"/>
      <c r="C33" s="158"/>
      <c r="D33" s="764"/>
      <c r="E33" s="86"/>
      <c r="F33" s="86"/>
      <c r="G33" s="159"/>
      <c r="H33" s="86"/>
      <c r="I33" s="86"/>
      <c r="J33" s="2447"/>
      <c r="K33" s="2448"/>
      <c r="L33" s="2445"/>
      <c r="M33" s="2438"/>
      <c r="N33" s="2436"/>
      <c r="O33" s="2436"/>
      <c r="P33" s="2437"/>
      <c r="Q33" s="2441"/>
      <c r="R33" s="2442"/>
      <c r="S33" s="2448"/>
      <c r="T33" s="2448"/>
      <c r="U33" s="794" t="s">
        <v>150</v>
      </c>
      <c r="V33" s="732">
        <v>18000000</v>
      </c>
      <c r="W33" s="733">
        <v>6425000</v>
      </c>
      <c r="X33" s="732"/>
      <c r="Y33" s="478">
        <v>20</v>
      </c>
      <c r="Z33" s="473" t="s">
        <v>70</v>
      </c>
      <c r="AA33" s="2450"/>
      <c r="AB33" s="2450"/>
      <c r="AC33" s="2450"/>
      <c r="AD33" s="2450"/>
      <c r="AE33" s="2450"/>
      <c r="AF33" s="2450"/>
      <c r="AG33" s="2450"/>
      <c r="AH33" s="2450"/>
      <c r="AI33" s="2450"/>
      <c r="AJ33" s="2450"/>
      <c r="AK33" s="2450"/>
      <c r="AL33" s="2450"/>
      <c r="AM33" s="2450"/>
      <c r="AN33" s="2450"/>
      <c r="AO33" s="2450"/>
      <c r="AP33" s="2450"/>
      <c r="AQ33" s="2450"/>
      <c r="AR33" s="2450"/>
      <c r="AS33" s="2450"/>
      <c r="AT33" s="2450"/>
      <c r="AU33" s="2450"/>
      <c r="AV33" s="2450"/>
      <c r="AW33" s="2450"/>
      <c r="AX33" s="2450"/>
      <c r="AY33" s="2450"/>
      <c r="AZ33" s="2450"/>
      <c r="BA33" s="2450"/>
      <c r="BB33" s="2450"/>
      <c r="BC33" s="2450"/>
      <c r="BD33" s="2450"/>
      <c r="BE33" s="2461"/>
      <c r="BF33" s="2461"/>
      <c r="BG33" s="2461"/>
      <c r="BH33" s="2461"/>
      <c r="BI33" s="2461"/>
      <c r="BJ33" s="2459"/>
      <c r="BK33" s="2461"/>
      <c r="BL33" s="2461"/>
      <c r="BM33" s="2462"/>
      <c r="BN33" s="2462"/>
      <c r="BO33" s="2462"/>
      <c r="BP33" s="2450"/>
      <c r="BQ33" s="2447"/>
    </row>
    <row r="34" spans="1:71" ht="48" customHeight="1" x14ac:dyDescent="0.2">
      <c r="A34" s="157"/>
      <c r="B34" s="764"/>
      <c r="C34" s="158"/>
      <c r="D34" s="764"/>
      <c r="E34" s="86"/>
      <c r="F34" s="86"/>
      <c r="G34" s="159"/>
      <c r="H34" s="86"/>
      <c r="I34" s="86"/>
      <c r="J34" s="2447"/>
      <c r="K34" s="2448"/>
      <c r="L34" s="2445"/>
      <c r="M34" s="2438"/>
      <c r="N34" s="2436"/>
      <c r="O34" s="2436"/>
      <c r="P34" s="2437"/>
      <c r="Q34" s="2441"/>
      <c r="R34" s="2442"/>
      <c r="S34" s="2448"/>
      <c r="T34" s="2448"/>
      <c r="U34" s="54" t="s">
        <v>151</v>
      </c>
      <c r="V34" s="732">
        <v>21000000</v>
      </c>
      <c r="W34" s="732"/>
      <c r="X34" s="732"/>
      <c r="Y34" s="478">
        <v>20</v>
      </c>
      <c r="Z34" s="473" t="s">
        <v>70</v>
      </c>
      <c r="AA34" s="2450"/>
      <c r="AB34" s="2450"/>
      <c r="AC34" s="2450"/>
      <c r="AD34" s="2450"/>
      <c r="AE34" s="2450"/>
      <c r="AF34" s="2450"/>
      <c r="AG34" s="2450"/>
      <c r="AH34" s="2450"/>
      <c r="AI34" s="2450"/>
      <c r="AJ34" s="2450"/>
      <c r="AK34" s="2450"/>
      <c r="AL34" s="2450"/>
      <c r="AM34" s="2450"/>
      <c r="AN34" s="2450"/>
      <c r="AO34" s="2450"/>
      <c r="AP34" s="2450"/>
      <c r="AQ34" s="2450"/>
      <c r="AR34" s="2450"/>
      <c r="AS34" s="2450"/>
      <c r="AT34" s="2450"/>
      <c r="AU34" s="2450"/>
      <c r="AV34" s="2450"/>
      <c r="AW34" s="2450"/>
      <c r="AX34" s="2450"/>
      <c r="AY34" s="2450"/>
      <c r="AZ34" s="2450"/>
      <c r="BA34" s="2450"/>
      <c r="BB34" s="2450"/>
      <c r="BC34" s="2450"/>
      <c r="BD34" s="2450"/>
      <c r="BE34" s="2461"/>
      <c r="BF34" s="2461"/>
      <c r="BG34" s="2461"/>
      <c r="BH34" s="2461"/>
      <c r="BI34" s="2461"/>
      <c r="BJ34" s="2459"/>
      <c r="BK34" s="2461"/>
      <c r="BL34" s="2461"/>
      <c r="BM34" s="2462"/>
      <c r="BN34" s="2462"/>
      <c r="BO34" s="2462"/>
      <c r="BP34" s="2450"/>
      <c r="BQ34" s="2447"/>
    </row>
    <row r="35" spans="1:71" ht="49.5" customHeight="1" x14ac:dyDescent="0.2">
      <c r="A35" s="157"/>
      <c r="B35" s="764"/>
      <c r="C35" s="158"/>
      <c r="D35" s="764"/>
      <c r="E35" s="86"/>
      <c r="F35" s="86"/>
      <c r="G35" s="159"/>
      <c r="H35" s="86"/>
      <c r="I35" s="86"/>
      <c r="J35" s="2447"/>
      <c r="K35" s="2448"/>
      <c r="L35" s="2445"/>
      <c r="M35" s="2438"/>
      <c r="N35" s="2436"/>
      <c r="O35" s="2436"/>
      <c r="P35" s="2437"/>
      <c r="Q35" s="2441"/>
      <c r="R35" s="2442"/>
      <c r="S35" s="2448"/>
      <c r="T35" s="2448" t="s">
        <v>152</v>
      </c>
      <c r="U35" s="162" t="s">
        <v>153</v>
      </c>
      <c r="V35" s="732">
        <v>9000000</v>
      </c>
      <c r="W35" s="732"/>
      <c r="X35" s="732"/>
      <c r="Y35" s="478">
        <v>20</v>
      </c>
      <c r="Z35" s="473" t="s">
        <v>70</v>
      </c>
      <c r="AA35" s="2450"/>
      <c r="AB35" s="2450"/>
      <c r="AC35" s="2450"/>
      <c r="AD35" s="2450"/>
      <c r="AE35" s="2450"/>
      <c r="AF35" s="2450"/>
      <c r="AG35" s="2450"/>
      <c r="AH35" s="2450"/>
      <c r="AI35" s="2450"/>
      <c r="AJ35" s="2450"/>
      <c r="AK35" s="2450"/>
      <c r="AL35" s="2450"/>
      <c r="AM35" s="2450"/>
      <c r="AN35" s="2450"/>
      <c r="AO35" s="2450"/>
      <c r="AP35" s="2450"/>
      <c r="AQ35" s="2450"/>
      <c r="AR35" s="2450"/>
      <c r="AS35" s="2450"/>
      <c r="AT35" s="2450"/>
      <c r="AU35" s="2450"/>
      <c r="AV35" s="2450"/>
      <c r="AW35" s="2450"/>
      <c r="AX35" s="2450"/>
      <c r="AY35" s="2450"/>
      <c r="AZ35" s="2450"/>
      <c r="BA35" s="2450"/>
      <c r="BB35" s="2450"/>
      <c r="BC35" s="2450"/>
      <c r="BD35" s="2450"/>
      <c r="BE35" s="2461"/>
      <c r="BF35" s="2461"/>
      <c r="BG35" s="2461"/>
      <c r="BH35" s="2461"/>
      <c r="BI35" s="2461"/>
      <c r="BJ35" s="2459"/>
      <c r="BK35" s="2461"/>
      <c r="BL35" s="2461"/>
      <c r="BM35" s="2462"/>
      <c r="BN35" s="2462"/>
      <c r="BO35" s="2462"/>
      <c r="BP35" s="2450"/>
      <c r="BQ35" s="2447"/>
    </row>
    <row r="36" spans="1:71" ht="46.5" customHeight="1" x14ac:dyDescent="0.2">
      <c r="A36" s="157"/>
      <c r="B36" s="764"/>
      <c r="C36" s="158"/>
      <c r="D36" s="764"/>
      <c r="E36" s="86"/>
      <c r="F36" s="86"/>
      <c r="G36" s="159"/>
      <c r="H36" s="86"/>
      <c r="I36" s="86"/>
      <c r="J36" s="2447"/>
      <c r="K36" s="2448"/>
      <c r="L36" s="2445"/>
      <c r="M36" s="2438"/>
      <c r="N36" s="2436"/>
      <c r="O36" s="2436"/>
      <c r="P36" s="2437"/>
      <c r="Q36" s="2441"/>
      <c r="R36" s="2442"/>
      <c r="S36" s="2448"/>
      <c r="T36" s="2448"/>
      <c r="U36" s="162" t="s">
        <v>154</v>
      </c>
      <c r="V36" s="732">
        <v>9000000</v>
      </c>
      <c r="W36" s="732"/>
      <c r="X36" s="732"/>
      <c r="Y36" s="478">
        <v>20</v>
      </c>
      <c r="Z36" s="473" t="s">
        <v>70</v>
      </c>
      <c r="AA36" s="2451"/>
      <c r="AB36" s="2451"/>
      <c r="AC36" s="2451"/>
      <c r="AD36" s="2451"/>
      <c r="AE36" s="2451"/>
      <c r="AF36" s="2451"/>
      <c r="AG36" s="2451"/>
      <c r="AH36" s="2451"/>
      <c r="AI36" s="2451"/>
      <c r="AJ36" s="2451"/>
      <c r="AK36" s="2451"/>
      <c r="AL36" s="2451"/>
      <c r="AM36" s="2451"/>
      <c r="AN36" s="2451"/>
      <c r="AO36" s="2451"/>
      <c r="AP36" s="2451"/>
      <c r="AQ36" s="2451"/>
      <c r="AR36" s="2451"/>
      <c r="AS36" s="2451"/>
      <c r="AT36" s="2451"/>
      <c r="AU36" s="2451"/>
      <c r="AV36" s="2451"/>
      <c r="AW36" s="2451"/>
      <c r="AX36" s="2451"/>
      <c r="AY36" s="2451"/>
      <c r="AZ36" s="2451"/>
      <c r="BA36" s="2451"/>
      <c r="BB36" s="2451"/>
      <c r="BC36" s="2451"/>
      <c r="BD36" s="2451"/>
      <c r="BE36" s="2461"/>
      <c r="BF36" s="2461"/>
      <c r="BG36" s="2461"/>
      <c r="BH36" s="2461"/>
      <c r="BI36" s="2461"/>
      <c r="BJ36" s="2459"/>
      <c r="BK36" s="2461"/>
      <c r="BL36" s="2461"/>
      <c r="BM36" s="2462"/>
      <c r="BN36" s="2462"/>
      <c r="BO36" s="2462"/>
      <c r="BP36" s="2451"/>
      <c r="BQ36" s="2447"/>
    </row>
    <row r="37" spans="1:71" ht="28.5" customHeight="1" x14ac:dyDescent="0.2">
      <c r="A37" s="145"/>
      <c r="B37" s="763"/>
      <c r="C37" s="147"/>
      <c r="D37" s="765">
        <v>28</v>
      </c>
      <c r="E37" s="758"/>
      <c r="F37" s="2452" t="s">
        <v>155</v>
      </c>
      <c r="G37" s="2452"/>
      <c r="H37" s="2452"/>
      <c r="I37" s="2452"/>
      <c r="J37" s="2452"/>
      <c r="K37" s="2452"/>
      <c r="L37" s="817"/>
      <c r="M37" s="818"/>
      <c r="N37" s="819"/>
      <c r="O37" s="820"/>
      <c r="P37" s="817"/>
      <c r="Q37" s="818"/>
      <c r="R37" s="821"/>
      <c r="S37" s="820"/>
      <c r="T37" s="818"/>
      <c r="U37" s="819"/>
      <c r="V37" s="822"/>
      <c r="W37" s="822"/>
      <c r="X37" s="822"/>
      <c r="Y37" s="823"/>
      <c r="Z37" s="823"/>
      <c r="AA37" s="783"/>
      <c r="AB37" s="783"/>
      <c r="AC37" s="785"/>
      <c r="AD37" s="785"/>
      <c r="AE37" s="783"/>
      <c r="AF37" s="783"/>
      <c r="AG37" s="783"/>
      <c r="AH37" s="783"/>
      <c r="AI37" s="783"/>
      <c r="AJ37" s="783"/>
      <c r="AK37" s="783"/>
      <c r="AL37" s="783"/>
      <c r="AM37" s="783"/>
      <c r="AN37" s="783"/>
      <c r="AO37" s="783"/>
      <c r="AP37" s="783"/>
      <c r="AQ37" s="783"/>
      <c r="AR37" s="783"/>
      <c r="AS37" s="783"/>
      <c r="AT37" s="783"/>
      <c r="AU37" s="783"/>
      <c r="AV37" s="783"/>
      <c r="AW37" s="783"/>
      <c r="AX37" s="783"/>
      <c r="AY37" s="783"/>
      <c r="AZ37" s="783"/>
      <c r="BA37" s="783"/>
      <c r="BB37" s="783"/>
      <c r="BC37" s="783"/>
      <c r="BD37" s="783"/>
      <c r="BE37" s="783"/>
      <c r="BF37" s="783"/>
      <c r="BG37" s="783"/>
      <c r="BH37" s="783"/>
      <c r="BI37" s="783"/>
      <c r="BJ37" s="783"/>
      <c r="BK37" s="783"/>
      <c r="BL37" s="783"/>
      <c r="BM37" s="790"/>
      <c r="BN37" s="790"/>
      <c r="BO37" s="788"/>
      <c r="BP37" s="788"/>
      <c r="BQ37" s="824"/>
    </row>
    <row r="38" spans="1:71" ht="33.75" customHeight="1" x14ac:dyDescent="0.2">
      <c r="A38" s="145"/>
      <c r="B38" s="763"/>
      <c r="C38" s="147"/>
      <c r="D38" s="763"/>
      <c r="E38" s="146"/>
      <c r="F38" s="147"/>
      <c r="G38" s="756">
        <v>87</v>
      </c>
      <c r="H38" s="757" t="s">
        <v>156</v>
      </c>
      <c r="I38" s="757"/>
      <c r="J38" s="757"/>
      <c r="K38" s="757"/>
      <c r="L38" s="559"/>
      <c r="M38" s="741"/>
      <c r="N38" s="742"/>
      <c r="O38" s="743"/>
      <c r="P38" s="559"/>
      <c r="Q38" s="741"/>
      <c r="R38" s="744"/>
      <c r="S38" s="743"/>
      <c r="T38" s="741"/>
      <c r="U38" s="742"/>
      <c r="V38" s="745"/>
      <c r="W38" s="745"/>
      <c r="X38" s="745"/>
      <c r="Y38" s="746"/>
      <c r="Z38" s="747"/>
      <c r="AA38" s="748"/>
      <c r="AB38" s="748"/>
      <c r="AC38" s="749"/>
      <c r="AD38" s="749"/>
      <c r="AE38" s="748"/>
      <c r="AF38" s="748"/>
      <c r="AG38" s="748"/>
      <c r="AH38" s="748"/>
      <c r="AI38" s="748"/>
      <c r="AJ38" s="748"/>
      <c r="AK38" s="748"/>
      <c r="AL38" s="748"/>
      <c r="AM38" s="748"/>
      <c r="AN38" s="748"/>
      <c r="AO38" s="748"/>
      <c r="AP38" s="748"/>
      <c r="AQ38" s="748"/>
      <c r="AR38" s="748"/>
      <c r="AS38" s="748"/>
      <c r="AT38" s="748"/>
      <c r="AU38" s="748"/>
      <c r="AV38" s="748"/>
      <c r="AW38" s="748"/>
      <c r="AX38" s="748"/>
      <c r="AY38" s="748"/>
      <c r="AZ38" s="748"/>
      <c r="BA38" s="748"/>
      <c r="BB38" s="748"/>
      <c r="BC38" s="748"/>
      <c r="BD38" s="748"/>
      <c r="BE38" s="748"/>
      <c r="BF38" s="748"/>
      <c r="BG38" s="748"/>
      <c r="BH38" s="748"/>
      <c r="BI38" s="748"/>
      <c r="BJ38" s="748"/>
      <c r="BK38" s="748"/>
      <c r="BL38" s="748"/>
      <c r="BM38" s="750"/>
      <c r="BN38" s="750"/>
      <c r="BO38" s="751"/>
      <c r="BP38" s="751"/>
      <c r="BQ38" s="752"/>
    </row>
    <row r="39" spans="1:71" s="753" customFormat="1" ht="42.75" x14ac:dyDescent="0.2">
      <c r="A39" s="2453"/>
      <c r="B39" s="2454"/>
      <c r="C39" s="2455"/>
      <c r="D39" s="2456"/>
      <c r="E39" s="2456"/>
      <c r="F39" s="2457"/>
      <c r="G39" s="2458"/>
      <c r="H39" s="2456"/>
      <c r="I39" s="2457"/>
      <c r="J39" s="2433">
        <v>256</v>
      </c>
      <c r="K39" s="2437" t="s">
        <v>157</v>
      </c>
      <c r="L39" s="2437" t="s">
        <v>158</v>
      </c>
      <c r="M39" s="2464">
        <v>1</v>
      </c>
      <c r="N39" s="2436" t="s">
        <v>159</v>
      </c>
      <c r="O39" s="2471" t="s">
        <v>160</v>
      </c>
      <c r="P39" s="2474" t="s">
        <v>161</v>
      </c>
      <c r="Q39" s="2477">
        <f>+(V40+V41+V42+V43+V44+V45+V46+V47+V48+V49+V50+V51+V52+V39)/R39</f>
        <v>1</v>
      </c>
      <c r="R39" s="2442">
        <f>SUM(V39:V52)</f>
        <v>226892000</v>
      </c>
      <c r="S39" s="2437" t="s">
        <v>162</v>
      </c>
      <c r="T39" s="2437" t="s">
        <v>163</v>
      </c>
      <c r="U39" s="472" t="s">
        <v>164</v>
      </c>
      <c r="V39" s="733">
        <v>12600000</v>
      </c>
      <c r="W39" s="733">
        <v>9807000</v>
      </c>
      <c r="X39" s="733">
        <v>5372854</v>
      </c>
      <c r="Y39" s="478">
        <v>20</v>
      </c>
      <c r="Z39" s="473" t="s">
        <v>70</v>
      </c>
      <c r="AA39" s="2424">
        <v>295972</v>
      </c>
      <c r="AB39" s="2424"/>
      <c r="AC39" s="2424">
        <v>285580</v>
      </c>
      <c r="AD39" s="2424"/>
      <c r="AE39" s="2424">
        <v>135545</v>
      </c>
      <c r="AF39" s="2424"/>
      <c r="AG39" s="2480">
        <v>44254</v>
      </c>
      <c r="AH39" s="2424"/>
      <c r="AI39" s="2480">
        <v>309146</v>
      </c>
      <c r="AJ39" s="2424"/>
      <c r="AK39" s="2424">
        <v>92607</v>
      </c>
      <c r="AL39" s="2424"/>
      <c r="AM39" s="2424">
        <v>2145</v>
      </c>
      <c r="AN39" s="2424"/>
      <c r="AO39" s="2424">
        <v>12718</v>
      </c>
      <c r="AP39" s="2424"/>
      <c r="AQ39" s="2424">
        <v>26</v>
      </c>
      <c r="AR39" s="2424"/>
      <c r="AS39" s="2424">
        <v>37</v>
      </c>
      <c r="AT39" s="2424"/>
      <c r="AU39" s="2424">
        <v>0</v>
      </c>
      <c r="AV39" s="2424"/>
      <c r="AW39" s="2424">
        <v>0</v>
      </c>
      <c r="AX39" s="2424"/>
      <c r="AY39" s="2424">
        <v>44350</v>
      </c>
      <c r="AZ39" s="2424"/>
      <c r="BA39" s="2424">
        <v>21944</v>
      </c>
      <c r="BB39" s="2424"/>
      <c r="BC39" s="2424">
        <v>75687</v>
      </c>
      <c r="BD39" s="2424"/>
      <c r="BE39" s="2424">
        <f>SUM(AE39:AK39)</f>
        <v>581552</v>
      </c>
      <c r="BF39" s="2424"/>
      <c r="BG39" s="2424">
        <v>9</v>
      </c>
      <c r="BH39" s="2424">
        <f>SUM(W39:W52)</f>
        <v>153233333</v>
      </c>
      <c r="BI39" s="2424">
        <f>SUM(X39:X52)</f>
        <v>18400000</v>
      </c>
      <c r="BJ39" s="2489">
        <f>BI39/BH39</f>
        <v>0.1200783122037814</v>
      </c>
      <c r="BK39" s="2485" t="s">
        <v>756</v>
      </c>
      <c r="BL39" s="2485" t="s">
        <v>757</v>
      </c>
      <c r="BM39" s="2486">
        <v>43832</v>
      </c>
      <c r="BN39" s="2486">
        <v>43880</v>
      </c>
      <c r="BO39" s="2486">
        <v>44135</v>
      </c>
      <c r="BP39" s="2486">
        <v>44104</v>
      </c>
      <c r="BQ39" s="2406" t="s">
        <v>757</v>
      </c>
      <c r="BR39" s="2482"/>
      <c r="BS39" s="2482"/>
    </row>
    <row r="40" spans="1:71" s="753" customFormat="1" ht="28.5" x14ac:dyDescent="0.2">
      <c r="A40" s="2453"/>
      <c r="B40" s="2454"/>
      <c r="C40" s="2455"/>
      <c r="D40" s="2456"/>
      <c r="E40" s="2456"/>
      <c r="F40" s="2457"/>
      <c r="G40" s="2458"/>
      <c r="H40" s="2456"/>
      <c r="I40" s="2457"/>
      <c r="J40" s="2434"/>
      <c r="K40" s="2437"/>
      <c r="L40" s="2437"/>
      <c r="M40" s="2464"/>
      <c r="N40" s="2436"/>
      <c r="O40" s="2472"/>
      <c r="P40" s="2475"/>
      <c r="Q40" s="2478"/>
      <c r="R40" s="2442"/>
      <c r="S40" s="2437"/>
      <c r="T40" s="2437"/>
      <c r="U40" s="795" t="s">
        <v>165</v>
      </c>
      <c r="V40" s="733">
        <v>6720000</v>
      </c>
      <c r="W40" s="733">
        <v>4230400</v>
      </c>
      <c r="X40" s="733">
        <v>2484546</v>
      </c>
      <c r="Y40" s="478">
        <v>20</v>
      </c>
      <c r="Z40" s="473" t="s">
        <v>70</v>
      </c>
      <c r="AA40" s="2425"/>
      <c r="AB40" s="2425"/>
      <c r="AC40" s="2425"/>
      <c r="AD40" s="2425"/>
      <c r="AE40" s="2425"/>
      <c r="AF40" s="2425"/>
      <c r="AG40" s="2480"/>
      <c r="AH40" s="2425"/>
      <c r="AI40" s="2480"/>
      <c r="AJ40" s="2425"/>
      <c r="AK40" s="2425"/>
      <c r="AL40" s="2425"/>
      <c r="AM40" s="2425"/>
      <c r="AN40" s="2425"/>
      <c r="AO40" s="2425"/>
      <c r="AP40" s="2425"/>
      <c r="AQ40" s="2425"/>
      <c r="AR40" s="2425"/>
      <c r="AS40" s="2425"/>
      <c r="AT40" s="2425"/>
      <c r="AU40" s="2425"/>
      <c r="AV40" s="2425"/>
      <c r="AW40" s="2425"/>
      <c r="AX40" s="2425"/>
      <c r="AY40" s="2425"/>
      <c r="AZ40" s="2425"/>
      <c r="BA40" s="2425"/>
      <c r="BB40" s="2425"/>
      <c r="BC40" s="2425"/>
      <c r="BD40" s="2425"/>
      <c r="BE40" s="2425"/>
      <c r="BF40" s="2425"/>
      <c r="BG40" s="2425"/>
      <c r="BH40" s="2425"/>
      <c r="BI40" s="2425"/>
      <c r="BJ40" s="2490"/>
      <c r="BK40" s="2425"/>
      <c r="BL40" s="2425"/>
      <c r="BM40" s="2487"/>
      <c r="BN40" s="2487"/>
      <c r="BO40" s="2487"/>
      <c r="BP40" s="2487"/>
      <c r="BQ40" s="2407"/>
      <c r="BR40" s="2482"/>
      <c r="BS40" s="2482"/>
    </row>
    <row r="41" spans="1:71" s="753" customFormat="1" ht="28.5" x14ac:dyDescent="0.2">
      <c r="A41" s="2453"/>
      <c r="B41" s="2454"/>
      <c r="C41" s="2455"/>
      <c r="D41" s="2456"/>
      <c r="E41" s="2456"/>
      <c r="F41" s="2457"/>
      <c r="G41" s="2458"/>
      <c r="H41" s="2456"/>
      <c r="I41" s="2457"/>
      <c r="J41" s="2434"/>
      <c r="K41" s="2437"/>
      <c r="L41" s="2437"/>
      <c r="M41" s="2464"/>
      <c r="N41" s="2436"/>
      <c r="O41" s="2472"/>
      <c r="P41" s="2475"/>
      <c r="Q41" s="2478"/>
      <c r="R41" s="2442"/>
      <c r="S41" s="2437"/>
      <c r="T41" s="2437"/>
      <c r="U41" s="472" t="s">
        <v>166</v>
      </c>
      <c r="V41" s="733">
        <v>15120000</v>
      </c>
      <c r="W41" s="733">
        <v>10821424</v>
      </c>
      <c r="X41" s="733">
        <v>3342600</v>
      </c>
      <c r="Y41" s="478">
        <v>20</v>
      </c>
      <c r="Z41" s="473" t="s">
        <v>70</v>
      </c>
      <c r="AA41" s="2425"/>
      <c r="AB41" s="2425"/>
      <c r="AC41" s="2425"/>
      <c r="AD41" s="2425"/>
      <c r="AE41" s="2425"/>
      <c r="AF41" s="2425"/>
      <c r="AG41" s="2480"/>
      <c r="AH41" s="2425"/>
      <c r="AI41" s="2480"/>
      <c r="AJ41" s="2425"/>
      <c r="AK41" s="2425"/>
      <c r="AL41" s="2425"/>
      <c r="AM41" s="2425"/>
      <c r="AN41" s="2425"/>
      <c r="AO41" s="2425"/>
      <c r="AP41" s="2425"/>
      <c r="AQ41" s="2425"/>
      <c r="AR41" s="2425"/>
      <c r="AS41" s="2425"/>
      <c r="AT41" s="2425"/>
      <c r="AU41" s="2425"/>
      <c r="AV41" s="2425"/>
      <c r="AW41" s="2425"/>
      <c r="AX41" s="2425"/>
      <c r="AY41" s="2425"/>
      <c r="AZ41" s="2425"/>
      <c r="BA41" s="2425"/>
      <c r="BB41" s="2425"/>
      <c r="BC41" s="2425"/>
      <c r="BD41" s="2425"/>
      <c r="BE41" s="2425"/>
      <c r="BF41" s="2425"/>
      <c r="BG41" s="2425"/>
      <c r="BH41" s="2425"/>
      <c r="BI41" s="2425"/>
      <c r="BJ41" s="2490"/>
      <c r="BK41" s="2425"/>
      <c r="BL41" s="2425"/>
      <c r="BM41" s="2487"/>
      <c r="BN41" s="2487"/>
      <c r="BO41" s="2487"/>
      <c r="BP41" s="2487"/>
      <c r="BQ41" s="2407"/>
      <c r="BR41" s="2482"/>
      <c r="BS41" s="2482"/>
    </row>
    <row r="42" spans="1:71" s="753" customFormat="1" ht="28.5" x14ac:dyDescent="0.2">
      <c r="A42" s="2453"/>
      <c r="B42" s="2454"/>
      <c r="C42" s="2455"/>
      <c r="D42" s="2456"/>
      <c r="E42" s="2456"/>
      <c r="F42" s="2457"/>
      <c r="G42" s="2458"/>
      <c r="H42" s="2456"/>
      <c r="I42" s="2457"/>
      <c r="J42" s="2434"/>
      <c r="K42" s="2437"/>
      <c r="L42" s="2437"/>
      <c r="M42" s="2464"/>
      <c r="N42" s="2436"/>
      <c r="O42" s="2472"/>
      <c r="P42" s="2475"/>
      <c r="Q42" s="2478"/>
      <c r="R42" s="2442"/>
      <c r="S42" s="2437"/>
      <c r="T42" s="2437"/>
      <c r="U42" s="490" t="s">
        <v>167</v>
      </c>
      <c r="V42" s="733">
        <v>1680000</v>
      </c>
      <c r="W42" s="733">
        <v>1680000</v>
      </c>
      <c r="X42" s="733">
        <v>1680000</v>
      </c>
      <c r="Y42" s="478">
        <v>20</v>
      </c>
      <c r="Z42" s="473" t="s">
        <v>70</v>
      </c>
      <c r="AA42" s="2425"/>
      <c r="AB42" s="2425"/>
      <c r="AC42" s="2425"/>
      <c r="AD42" s="2425"/>
      <c r="AE42" s="2425"/>
      <c r="AF42" s="2425"/>
      <c r="AG42" s="2480"/>
      <c r="AH42" s="2425"/>
      <c r="AI42" s="2480"/>
      <c r="AJ42" s="2425"/>
      <c r="AK42" s="2425"/>
      <c r="AL42" s="2425"/>
      <c r="AM42" s="2425"/>
      <c r="AN42" s="2425"/>
      <c r="AO42" s="2425"/>
      <c r="AP42" s="2425"/>
      <c r="AQ42" s="2425"/>
      <c r="AR42" s="2425"/>
      <c r="AS42" s="2425"/>
      <c r="AT42" s="2425"/>
      <c r="AU42" s="2425"/>
      <c r="AV42" s="2425"/>
      <c r="AW42" s="2425"/>
      <c r="AX42" s="2425"/>
      <c r="AY42" s="2425"/>
      <c r="AZ42" s="2425"/>
      <c r="BA42" s="2425"/>
      <c r="BB42" s="2425"/>
      <c r="BC42" s="2425"/>
      <c r="BD42" s="2425"/>
      <c r="BE42" s="2425"/>
      <c r="BF42" s="2425"/>
      <c r="BG42" s="2425"/>
      <c r="BH42" s="2425"/>
      <c r="BI42" s="2425"/>
      <c r="BJ42" s="2490"/>
      <c r="BK42" s="2425"/>
      <c r="BL42" s="2425"/>
      <c r="BM42" s="2487"/>
      <c r="BN42" s="2487"/>
      <c r="BO42" s="2487"/>
      <c r="BP42" s="2487"/>
      <c r="BQ42" s="2407"/>
      <c r="BR42" s="2482"/>
      <c r="BS42" s="2482"/>
    </row>
    <row r="43" spans="1:71" s="753" customFormat="1" ht="28.5" x14ac:dyDescent="0.2">
      <c r="A43" s="2453"/>
      <c r="B43" s="2454"/>
      <c r="C43" s="2455"/>
      <c r="D43" s="2456"/>
      <c r="E43" s="2456"/>
      <c r="F43" s="2457"/>
      <c r="G43" s="2458"/>
      <c r="H43" s="2456"/>
      <c r="I43" s="2457"/>
      <c r="J43" s="2434"/>
      <c r="K43" s="2437"/>
      <c r="L43" s="2437"/>
      <c r="M43" s="2464"/>
      <c r="N43" s="2436"/>
      <c r="O43" s="2472"/>
      <c r="P43" s="2475"/>
      <c r="Q43" s="2478"/>
      <c r="R43" s="2442"/>
      <c r="S43" s="2437"/>
      <c r="T43" s="2437"/>
      <c r="U43" s="472" t="s">
        <v>168</v>
      </c>
      <c r="V43" s="733">
        <v>6720000</v>
      </c>
      <c r="W43" s="733">
        <v>5040000</v>
      </c>
      <c r="X43" s="733">
        <v>1920000</v>
      </c>
      <c r="Y43" s="478">
        <v>20</v>
      </c>
      <c r="Z43" s="473" t="s">
        <v>70</v>
      </c>
      <c r="AA43" s="2425"/>
      <c r="AB43" s="2425"/>
      <c r="AC43" s="2425"/>
      <c r="AD43" s="2425"/>
      <c r="AE43" s="2425"/>
      <c r="AF43" s="2425"/>
      <c r="AG43" s="2480"/>
      <c r="AH43" s="2425"/>
      <c r="AI43" s="2480"/>
      <c r="AJ43" s="2425"/>
      <c r="AK43" s="2425"/>
      <c r="AL43" s="2425"/>
      <c r="AM43" s="2425"/>
      <c r="AN43" s="2425"/>
      <c r="AO43" s="2425"/>
      <c r="AP43" s="2425"/>
      <c r="AQ43" s="2425"/>
      <c r="AR43" s="2425"/>
      <c r="AS43" s="2425"/>
      <c r="AT43" s="2425"/>
      <c r="AU43" s="2425"/>
      <c r="AV43" s="2425"/>
      <c r="AW43" s="2425"/>
      <c r="AX43" s="2425"/>
      <c r="AY43" s="2425"/>
      <c r="AZ43" s="2425"/>
      <c r="BA43" s="2425"/>
      <c r="BB43" s="2425"/>
      <c r="BC43" s="2425"/>
      <c r="BD43" s="2425"/>
      <c r="BE43" s="2425"/>
      <c r="BF43" s="2425"/>
      <c r="BG43" s="2425"/>
      <c r="BH43" s="2425"/>
      <c r="BI43" s="2425"/>
      <c r="BJ43" s="2490"/>
      <c r="BK43" s="2425"/>
      <c r="BL43" s="2425"/>
      <c r="BM43" s="2487"/>
      <c r="BN43" s="2487"/>
      <c r="BO43" s="2487"/>
      <c r="BP43" s="2487"/>
      <c r="BQ43" s="2407"/>
    </row>
    <row r="44" spans="1:71" s="753" customFormat="1" ht="28.5" x14ac:dyDescent="0.2">
      <c r="A44" s="2453"/>
      <c r="B44" s="2454"/>
      <c r="C44" s="2455"/>
      <c r="D44" s="2456"/>
      <c r="E44" s="2456"/>
      <c r="F44" s="2457"/>
      <c r="G44" s="2458"/>
      <c r="H44" s="2456"/>
      <c r="I44" s="2457"/>
      <c r="J44" s="2434"/>
      <c r="K44" s="2437"/>
      <c r="L44" s="2437"/>
      <c r="M44" s="2464"/>
      <c r="N44" s="2436"/>
      <c r="O44" s="2472"/>
      <c r="P44" s="2475"/>
      <c r="Q44" s="2478"/>
      <c r="R44" s="2442"/>
      <c r="S44" s="2437"/>
      <c r="T44" s="2437"/>
      <c r="U44" s="796" t="s">
        <v>169</v>
      </c>
      <c r="V44" s="733">
        <v>18480000</v>
      </c>
      <c r="W44" s="733">
        <v>13014000</v>
      </c>
      <c r="X44" s="733"/>
      <c r="Y44" s="478">
        <v>20</v>
      </c>
      <c r="Z44" s="473" t="s">
        <v>70</v>
      </c>
      <c r="AA44" s="2425"/>
      <c r="AB44" s="2425"/>
      <c r="AC44" s="2425"/>
      <c r="AD44" s="2425"/>
      <c r="AE44" s="2425"/>
      <c r="AF44" s="2425"/>
      <c r="AG44" s="2480"/>
      <c r="AH44" s="2425"/>
      <c r="AI44" s="2480"/>
      <c r="AJ44" s="2425"/>
      <c r="AK44" s="2425"/>
      <c r="AL44" s="2425"/>
      <c r="AM44" s="2425"/>
      <c r="AN44" s="2425"/>
      <c r="AO44" s="2425"/>
      <c r="AP44" s="2425"/>
      <c r="AQ44" s="2425"/>
      <c r="AR44" s="2425"/>
      <c r="AS44" s="2425"/>
      <c r="AT44" s="2425"/>
      <c r="AU44" s="2425"/>
      <c r="AV44" s="2425"/>
      <c r="AW44" s="2425"/>
      <c r="AX44" s="2425"/>
      <c r="AY44" s="2425"/>
      <c r="AZ44" s="2425"/>
      <c r="BA44" s="2425"/>
      <c r="BB44" s="2425"/>
      <c r="BC44" s="2425"/>
      <c r="BD44" s="2425"/>
      <c r="BE44" s="2425"/>
      <c r="BF44" s="2425"/>
      <c r="BG44" s="2425"/>
      <c r="BH44" s="2425"/>
      <c r="BI44" s="2425"/>
      <c r="BJ44" s="2490"/>
      <c r="BK44" s="2425"/>
      <c r="BL44" s="2425"/>
      <c r="BM44" s="2487"/>
      <c r="BN44" s="2487"/>
      <c r="BO44" s="2487"/>
      <c r="BP44" s="2487"/>
      <c r="BQ44" s="2407"/>
    </row>
    <row r="45" spans="1:71" s="753" customFormat="1" ht="28.5" x14ac:dyDescent="0.2">
      <c r="A45" s="2453"/>
      <c r="B45" s="2454"/>
      <c r="C45" s="2455"/>
      <c r="D45" s="2456"/>
      <c r="E45" s="2456"/>
      <c r="F45" s="2457"/>
      <c r="G45" s="2458"/>
      <c r="H45" s="2456"/>
      <c r="I45" s="2457"/>
      <c r="J45" s="2434"/>
      <c r="K45" s="2437"/>
      <c r="L45" s="2437"/>
      <c r="M45" s="2464"/>
      <c r="N45" s="2436"/>
      <c r="O45" s="2472"/>
      <c r="P45" s="2475"/>
      <c r="Q45" s="2478"/>
      <c r="R45" s="2442"/>
      <c r="S45" s="2437"/>
      <c r="T45" s="2437"/>
      <c r="U45" s="490" t="s">
        <v>170</v>
      </c>
      <c r="V45" s="733">
        <v>18480000</v>
      </c>
      <c r="W45" s="733">
        <v>13568283</v>
      </c>
      <c r="X45" s="733">
        <v>1011000</v>
      </c>
      <c r="Y45" s="478">
        <v>20</v>
      </c>
      <c r="Z45" s="473" t="s">
        <v>70</v>
      </c>
      <c r="AA45" s="2425"/>
      <c r="AB45" s="2425"/>
      <c r="AC45" s="2425"/>
      <c r="AD45" s="2425"/>
      <c r="AE45" s="2425"/>
      <c r="AF45" s="2425"/>
      <c r="AG45" s="2480"/>
      <c r="AH45" s="2425"/>
      <c r="AI45" s="2480"/>
      <c r="AJ45" s="2425"/>
      <c r="AK45" s="2425"/>
      <c r="AL45" s="2425"/>
      <c r="AM45" s="2425"/>
      <c r="AN45" s="2425"/>
      <c r="AO45" s="2425"/>
      <c r="AP45" s="2425"/>
      <c r="AQ45" s="2425"/>
      <c r="AR45" s="2425"/>
      <c r="AS45" s="2425"/>
      <c r="AT45" s="2425"/>
      <c r="AU45" s="2425"/>
      <c r="AV45" s="2425"/>
      <c r="AW45" s="2425"/>
      <c r="AX45" s="2425"/>
      <c r="AY45" s="2425"/>
      <c r="AZ45" s="2425"/>
      <c r="BA45" s="2425"/>
      <c r="BB45" s="2425"/>
      <c r="BC45" s="2425"/>
      <c r="BD45" s="2425"/>
      <c r="BE45" s="2425"/>
      <c r="BF45" s="2425"/>
      <c r="BG45" s="2425"/>
      <c r="BH45" s="2425"/>
      <c r="BI45" s="2425"/>
      <c r="BJ45" s="2490"/>
      <c r="BK45" s="2425"/>
      <c r="BL45" s="2425"/>
      <c r="BM45" s="2487"/>
      <c r="BN45" s="2487"/>
      <c r="BO45" s="2487"/>
      <c r="BP45" s="2487"/>
      <c r="BQ45" s="2407"/>
    </row>
    <row r="46" spans="1:71" s="753" customFormat="1" ht="42.75" x14ac:dyDescent="0.2">
      <c r="A46" s="2453"/>
      <c r="B46" s="2454"/>
      <c r="C46" s="2455"/>
      <c r="D46" s="2456"/>
      <c r="E46" s="2456"/>
      <c r="F46" s="2457"/>
      <c r="G46" s="2458"/>
      <c r="H46" s="2456"/>
      <c r="I46" s="2457"/>
      <c r="J46" s="2434"/>
      <c r="K46" s="2437"/>
      <c r="L46" s="2437"/>
      <c r="M46" s="2464"/>
      <c r="N46" s="2436"/>
      <c r="O46" s="2472"/>
      <c r="P46" s="2475"/>
      <c r="Q46" s="2478"/>
      <c r="R46" s="2442"/>
      <c r="S46" s="2437"/>
      <c r="T46" s="2437"/>
      <c r="U46" s="490" t="s">
        <v>171</v>
      </c>
      <c r="V46" s="733">
        <f>84000000-37500000</f>
        <v>46500000</v>
      </c>
      <c r="W46" s="733">
        <v>27555226</v>
      </c>
      <c r="X46" s="733">
        <v>814000</v>
      </c>
      <c r="Y46" s="478">
        <v>20</v>
      </c>
      <c r="Z46" s="473" t="s">
        <v>70</v>
      </c>
      <c r="AA46" s="2425"/>
      <c r="AB46" s="2425"/>
      <c r="AC46" s="2425"/>
      <c r="AD46" s="2425"/>
      <c r="AE46" s="2425"/>
      <c r="AF46" s="2425"/>
      <c r="AG46" s="2480"/>
      <c r="AH46" s="2425"/>
      <c r="AI46" s="2480"/>
      <c r="AJ46" s="2425"/>
      <c r="AK46" s="2425"/>
      <c r="AL46" s="2425"/>
      <c r="AM46" s="2425"/>
      <c r="AN46" s="2425"/>
      <c r="AO46" s="2425"/>
      <c r="AP46" s="2425"/>
      <c r="AQ46" s="2425"/>
      <c r="AR46" s="2425"/>
      <c r="AS46" s="2425"/>
      <c r="AT46" s="2425"/>
      <c r="AU46" s="2425"/>
      <c r="AV46" s="2425"/>
      <c r="AW46" s="2425"/>
      <c r="AX46" s="2425"/>
      <c r="AY46" s="2425"/>
      <c r="AZ46" s="2425"/>
      <c r="BA46" s="2425"/>
      <c r="BB46" s="2425"/>
      <c r="BC46" s="2425"/>
      <c r="BD46" s="2425"/>
      <c r="BE46" s="2425"/>
      <c r="BF46" s="2425"/>
      <c r="BG46" s="2425"/>
      <c r="BH46" s="2425"/>
      <c r="BI46" s="2425"/>
      <c r="BJ46" s="2490"/>
      <c r="BK46" s="2425"/>
      <c r="BL46" s="2425"/>
      <c r="BM46" s="2487"/>
      <c r="BN46" s="2487"/>
      <c r="BO46" s="2487"/>
      <c r="BP46" s="2487"/>
      <c r="BQ46" s="2407"/>
    </row>
    <row r="47" spans="1:71" s="753" customFormat="1" ht="28.5" x14ac:dyDescent="0.2">
      <c r="A47" s="2453"/>
      <c r="B47" s="2454"/>
      <c r="C47" s="2455"/>
      <c r="D47" s="2456"/>
      <c r="E47" s="2456"/>
      <c r="F47" s="2457"/>
      <c r="G47" s="2458"/>
      <c r="H47" s="2456"/>
      <c r="I47" s="2457"/>
      <c r="J47" s="2434"/>
      <c r="K47" s="2437"/>
      <c r="L47" s="2437"/>
      <c r="M47" s="2464"/>
      <c r="N47" s="2436"/>
      <c r="O47" s="2472"/>
      <c r="P47" s="2475"/>
      <c r="Q47" s="2478"/>
      <c r="R47" s="2442"/>
      <c r="S47" s="2437"/>
      <c r="T47" s="2437"/>
      <c r="U47" s="796" t="s">
        <v>172</v>
      </c>
      <c r="V47" s="733">
        <v>22500000</v>
      </c>
      <c r="W47" s="733">
        <v>14430000</v>
      </c>
      <c r="X47" s="733">
        <v>1775000</v>
      </c>
      <c r="Y47" s="478">
        <v>20</v>
      </c>
      <c r="Z47" s="473" t="s">
        <v>70</v>
      </c>
      <c r="AA47" s="2425"/>
      <c r="AB47" s="2425"/>
      <c r="AC47" s="2425"/>
      <c r="AD47" s="2425"/>
      <c r="AE47" s="2425"/>
      <c r="AF47" s="2425"/>
      <c r="AG47" s="2480"/>
      <c r="AH47" s="2425"/>
      <c r="AI47" s="2480"/>
      <c r="AJ47" s="2425"/>
      <c r="AK47" s="2425"/>
      <c r="AL47" s="2425"/>
      <c r="AM47" s="2425"/>
      <c r="AN47" s="2425"/>
      <c r="AO47" s="2425"/>
      <c r="AP47" s="2425"/>
      <c r="AQ47" s="2425"/>
      <c r="AR47" s="2425"/>
      <c r="AS47" s="2425"/>
      <c r="AT47" s="2425"/>
      <c r="AU47" s="2425"/>
      <c r="AV47" s="2425"/>
      <c r="AW47" s="2425"/>
      <c r="AX47" s="2425"/>
      <c r="AY47" s="2425"/>
      <c r="AZ47" s="2425"/>
      <c r="BA47" s="2425"/>
      <c r="BB47" s="2425"/>
      <c r="BC47" s="2425"/>
      <c r="BD47" s="2425"/>
      <c r="BE47" s="2425"/>
      <c r="BF47" s="2425"/>
      <c r="BG47" s="2425"/>
      <c r="BH47" s="2425"/>
      <c r="BI47" s="2425"/>
      <c r="BJ47" s="2490"/>
      <c r="BK47" s="2425"/>
      <c r="BL47" s="2425"/>
      <c r="BM47" s="2487"/>
      <c r="BN47" s="2487"/>
      <c r="BO47" s="2487"/>
      <c r="BP47" s="2487"/>
      <c r="BQ47" s="2407"/>
    </row>
    <row r="48" spans="1:71" s="753" customFormat="1" ht="28.5" x14ac:dyDescent="0.2">
      <c r="A48" s="2453"/>
      <c r="B48" s="2454"/>
      <c r="C48" s="2455"/>
      <c r="D48" s="2456"/>
      <c r="E48" s="2456"/>
      <c r="F48" s="2457"/>
      <c r="G48" s="2458"/>
      <c r="H48" s="2456"/>
      <c r="I48" s="2457"/>
      <c r="J48" s="2434"/>
      <c r="K48" s="2437"/>
      <c r="L48" s="2437"/>
      <c r="M48" s="2464"/>
      <c r="N48" s="2436"/>
      <c r="O48" s="2472"/>
      <c r="P48" s="2475"/>
      <c r="Q48" s="2478"/>
      <c r="R48" s="2442"/>
      <c r="S48" s="2437"/>
      <c r="T48" s="2437"/>
      <c r="U48" s="797" t="s">
        <v>173</v>
      </c>
      <c r="V48" s="733">
        <v>4200000</v>
      </c>
      <c r="W48" s="733">
        <v>4200000</v>
      </c>
      <c r="X48" s="733"/>
      <c r="Y48" s="478">
        <v>20</v>
      </c>
      <c r="Z48" s="473" t="s">
        <v>70</v>
      </c>
      <c r="AA48" s="2425"/>
      <c r="AB48" s="2425"/>
      <c r="AC48" s="2425"/>
      <c r="AD48" s="2425"/>
      <c r="AE48" s="2425"/>
      <c r="AF48" s="2425"/>
      <c r="AG48" s="2480"/>
      <c r="AH48" s="2425"/>
      <c r="AI48" s="2480"/>
      <c r="AJ48" s="2425"/>
      <c r="AK48" s="2425"/>
      <c r="AL48" s="2425"/>
      <c r="AM48" s="2425"/>
      <c r="AN48" s="2425"/>
      <c r="AO48" s="2425"/>
      <c r="AP48" s="2425"/>
      <c r="AQ48" s="2425"/>
      <c r="AR48" s="2425"/>
      <c r="AS48" s="2425"/>
      <c r="AT48" s="2425"/>
      <c r="AU48" s="2425"/>
      <c r="AV48" s="2425"/>
      <c r="AW48" s="2425"/>
      <c r="AX48" s="2425"/>
      <c r="AY48" s="2425"/>
      <c r="AZ48" s="2425"/>
      <c r="BA48" s="2425"/>
      <c r="BB48" s="2425"/>
      <c r="BC48" s="2425"/>
      <c r="BD48" s="2425"/>
      <c r="BE48" s="2425"/>
      <c r="BF48" s="2425"/>
      <c r="BG48" s="2425"/>
      <c r="BH48" s="2425"/>
      <c r="BI48" s="2425"/>
      <c r="BJ48" s="2490"/>
      <c r="BK48" s="2425"/>
      <c r="BL48" s="2425"/>
      <c r="BM48" s="2487"/>
      <c r="BN48" s="2487"/>
      <c r="BO48" s="2487"/>
      <c r="BP48" s="2487"/>
      <c r="BQ48" s="2407"/>
    </row>
    <row r="49" spans="1:71" s="753" customFormat="1" ht="28.5" x14ac:dyDescent="0.2">
      <c r="A49" s="2453"/>
      <c r="B49" s="2454"/>
      <c r="C49" s="2455"/>
      <c r="D49" s="2456"/>
      <c r="E49" s="2456"/>
      <c r="F49" s="2457"/>
      <c r="G49" s="2458"/>
      <c r="H49" s="2456"/>
      <c r="I49" s="2457"/>
      <c r="J49" s="2434"/>
      <c r="K49" s="2437"/>
      <c r="L49" s="2437"/>
      <c r="M49" s="2464"/>
      <c r="N49" s="2436"/>
      <c r="O49" s="2472"/>
      <c r="P49" s="2475"/>
      <c r="Q49" s="2478"/>
      <c r="R49" s="2442"/>
      <c r="S49" s="2437"/>
      <c r="T49" s="2437" t="s">
        <v>174</v>
      </c>
      <c r="U49" s="798" t="s">
        <v>175</v>
      </c>
      <c r="V49" s="733">
        <v>13500000</v>
      </c>
      <c r="W49" s="733">
        <v>9387000</v>
      </c>
      <c r="X49" s="733"/>
      <c r="Y49" s="478">
        <v>20</v>
      </c>
      <c r="Z49" s="473" t="s">
        <v>70</v>
      </c>
      <c r="AA49" s="2425"/>
      <c r="AB49" s="2425"/>
      <c r="AC49" s="2425"/>
      <c r="AD49" s="2425"/>
      <c r="AE49" s="2425"/>
      <c r="AF49" s="2425"/>
      <c r="AG49" s="2480"/>
      <c r="AH49" s="2425"/>
      <c r="AI49" s="2480"/>
      <c r="AJ49" s="2425"/>
      <c r="AK49" s="2425"/>
      <c r="AL49" s="2425"/>
      <c r="AM49" s="2425"/>
      <c r="AN49" s="2425"/>
      <c r="AO49" s="2425"/>
      <c r="AP49" s="2425"/>
      <c r="AQ49" s="2425"/>
      <c r="AR49" s="2425"/>
      <c r="AS49" s="2425"/>
      <c r="AT49" s="2425"/>
      <c r="AU49" s="2425"/>
      <c r="AV49" s="2425"/>
      <c r="AW49" s="2425"/>
      <c r="AX49" s="2425"/>
      <c r="AY49" s="2425"/>
      <c r="AZ49" s="2425"/>
      <c r="BA49" s="2425"/>
      <c r="BB49" s="2425"/>
      <c r="BC49" s="2425"/>
      <c r="BD49" s="2425"/>
      <c r="BE49" s="2425"/>
      <c r="BF49" s="2425"/>
      <c r="BG49" s="2425"/>
      <c r="BH49" s="2425"/>
      <c r="BI49" s="2425"/>
      <c r="BJ49" s="2490"/>
      <c r="BK49" s="2425"/>
      <c r="BL49" s="2425"/>
      <c r="BM49" s="2487"/>
      <c r="BN49" s="2487"/>
      <c r="BO49" s="2487"/>
      <c r="BP49" s="2487"/>
      <c r="BQ49" s="2407"/>
    </row>
    <row r="50" spans="1:71" s="753" customFormat="1" ht="27" customHeight="1" x14ac:dyDescent="0.2">
      <c r="A50" s="2453"/>
      <c r="B50" s="2454"/>
      <c r="C50" s="2455"/>
      <c r="D50" s="2456"/>
      <c r="E50" s="2456"/>
      <c r="F50" s="2457"/>
      <c r="G50" s="2458"/>
      <c r="H50" s="2456"/>
      <c r="I50" s="2457"/>
      <c r="J50" s="2434"/>
      <c r="K50" s="2437"/>
      <c r="L50" s="2437"/>
      <c r="M50" s="2464"/>
      <c r="N50" s="2436"/>
      <c r="O50" s="2472"/>
      <c r="P50" s="2475"/>
      <c r="Q50" s="2478"/>
      <c r="R50" s="2442"/>
      <c r="S50" s="2437"/>
      <c r="T50" s="2437"/>
      <c r="U50" s="799" t="s">
        <v>176</v>
      </c>
      <c r="V50" s="733">
        <v>15000000</v>
      </c>
      <c r="W50" s="733"/>
      <c r="X50" s="733"/>
      <c r="Y50" s="478">
        <v>20</v>
      </c>
      <c r="Z50" s="473" t="s">
        <v>70</v>
      </c>
      <c r="AA50" s="2425"/>
      <c r="AB50" s="2425"/>
      <c r="AC50" s="2425"/>
      <c r="AD50" s="2425"/>
      <c r="AE50" s="2425"/>
      <c r="AF50" s="2425"/>
      <c r="AG50" s="2480"/>
      <c r="AH50" s="2425"/>
      <c r="AI50" s="2480"/>
      <c r="AJ50" s="2425"/>
      <c r="AK50" s="2425"/>
      <c r="AL50" s="2425"/>
      <c r="AM50" s="2425"/>
      <c r="AN50" s="2425"/>
      <c r="AO50" s="2425"/>
      <c r="AP50" s="2425"/>
      <c r="AQ50" s="2425"/>
      <c r="AR50" s="2425"/>
      <c r="AS50" s="2425"/>
      <c r="AT50" s="2425"/>
      <c r="AU50" s="2425"/>
      <c r="AV50" s="2425"/>
      <c r="AW50" s="2425"/>
      <c r="AX50" s="2425"/>
      <c r="AY50" s="2425"/>
      <c r="AZ50" s="2425"/>
      <c r="BA50" s="2425"/>
      <c r="BB50" s="2425"/>
      <c r="BC50" s="2425"/>
      <c r="BD50" s="2425"/>
      <c r="BE50" s="2425"/>
      <c r="BF50" s="2425"/>
      <c r="BG50" s="2425"/>
      <c r="BH50" s="2425"/>
      <c r="BI50" s="2425"/>
      <c r="BJ50" s="2490"/>
      <c r="BK50" s="2425"/>
      <c r="BL50" s="2425"/>
      <c r="BM50" s="2487"/>
      <c r="BN50" s="2487"/>
      <c r="BO50" s="2487"/>
      <c r="BP50" s="2487"/>
      <c r="BQ50" s="2407"/>
    </row>
    <row r="51" spans="1:71" s="753" customFormat="1" ht="39.75" customHeight="1" x14ac:dyDescent="0.2">
      <c r="A51" s="2453"/>
      <c r="B51" s="2454"/>
      <c r="C51" s="2455"/>
      <c r="D51" s="2456"/>
      <c r="E51" s="2456"/>
      <c r="F51" s="2457"/>
      <c r="G51" s="2458"/>
      <c r="H51" s="2456"/>
      <c r="I51" s="2457"/>
      <c r="J51" s="2434"/>
      <c r="K51" s="2437"/>
      <c r="L51" s="2437"/>
      <c r="M51" s="2464"/>
      <c r="N51" s="2436"/>
      <c r="O51" s="2472"/>
      <c r="P51" s="2475"/>
      <c r="Q51" s="2478"/>
      <c r="R51" s="2442"/>
      <c r="S51" s="2437"/>
      <c r="T51" s="2437"/>
      <c r="U51" s="800" t="s">
        <v>177</v>
      </c>
      <c r="V51" s="733">
        <f>7500000+37500000</f>
        <v>45000000</v>
      </c>
      <c r="W51" s="733">
        <v>39500000</v>
      </c>
      <c r="X51" s="733"/>
      <c r="Y51" s="478">
        <v>20</v>
      </c>
      <c r="Z51" s="473" t="s">
        <v>70</v>
      </c>
      <c r="AA51" s="2425"/>
      <c r="AB51" s="2425"/>
      <c r="AC51" s="2425"/>
      <c r="AD51" s="2425"/>
      <c r="AE51" s="2425"/>
      <c r="AF51" s="2425"/>
      <c r="AG51" s="2480"/>
      <c r="AH51" s="2425"/>
      <c r="AI51" s="2480"/>
      <c r="AJ51" s="2425"/>
      <c r="AK51" s="2425"/>
      <c r="AL51" s="2425"/>
      <c r="AM51" s="2425"/>
      <c r="AN51" s="2425"/>
      <c r="AO51" s="2425"/>
      <c r="AP51" s="2425"/>
      <c r="AQ51" s="2425"/>
      <c r="AR51" s="2425"/>
      <c r="AS51" s="2425"/>
      <c r="AT51" s="2425"/>
      <c r="AU51" s="2425"/>
      <c r="AV51" s="2425"/>
      <c r="AW51" s="2425"/>
      <c r="AX51" s="2425"/>
      <c r="AY51" s="2425"/>
      <c r="AZ51" s="2425"/>
      <c r="BA51" s="2425"/>
      <c r="BB51" s="2425"/>
      <c r="BC51" s="2425"/>
      <c r="BD51" s="2425"/>
      <c r="BE51" s="2425"/>
      <c r="BF51" s="2425"/>
      <c r="BG51" s="2425"/>
      <c r="BH51" s="2425"/>
      <c r="BI51" s="2425"/>
      <c r="BJ51" s="2490"/>
      <c r="BK51" s="2425"/>
      <c r="BL51" s="2425"/>
      <c r="BM51" s="2487"/>
      <c r="BN51" s="2487"/>
      <c r="BO51" s="2487"/>
      <c r="BP51" s="2487"/>
      <c r="BQ51" s="2407"/>
    </row>
    <row r="52" spans="1:71" s="51" customFormat="1" ht="32.25" customHeight="1" x14ac:dyDescent="0.2">
      <c r="A52" s="2453"/>
      <c r="B52" s="2454"/>
      <c r="C52" s="2455"/>
      <c r="D52" s="2456"/>
      <c r="E52" s="2456"/>
      <c r="F52" s="2457"/>
      <c r="G52" s="2458"/>
      <c r="H52" s="2456"/>
      <c r="I52" s="2457"/>
      <c r="J52" s="2463"/>
      <c r="K52" s="2437"/>
      <c r="L52" s="2437"/>
      <c r="M52" s="2464"/>
      <c r="N52" s="2436"/>
      <c r="O52" s="2473"/>
      <c r="P52" s="2476"/>
      <c r="Q52" s="2479"/>
      <c r="R52" s="2442"/>
      <c r="S52" s="2437"/>
      <c r="T52" s="2437"/>
      <c r="U52" s="472" t="s">
        <v>178</v>
      </c>
      <c r="V52" s="733">
        <v>392000</v>
      </c>
      <c r="W52" s="733"/>
      <c r="X52" s="733"/>
      <c r="Y52" s="478">
        <v>20</v>
      </c>
      <c r="Z52" s="473" t="s">
        <v>70</v>
      </c>
      <c r="AA52" s="2426"/>
      <c r="AB52" s="2426"/>
      <c r="AC52" s="2426"/>
      <c r="AD52" s="2426"/>
      <c r="AE52" s="2426"/>
      <c r="AF52" s="2426"/>
      <c r="AG52" s="2480"/>
      <c r="AH52" s="2426"/>
      <c r="AI52" s="2480"/>
      <c r="AJ52" s="2426"/>
      <c r="AK52" s="2426"/>
      <c r="AL52" s="2426"/>
      <c r="AM52" s="2426"/>
      <c r="AN52" s="2426"/>
      <c r="AO52" s="2426"/>
      <c r="AP52" s="2426"/>
      <c r="AQ52" s="2426"/>
      <c r="AR52" s="2426"/>
      <c r="AS52" s="2426"/>
      <c r="AT52" s="2426"/>
      <c r="AU52" s="2426"/>
      <c r="AV52" s="2426"/>
      <c r="AW52" s="2426"/>
      <c r="AX52" s="2426"/>
      <c r="AY52" s="2426"/>
      <c r="AZ52" s="2426"/>
      <c r="BA52" s="2426"/>
      <c r="BB52" s="2426"/>
      <c r="BC52" s="2426"/>
      <c r="BD52" s="2426"/>
      <c r="BE52" s="2426"/>
      <c r="BF52" s="2426"/>
      <c r="BG52" s="2426"/>
      <c r="BH52" s="2426"/>
      <c r="BI52" s="2426"/>
      <c r="BJ52" s="2491"/>
      <c r="BK52" s="2426"/>
      <c r="BL52" s="2426"/>
      <c r="BM52" s="2488"/>
      <c r="BN52" s="2488"/>
      <c r="BO52" s="2488"/>
      <c r="BP52" s="2488"/>
      <c r="BQ52" s="2481"/>
      <c r="BR52" s="164"/>
      <c r="BS52" s="753"/>
    </row>
    <row r="53" spans="1:71" ht="37.5" customHeight="1" x14ac:dyDescent="0.2">
      <c r="A53" s="2453"/>
      <c r="B53" s="2454"/>
      <c r="C53" s="2455"/>
      <c r="D53" s="2456"/>
      <c r="E53" s="2456"/>
      <c r="F53" s="2457"/>
      <c r="G53" s="2458"/>
      <c r="H53" s="2456"/>
      <c r="I53" s="2457"/>
      <c r="J53" s="2483">
        <v>257</v>
      </c>
      <c r="K53" s="2448" t="s">
        <v>179</v>
      </c>
      <c r="L53" s="2437" t="s">
        <v>180</v>
      </c>
      <c r="M53" s="2484">
        <v>1</v>
      </c>
      <c r="N53" s="2406" t="s">
        <v>181</v>
      </c>
      <c r="O53" s="2406" t="s">
        <v>182</v>
      </c>
      <c r="P53" s="2492" t="s">
        <v>183</v>
      </c>
      <c r="Q53" s="2441">
        <f>SUM(V53:V54)/R53</f>
        <v>0.41463414634146339</v>
      </c>
      <c r="R53" s="2431">
        <f>SUM(V53:V58)</f>
        <v>205000000</v>
      </c>
      <c r="S53" s="2496" t="s">
        <v>184</v>
      </c>
      <c r="T53" s="2498" t="s">
        <v>185</v>
      </c>
      <c r="U53" s="778" t="s">
        <v>186</v>
      </c>
      <c r="V53" s="779">
        <v>54000000</v>
      </c>
      <c r="W53" s="780"/>
      <c r="X53" s="781"/>
      <c r="Y53" s="478">
        <v>20</v>
      </c>
      <c r="Z53" s="473" t="s">
        <v>70</v>
      </c>
      <c r="AA53" s="2449">
        <v>295972</v>
      </c>
      <c r="AB53" s="2449"/>
      <c r="AC53" s="2449">
        <v>285580</v>
      </c>
      <c r="AD53" s="2449"/>
      <c r="AE53" s="2449">
        <v>135545</v>
      </c>
      <c r="AF53" s="2449"/>
      <c r="AG53" s="2449">
        <v>44254</v>
      </c>
      <c r="AH53" s="2449"/>
      <c r="AI53" s="2449">
        <v>309146</v>
      </c>
      <c r="AJ53" s="2449"/>
      <c r="AK53" s="2449">
        <v>92607</v>
      </c>
      <c r="AL53" s="2449"/>
      <c r="AM53" s="2449">
        <v>2145</v>
      </c>
      <c r="AN53" s="2449"/>
      <c r="AO53" s="2449">
        <v>12718</v>
      </c>
      <c r="AP53" s="2449"/>
      <c r="AQ53" s="2449">
        <v>26</v>
      </c>
      <c r="AR53" s="2449"/>
      <c r="AS53" s="2449">
        <v>37</v>
      </c>
      <c r="AT53" s="2449"/>
      <c r="AU53" s="2449">
        <v>0</v>
      </c>
      <c r="AV53" s="2449"/>
      <c r="AW53" s="2449">
        <v>0</v>
      </c>
      <c r="AX53" s="2449"/>
      <c r="AY53" s="2449">
        <v>44350</v>
      </c>
      <c r="AZ53" s="2449"/>
      <c r="BA53" s="2449">
        <v>21944</v>
      </c>
      <c r="BB53" s="2449"/>
      <c r="BC53" s="2449">
        <v>75687</v>
      </c>
      <c r="BD53" s="2449"/>
      <c r="BE53" s="2449">
        <f>SUM(AE53:AK53)</f>
        <v>581552</v>
      </c>
      <c r="BF53" s="2449"/>
      <c r="BG53" s="2449">
        <v>2</v>
      </c>
      <c r="BH53" s="2449">
        <f>SUM(W53:W58)</f>
        <v>13916667</v>
      </c>
      <c r="BI53" s="2449">
        <f>SUM(X53:X58)</f>
        <v>7100000</v>
      </c>
      <c r="BJ53" s="2507">
        <f>BI53/BH53</f>
        <v>0.51017962849869158</v>
      </c>
      <c r="BK53" s="2510" t="s">
        <v>756</v>
      </c>
      <c r="BL53" s="2510" t="s">
        <v>758</v>
      </c>
      <c r="BM53" s="2503">
        <v>43832</v>
      </c>
      <c r="BN53" s="2503">
        <v>43885</v>
      </c>
      <c r="BO53" s="2503">
        <v>44196</v>
      </c>
      <c r="BP53" s="2503">
        <v>44196</v>
      </c>
      <c r="BQ53" s="2506" t="s">
        <v>757</v>
      </c>
      <c r="BR53" s="754"/>
      <c r="BS53" s="755"/>
    </row>
    <row r="54" spans="1:71" ht="39.75" customHeight="1" x14ac:dyDescent="0.2">
      <c r="A54" s="2453"/>
      <c r="B54" s="2454"/>
      <c r="C54" s="2455"/>
      <c r="D54" s="2456"/>
      <c r="E54" s="2456"/>
      <c r="F54" s="2457"/>
      <c r="G54" s="2458"/>
      <c r="H54" s="2456"/>
      <c r="I54" s="2457"/>
      <c r="J54" s="2483"/>
      <c r="K54" s="2448"/>
      <c r="L54" s="2437"/>
      <c r="M54" s="2484"/>
      <c r="N54" s="2407"/>
      <c r="O54" s="2407"/>
      <c r="P54" s="2493"/>
      <c r="Q54" s="2441"/>
      <c r="R54" s="2432"/>
      <c r="S54" s="2497"/>
      <c r="T54" s="2448"/>
      <c r="U54" s="825" t="s">
        <v>188</v>
      </c>
      <c r="V54" s="826">
        <v>31000000</v>
      </c>
      <c r="W54" s="734"/>
      <c r="X54" s="734"/>
      <c r="Y54" s="478">
        <v>20</v>
      </c>
      <c r="Z54" s="473" t="s">
        <v>70</v>
      </c>
      <c r="AA54" s="2450"/>
      <c r="AB54" s="2450"/>
      <c r="AC54" s="2450"/>
      <c r="AD54" s="2450"/>
      <c r="AE54" s="2450"/>
      <c r="AF54" s="2450"/>
      <c r="AG54" s="2450"/>
      <c r="AH54" s="2450"/>
      <c r="AI54" s="2450"/>
      <c r="AJ54" s="2450"/>
      <c r="AK54" s="2450"/>
      <c r="AL54" s="2450"/>
      <c r="AM54" s="2450"/>
      <c r="AN54" s="2450"/>
      <c r="AO54" s="2450"/>
      <c r="AP54" s="2450"/>
      <c r="AQ54" s="2450"/>
      <c r="AR54" s="2450"/>
      <c r="AS54" s="2450"/>
      <c r="AT54" s="2450"/>
      <c r="AU54" s="2450"/>
      <c r="AV54" s="2450"/>
      <c r="AW54" s="2450"/>
      <c r="AX54" s="2450"/>
      <c r="AY54" s="2450"/>
      <c r="AZ54" s="2450"/>
      <c r="BA54" s="2450"/>
      <c r="BB54" s="2450"/>
      <c r="BC54" s="2450"/>
      <c r="BD54" s="2450"/>
      <c r="BE54" s="2450"/>
      <c r="BF54" s="2450"/>
      <c r="BG54" s="2450"/>
      <c r="BH54" s="2450"/>
      <c r="BI54" s="2450"/>
      <c r="BJ54" s="2508"/>
      <c r="BK54" s="2511"/>
      <c r="BL54" s="2450"/>
      <c r="BM54" s="2504"/>
      <c r="BN54" s="2504"/>
      <c r="BO54" s="2504"/>
      <c r="BP54" s="2504"/>
      <c r="BQ54" s="2466"/>
    </row>
    <row r="55" spans="1:71" ht="39.75" customHeight="1" x14ac:dyDescent="0.2">
      <c r="A55" s="2453"/>
      <c r="B55" s="2454"/>
      <c r="C55" s="2455"/>
      <c r="D55" s="2456"/>
      <c r="E55" s="2456"/>
      <c r="F55" s="2457"/>
      <c r="G55" s="2458"/>
      <c r="H55" s="2456"/>
      <c r="I55" s="2457"/>
      <c r="J55" s="2465">
        <v>263</v>
      </c>
      <c r="K55" s="2448" t="s">
        <v>189</v>
      </c>
      <c r="L55" s="2437" t="s">
        <v>190</v>
      </c>
      <c r="M55" s="2468">
        <v>1</v>
      </c>
      <c r="N55" s="2407"/>
      <c r="O55" s="2407"/>
      <c r="P55" s="2493"/>
      <c r="Q55" s="2499">
        <f>SUM(V55:V58)/R53</f>
        <v>0.58536585365853655</v>
      </c>
      <c r="R55" s="2432"/>
      <c r="S55" s="2497"/>
      <c r="T55" s="2500" t="s">
        <v>191</v>
      </c>
      <c r="U55" s="827" t="s">
        <v>192</v>
      </c>
      <c r="V55" s="733">
        <v>22800000</v>
      </c>
      <c r="W55" s="735"/>
      <c r="X55" s="735"/>
      <c r="Y55" s="478">
        <v>20</v>
      </c>
      <c r="Z55" s="473" t="s">
        <v>70</v>
      </c>
      <c r="AA55" s="2450"/>
      <c r="AB55" s="2450"/>
      <c r="AC55" s="2450"/>
      <c r="AD55" s="2450"/>
      <c r="AE55" s="2450"/>
      <c r="AF55" s="2450"/>
      <c r="AG55" s="2450"/>
      <c r="AH55" s="2450"/>
      <c r="AI55" s="2450"/>
      <c r="AJ55" s="2450"/>
      <c r="AK55" s="2450"/>
      <c r="AL55" s="2450"/>
      <c r="AM55" s="2450"/>
      <c r="AN55" s="2450"/>
      <c r="AO55" s="2450"/>
      <c r="AP55" s="2450"/>
      <c r="AQ55" s="2450"/>
      <c r="AR55" s="2450"/>
      <c r="AS55" s="2450"/>
      <c r="AT55" s="2450"/>
      <c r="AU55" s="2450"/>
      <c r="AV55" s="2450"/>
      <c r="AW55" s="2450"/>
      <c r="AX55" s="2450"/>
      <c r="AY55" s="2450"/>
      <c r="AZ55" s="2450"/>
      <c r="BA55" s="2450"/>
      <c r="BB55" s="2450"/>
      <c r="BC55" s="2450"/>
      <c r="BD55" s="2450"/>
      <c r="BE55" s="2450"/>
      <c r="BF55" s="2450"/>
      <c r="BG55" s="2450"/>
      <c r="BH55" s="2450"/>
      <c r="BI55" s="2450"/>
      <c r="BJ55" s="2508"/>
      <c r="BK55" s="2511"/>
      <c r="BL55" s="2450"/>
      <c r="BM55" s="2504"/>
      <c r="BN55" s="2504"/>
      <c r="BO55" s="2504"/>
      <c r="BP55" s="2504"/>
      <c r="BQ55" s="2466"/>
    </row>
    <row r="56" spans="1:71" ht="39.75" customHeight="1" x14ac:dyDescent="0.2">
      <c r="A56" s="2453"/>
      <c r="B56" s="2454"/>
      <c r="C56" s="2455"/>
      <c r="D56" s="2456"/>
      <c r="E56" s="2456"/>
      <c r="F56" s="2457"/>
      <c r="G56" s="2458"/>
      <c r="H56" s="2456"/>
      <c r="I56" s="2457"/>
      <c r="J56" s="2466"/>
      <c r="K56" s="2448"/>
      <c r="L56" s="2437"/>
      <c r="M56" s="2469"/>
      <c r="N56" s="2407"/>
      <c r="O56" s="2407"/>
      <c r="P56" s="2493"/>
      <c r="Q56" s="2478"/>
      <c r="R56" s="2432"/>
      <c r="S56" s="2497"/>
      <c r="T56" s="2501"/>
      <c r="U56" s="827" t="s">
        <v>193</v>
      </c>
      <c r="V56" s="733">
        <v>28800000</v>
      </c>
      <c r="W56" s="735">
        <v>6450000</v>
      </c>
      <c r="X56" s="735">
        <v>4300000</v>
      </c>
      <c r="Y56" s="478">
        <v>20</v>
      </c>
      <c r="Z56" s="473" t="s">
        <v>70</v>
      </c>
      <c r="AA56" s="2450"/>
      <c r="AB56" s="2450"/>
      <c r="AC56" s="2450"/>
      <c r="AD56" s="2450"/>
      <c r="AE56" s="2450"/>
      <c r="AF56" s="2450"/>
      <c r="AG56" s="2450"/>
      <c r="AH56" s="2450"/>
      <c r="AI56" s="2450"/>
      <c r="AJ56" s="2450"/>
      <c r="AK56" s="2450"/>
      <c r="AL56" s="2450"/>
      <c r="AM56" s="2450"/>
      <c r="AN56" s="2450"/>
      <c r="AO56" s="2450"/>
      <c r="AP56" s="2450"/>
      <c r="AQ56" s="2450"/>
      <c r="AR56" s="2450"/>
      <c r="AS56" s="2450"/>
      <c r="AT56" s="2450"/>
      <c r="AU56" s="2450"/>
      <c r="AV56" s="2450"/>
      <c r="AW56" s="2450"/>
      <c r="AX56" s="2450"/>
      <c r="AY56" s="2450"/>
      <c r="AZ56" s="2450"/>
      <c r="BA56" s="2450"/>
      <c r="BB56" s="2450"/>
      <c r="BC56" s="2450"/>
      <c r="BD56" s="2450"/>
      <c r="BE56" s="2450"/>
      <c r="BF56" s="2450"/>
      <c r="BG56" s="2450"/>
      <c r="BH56" s="2450"/>
      <c r="BI56" s="2450"/>
      <c r="BJ56" s="2508"/>
      <c r="BK56" s="2511"/>
      <c r="BL56" s="2450"/>
      <c r="BM56" s="2504"/>
      <c r="BN56" s="2504"/>
      <c r="BO56" s="2504"/>
      <c r="BP56" s="2504"/>
      <c r="BQ56" s="2466"/>
    </row>
    <row r="57" spans="1:71" ht="39.75" customHeight="1" x14ac:dyDescent="0.2">
      <c r="A57" s="2453"/>
      <c r="B57" s="2454"/>
      <c r="C57" s="2455"/>
      <c r="D57" s="2456"/>
      <c r="E57" s="2456"/>
      <c r="F57" s="2457"/>
      <c r="G57" s="2458"/>
      <c r="H57" s="2456"/>
      <c r="I57" s="2457"/>
      <c r="J57" s="2466"/>
      <c r="K57" s="2448"/>
      <c r="L57" s="2437"/>
      <c r="M57" s="2469"/>
      <c r="N57" s="2407"/>
      <c r="O57" s="2407"/>
      <c r="P57" s="2493"/>
      <c r="Q57" s="2478"/>
      <c r="R57" s="2432"/>
      <c r="S57" s="2497"/>
      <c r="T57" s="2501"/>
      <c r="U57" s="827" t="s">
        <v>194</v>
      </c>
      <c r="V57" s="733">
        <v>28800000</v>
      </c>
      <c r="W57" s="735"/>
      <c r="X57" s="735"/>
      <c r="Y57" s="478">
        <v>20</v>
      </c>
      <c r="Z57" s="473" t="s">
        <v>70</v>
      </c>
      <c r="AA57" s="2450"/>
      <c r="AB57" s="2450"/>
      <c r="AC57" s="2450"/>
      <c r="AD57" s="2450"/>
      <c r="AE57" s="2450"/>
      <c r="AF57" s="2450"/>
      <c r="AG57" s="2450"/>
      <c r="AH57" s="2450"/>
      <c r="AI57" s="2450"/>
      <c r="AJ57" s="2450"/>
      <c r="AK57" s="2450"/>
      <c r="AL57" s="2450"/>
      <c r="AM57" s="2450"/>
      <c r="AN57" s="2450"/>
      <c r="AO57" s="2450"/>
      <c r="AP57" s="2450"/>
      <c r="AQ57" s="2450"/>
      <c r="AR57" s="2450"/>
      <c r="AS57" s="2450"/>
      <c r="AT57" s="2450"/>
      <c r="AU57" s="2450"/>
      <c r="AV57" s="2450"/>
      <c r="AW57" s="2450"/>
      <c r="AX57" s="2450"/>
      <c r="AY57" s="2450"/>
      <c r="AZ57" s="2450"/>
      <c r="BA57" s="2450"/>
      <c r="BB57" s="2450"/>
      <c r="BC57" s="2450"/>
      <c r="BD57" s="2450"/>
      <c r="BE57" s="2450"/>
      <c r="BF57" s="2450"/>
      <c r="BG57" s="2450"/>
      <c r="BH57" s="2450"/>
      <c r="BI57" s="2450"/>
      <c r="BJ57" s="2508"/>
      <c r="BK57" s="2511"/>
      <c r="BL57" s="2450"/>
      <c r="BM57" s="2504"/>
      <c r="BN57" s="2504"/>
      <c r="BO57" s="2504"/>
      <c r="BP57" s="2504"/>
      <c r="BQ57" s="2466"/>
    </row>
    <row r="58" spans="1:71" ht="60" customHeight="1" x14ac:dyDescent="0.2">
      <c r="A58" s="2453"/>
      <c r="B58" s="2454"/>
      <c r="C58" s="2455"/>
      <c r="D58" s="2456"/>
      <c r="E58" s="2456"/>
      <c r="F58" s="2457"/>
      <c r="G58" s="2458"/>
      <c r="H58" s="2456"/>
      <c r="I58" s="2457"/>
      <c r="J58" s="2467"/>
      <c r="K58" s="2448"/>
      <c r="L58" s="2437"/>
      <c r="M58" s="2470"/>
      <c r="N58" s="2481"/>
      <c r="O58" s="2481"/>
      <c r="P58" s="2494"/>
      <c r="Q58" s="2479"/>
      <c r="R58" s="2495"/>
      <c r="S58" s="2498"/>
      <c r="T58" s="2502"/>
      <c r="U58" s="825" t="s">
        <v>195</v>
      </c>
      <c r="V58" s="736">
        <v>39600000</v>
      </c>
      <c r="W58" s="828">
        <v>7466667</v>
      </c>
      <c r="X58" s="828">
        <v>2800000</v>
      </c>
      <c r="Y58" s="478">
        <v>20</v>
      </c>
      <c r="Z58" s="473" t="s">
        <v>70</v>
      </c>
      <c r="AA58" s="2451"/>
      <c r="AB58" s="2451"/>
      <c r="AC58" s="2451"/>
      <c r="AD58" s="2451"/>
      <c r="AE58" s="2451"/>
      <c r="AF58" s="2451"/>
      <c r="AG58" s="2451"/>
      <c r="AH58" s="2451"/>
      <c r="AI58" s="2451"/>
      <c r="AJ58" s="2451"/>
      <c r="AK58" s="2451"/>
      <c r="AL58" s="2451"/>
      <c r="AM58" s="2451"/>
      <c r="AN58" s="2451"/>
      <c r="AO58" s="2451"/>
      <c r="AP58" s="2451"/>
      <c r="AQ58" s="2451"/>
      <c r="AR58" s="2451"/>
      <c r="AS58" s="2451"/>
      <c r="AT58" s="2451"/>
      <c r="AU58" s="2451"/>
      <c r="AV58" s="2451"/>
      <c r="AW58" s="2451"/>
      <c r="AX58" s="2451"/>
      <c r="AY58" s="2451"/>
      <c r="AZ58" s="2451"/>
      <c r="BA58" s="2451"/>
      <c r="BB58" s="2451"/>
      <c r="BC58" s="2451"/>
      <c r="BD58" s="2451"/>
      <c r="BE58" s="2451"/>
      <c r="BF58" s="2451"/>
      <c r="BG58" s="2451"/>
      <c r="BH58" s="2451"/>
      <c r="BI58" s="2451"/>
      <c r="BJ58" s="2509"/>
      <c r="BK58" s="2512"/>
      <c r="BL58" s="2451"/>
      <c r="BM58" s="2505"/>
      <c r="BN58" s="2505"/>
      <c r="BO58" s="2505"/>
      <c r="BP58" s="2505"/>
      <c r="BQ58" s="2467"/>
    </row>
    <row r="59" spans="1:71" ht="96" customHeight="1" x14ac:dyDescent="0.2">
      <c r="A59" s="165"/>
      <c r="B59" s="768"/>
      <c r="C59" s="175"/>
      <c r="D59" s="766"/>
      <c r="E59" s="2513"/>
      <c r="F59" s="2513"/>
      <c r="G59" s="2514"/>
      <c r="H59" s="2513"/>
      <c r="I59" s="2513"/>
      <c r="J59" s="2447">
        <v>262</v>
      </c>
      <c r="K59" s="2448" t="s">
        <v>196</v>
      </c>
      <c r="L59" s="2437" t="s">
        <v>197</v>
      </c>
      <c r="M59" s="2436">
        <v>1</v>
      </c>
      <c r="N59" s="2481" t="s">
        <v>198</v>
      </c>
      <c r="O59" s="2518" t="s">
        <v>199</v>
      </c>
      <c r="P59" s="2437" t="s">
        <v>200</v>
      </c>
      <c r="Q59" s="2520">
        <f>+(V59+V60+V61+V62+V63+V64)/R59</f>
        <v>1</v>
      </c>
      <c r="R59" s="2521">
        <f>SUM(V59:V64)</f>
        <v>40000000</v>
      </c>
      <c r="S59" s="2515" t="s">
        <v>201</v>
      </c>
      <c r="T59" s="2516" t="s">
        <v>202</v>
      </c>
      <c r="U59" s="498" t="s">
        <v>203</v>
      </c>
      <c r="V59" s="736">
        <v>12000000</v>
      </c>
      <c r="W59" s="828">
        <v>1974000</v>
      </c>
      <c r="X59" s="828"/>
      <c r="Y59" s="478">
        <v>20</v>
      </c>
      <c r="Z59" s="473" t="s">
        <v>70</v>
      </c>
      <c r="AA59" s="2517">
        <v>295972</v>
      </c>
      <c r="AB59" s="2517"/>
      <c r="AC59" s="2517">
        <v>285580</v>
      </c>
      <c r="AD59" s="2517"/>
      <c r="AE59" s="2517">
        <v>135545</v>
      </c>
      <c r="AF59" s="2517"/>
      <c r="AG59" s="2517">
        <v>44254</v>
      </c>
      <c r="AH59" s="2517"/>
      <c r="AI59" s="2517">
        <v>309146</v>
      </c>
      <c r="AJ59" s="2517"/>
      <c r="AK59" s="2517">
        <v>92607</v>
      </c>
      <c r="AL59" s="2517"/>
      <c r="AM59" s="2517">
        <v>2145</v>
      </c>
      <c r="AN59" s="2517"/>
      <c r="AO59" s="2517">
        <v>12718</v>
      </c>
      <c r="AP59" s="2517"/>
      <c r="AQ59" s="2517">
        <v>26</v>
      </c>
      <c r="AR59" s="2517"/>
      <c r="AS59" s="2517">
        <v>37</v>
      </c>
      <c r="AT59" s="2517"/>
      <c r="AU59" s="2517">
        <v>0</v>
      </c>
      <c r="AV59" s="2517"/>
      <c r="AW59" s="2517">
        <v>0</v>
      </c>
      <c r="AX59" s="2517"/>
      <c r="AY59" s="2517">
        <v>44350</v>
      </c>
      <c r="AZ59" s="2517"/>
      <c r="BA59" s="2517">
        <v>21944</v>
      </c>
      <c r="BB59" s="2517"/>
      <c r="BC59" s="2517">
        <v>75687</v>
      </c>
      <c r="BD59" s="2517"/>
      <c r="BE59" s="2517">
        <f>SUM(AE59:AK59)</f>
        <v>581552</v>
      </c>
      <c r="BF59" s="829"/>
      <c r="BG59" s="2517">
        <v>1</v>
      </c>
      <c r="BH59" s="2517">
        <f>SUM(W59:W64)</f>
        <v>6906666</v>
      </c>
      <c r="BI59" s="2517">
        <f>SUM(X59:X64)</f>
        <v>0</v>
      </c>
      <c r="BJ59" s="2526">
        <v>0</v>
      </c>
      <c r="BK59" s="2527" t="s">
        <v>756</v>
      </c>
      <c r="BL59" s="2527" t="s">
        <v>758</v>
      </c>
      <c r="BM59" s="2462">
        <v>43832</v>
      </c>
      <c r="BN59" s="2522">
        <v>43914</v>
      </c>
      <c r="BO59" s="2462">
        <v>44196</v>
      </c>
      <c r="BP59" s="2522">
        <v>44196</v>
      </c>
      <c r="BQ59" s="2483" t="s">
        <v>757</v>
      </c>
    </row>
    <row r="60" spans="1:71" ht="84" customHeight="1" x14ac:dyDescent="0.2">
      <c r="A60" s="165"/>
      <c r="B60" s="768"/>
      <c r="C60" s="175"/>
      <c r="D60" s="766"/>
      <c r="E60" s="2513"/>
      <c r="F60" s="2513"/>
      <c r="G60" s="2514"/>
      <c r="H60" s="2513"/>
      <c r="I60" s="2513"/>
      <c r="J60" s="2447"/>
      <c r="K60" s="2448"/>
      <c r="L60" s="2437"/>
      <c r="M60" s="2436"/>
      <c r="N60" s="2481"/>
      <c r="O60" s="2518"/>
      <c r="P60" s="2437"/>
      <c r="Q60" s="2520"/>
      <c r="R60" s="2521"/>
      <c r="S60" s="2515"/>
      <c r="T60" s="2516"/>
      <c r="U60" s="474" t="s">
        <v>204</v>
      </c>
      <c r="V60" s="736">
        <v>6000000</v>
      </c>
      <c r="W60" s="828">
        <v>3948000</v>
      </c>
      <c r="X60" s="828"/>
      <c r="Y60" s="478">
        <v>20</v>
      </c>
      <c r="Z60" s="473" t="s">
        <v>70</v>
      </c>
      <c r="AA60" s="2450"/>
      <c r="AB60" s="2450"/>
      <c r="AC60" s="2450"/>
      <c r="AD60" s="2450"/>
      <c r="AE60" s="2450"/>
      <c r="AF60" s="2450"/>
      <c r="AG60" s="2450"/>
      <c r="AH60" s="2450"/>
      <c r="AI60" s="2450"/>
      <c r="AJ60" s="2450"/>
      <c r="AK60" s="2450"/>
      <c r="AL60" s="2450"/>
      <c r="AM60" s="2450"/>
      <c r="AN60" s="2450"/>
      <c r="AO60" s="2450"/>
      <c r="AP60" s="2450"/>
      <c r="AQ60" s="2450"/>
      <c r="AR60" s="2450"/>
      <c r="AS60" s="2450"/>
      <c r="AT60" s="2450"/>
      <c r="AU60" s="2450"/>
      <c r="AV60" s="2450"/>
      <c r="AW60" s="2450"/>
      <c r="AX60" s="2450"/>
      <c r="AY60" s="2450"/>
      <c r="AZ60" s="2450"/>
      <c r="BA60" s="2450"/>
      <c r="BB60" s="2450"/>
      <c r="BC60" s="2450"/>
      <c r="BD60" s="2450"/>
      <c r="BE60" s="2450"/>
      <c r="BF60" s="476"/>
      <c r="BG60" s="2450"/>
      <c r="BH60" s="2450"/>
      <c r="BI60" s="2450"/>
      <c r="BJ60" s="2508"/>
      <c r="BK60" s="2511"/>
      <c r="BL60" s="2511"/>
      <c r="BM60" s="2462"/>
      <c r="BN60" s="2504"/>
      <c r="BO60" s="2462"/>
      <c r="BP60" s="2504"/>
      <c r="BQ60" s="2483"/>
    </row>
    <row r="61" spans="1:71" ht="52.5" customHeight="1" x14ac:dyDescent="0.2">
      <c r="A61" s="165"/>
      <c r="B61" s="768"/>
      <c r="C61" s="175"/>
      <c r="D61" s="766"/>
      <c r="E61" s="2513"/>
      <c r="F61" s="2513"/>
      <c r="G61" s="2514"/>
      <c r="H61" s="2513"/>
      <c r="I61" s="2513"/>
      <c r="J61" s="2447"/>
      <c r="K61" s="2448"/>
      <c r="L61" s="2437"/>
      <c r="M61" s="2436"/>
      <c r="N61" s="2436"/>
      <c r="O61" s="2519"/>
      <c r="P61" s="2437"/>
      <c r="Q61" s="2520"/>
      <c r="R61" s="2521"/>
      <c r="S61" s="2515"/>
      <c r="T61" s="2516"/>
      <c r="U61" s="498" t="s">
        <v>205</v>
      </c>
      <c r="V61" s="736">
        <v>1000000</v>
      </c>
      <c r="W61" s="828"/>
      <c r="X61" s="828"/>
      <c r="Y61" s="478">
        <v>20</v>
      </c>
      <c r="Z61" s="473" t="s">
        <v>70</v>
      </c>
      <c r="AA61" s="2450"/>
      <c r="AB61" s="2450"/>
      <c r="AC61" s="2450"/>
      <c r="AD61" s="2450"/>
      <c r="AE61" s="2450"/>
      <c r="AF61" s="2450"/>
      <c r="AG61" s="2450"/>
      <c r="AH61" s="2450"/>
      <c r="AI61" s="2450"/>
      <c r="AJ61" s="2450"/>
      <c r="AK61" s="2450"/>
      <c r="AL61" s="2450"/>
      <c r="AM61" s="2450"/>
      <c r="AN61" s="2450"/>
      <c r="AO61" s="2450"/>
      <c r="AP61" s="2450"/>
      <c r="AQ61" s="2450"/>
      <c r="AR61" s="2450"/>
      <c r="AS61" s="2450"/>
      <c r="AT61" s="2450"/>
      <c r="AU61" s="2450"/>
      <c r="AV61" s="2450"/>
      <c r="AW61" s="2450"/>
      <c r="AX61" s="2450"/>
      <c r="AY61" s="2450"/>
      <c r="AZ61" s="2450"/>
      <c r="BA61" s="2450"/>
      <c r="BB61" s="2450"/>
      <c r="BC61" s="2450"/>
      <c r="BD61" s="2450"/>
      <c r="BE61" s="2450"/>
      <c r="BF61" s="476"/>
      <c r="BG61" s="2450"/>
      <c r="BH61" s="2450"/>
      <c r="BI61" s="2450"/>
      <c r="BJ61" s="2508"/>
      <c r="BK61" s="2511"/>
      <c r="BL61" s="2511"/>
      <c r="BM61" s="2462"/>
      <c r="BN61" s="2504"/>
      <c r="BO61" s="2462"/>
      <c r="BP61" s="2504"/>
      <c r="BQ61" s="2483"/>
    </row>
    <row r="62" spans="1:71" ht="75" customHeight="1" x14ac:dyDescent="0.2">
      <c r="A62" s="165"/>
      <c r="B62" s="768"/>
      <c r="C62" s="175"/>
      <c r="D62" s="766"/>
      <c r="E62" s="2513"/>
      <c r="F62" s="2513"/>
      <c r="G62" s="2514"/>
      <c r="H62" s="2513"/>
      <c r="I62" s="2513"/>
      <c r="J62" s="2447"/>
      <c r="K62" s="2448"/>
      <c r="L62" s="2437"/>
      <c r="M62" s="2436"/>
      <c r="N62" s="2436"/>
      <c r="O62" s="2519"/>
      <c r="P62" s="2437"/>
      <c r="Q62" s="2520"/>
      <c r="R62" s="2521"/>
      <c r="S62" s="2515"/>
      <c r="T62" s="2523" t="s">
        <v>206</v>
      </c>
      <c r="U62" s="580" t="s">
        <v>207</v>
      </c>
      <c r="V62" s="736">
        <v>7500000</v>
      </c>
      <c r="W62" s="828"/>
      <c r="X62" s="828"/>
      <c r="Y62" s="478">
        <v>20</v>
      </c>
      <c r="Z62" s="473" t="s">
        <v>70</v>
      </c>
      <c r="AA62" s="2450"/>
      <c r="AB62" s="2450"/>
      <c r="AC62" s="2450"/>
      <c r="AD62" s="2450"/>
      <c r="AE62" s="2450"/>
      <c r="AF62" s="2450"/>
      <c r="AG62" s="2450"/>
      <c r="AH62" s="2450"/>
      <c r="AI62" s="2450"/>
      <c r="AJ62" s="2450"/>
      <c r="AK62" s="2450"/>
      <c r="AL62" s="2450"/>
      <c r="AM62" s="2450"/>
      <c r="AN62" s="2450"/>
      <c r="AO62" s="2450"/>
      <c r="AP62" s="2450"/>
      <c r="AQ62" s="2450"/>
      <c r="AR62" s="2450"/>
      <c r="AS62" s="2450"/>
      <c r="AT62" s="2450"/>
      <c r="AU62" s="2450"/>
      <c r="AV62" s="2450"/>
      <c r="AW62" s="2450"/>
      <c r="AX62" s="2450"/>
      <c r="AY62" s="2450"/>
      <c r="AZ62" s="2450"/>
      <c r="BA62" s="2450"/>
      <c r="BB62" s="2450"/>
      <c r="BC62" s="2450"/>
      <c r="BD62" s="2450"/>
      <c r="BE62" s="2450"/>
      <c r="BF62" s="476"/>
      <c r="BG62" s="2450"/>
      <c r="BH62" s="2450"/>
      <c r="BI62" s="2450"/>
      <c r="BJ62" s="2508"/>
      <c r="BK62" s="2511"/>
      <c r="BL62" s="2511"/>
      <c r="BM62" s="2462"/>
      <c r="BN62" s="2504"/>
      <c r="BO62" s="2462"/>
      <c r="BP62" s="2504"/>
      <c r="BQ62" s="2483"/>
    </row>
    <row r="63" spans="1:71" ht="52.5" customHeight="1" x14ac:dyDescent="0.2">
      <c r="A63" s="165"/>
      <c r="B63" s="768"/>
      <c r="C63" s="175"/>
      <c r="D63" s="766"/>
      <c r="E63" s="2513"/>
      <c r="F63" s="2513"/>
      <c r="G63" s="2514"/>
      <c r="H63" s="2513"/>
      <c r="I63" s="2513"/>
      <c r="J63" s="2447"/>
      <c r="K63" s="2448"/>
      <c r="L63" s="2437"/>
      <c r="M63" s="2436"/>
      <c r="N63" s="2436"/>
      <c r="O63" s="2519"/>
      <c r="P63" s="2437"/>
      <c r="Q63" s="2520"/>
      <c r="R63" s="2521"/>
      <c r="S63" s="2515"/>
      <c r="T63" s="2497"/>
      <c r="U63" s="580" t="s">
        <v>208</v>
      </c>
      <c r="V63" s="736">
        <v>7500000</v>
      </c>
      <c r="W63" s="828"/>
      <c r="X63" s="828"/>
      <c r="Y63" s="478">
        <v>20</v>
      </c>
      <c r="Z63" s="473" t="s">
        <v>70</v>
      </c>
      <c r="AA63" s="2450"/>
      <c r="AB63" s="2450"/>
      <c r="AC63" s="2450"/>
      <c r="AD63" s="2450"/>
      <c r="AE63" s="2450"/>
      <c r="AF63" s="2450"/>
      <c r="AG63" s="2450"/>
      <c r="AH63" s="2450"/>
      <c r="AI63" s="2450"/>
      <c r="AJ63" s="2450"/>
      <c r="AK63" s="2450"/>
      <c r="AL63" s="2450"/>
      <c r="AM63" s="2450"/>
      <c r="AN63" s="2450"/>
      <c r="AO63" s="2450"/>
      <c r="AP63" s="2450"/>
      <c r="AQ63" s="2450"/>
      <c r="AR63" s="2450"/>
      <c r="AS63" s="2450"/>
      <c r="AT63" s="2450"/>
      <c r="AU63" s="2450"/>
      <c r="AV63" s="2450"/>
      <c r="AW63" s="2450"/>
      <c r="AX63" s="2450"/>
      <c r="AY63" s="2450"/>
      <c r="AZ63" s="2450"/>
      <c r="BA63" s="2450"/>
      <c r="BB63" s="2450"/>
      <c r="BC63" s="2450"/>
      <c r="BD63" s="2450"/>
      <c r="BE63" s="2450"/>
      <c r="BF63" s="476"/>
      <c r="BG63" s="2450"/>
      <c r="BH63" s="2450"/>
      <c r="BI63" s="2450"/>
      <c r="BJ63" s="2508"/>
      <c r="BK63" s="2511"/>
      <c r="BL63" s="2511"/>
      <c r="BM63" s="2462"/>
      <c r="BN63" s="2504"/>
      <c r="BO63" s="2462"/>
      <c r="BP63" s="2504"/>
      <c r="BQ63" s="2483"/>
    </row>
    <row r="64" spans="1:71" ht="62.25" customHeight="1" x14ac:dyDescent="0.2">
      <c r="A64" s="165"/>
      <c r="B64" s="768"/>
      <c r="C64" s="175"/>
      <c r="D64" s="766"/>
      <c r="E64" s="2513"/>
      <c r="F64" s="2513"/>
      <c r="G64" s="2514"/>
      <c r="H64" s="2513"/>
      <c r="I64" s="2513"/>
      <c r="J64" s="2447"/>
      <c r="K64" s="2448"/>
      <c r="L64" s="2437"/>
      <c r="M64" s="2436"/>
      <c r="N64" s="2436"/>
      <c r="O64" s="2519"/>
      <c r="P64" s="2437"/>
      <c r="Q64" s="2520"/>
      <c r="R64" s="2521"/>
      <c r="S64" s="2515"/>
      <c r="T64" s="2498"/>
      <c r="U64" s="580" t="s">
        <v>209</v>
      </c>
      <c r="V64" s="736">
        <v>6000000</v>
      </c>
      <c r="W64" s="828">
        <v>984666</v>
      </c>
      <c r="X64" s="828"/>
      <c r="Y64" s="478">
        <v>20</v>
      </c>
      <c r="Z64" s="473" t="s">
        <v>70</v>
      </c>
      <c r="AA64" s="2451"/>
      <c r="AB64" s="2451"/>
      <c r="AC64" s="2451"/>
      <c r="AD64" s="2451"/>
      <c r="AE64" s="2451"/>
      <c r="AF64" s="2451"/>
      <c r="AG64" s="2451"/>
      <c r="AH64" s="2451"/>
      <c r="AI64" s="2451"/>
      <c r="AJ64" s="2451"/>
      <c r="AK64" s="2451"/>
      <c r="AL64" s="2451"/>
      <c r="AM64" s="2451"/>
      <c r="AN64" s="2451"/>
      <c r="AO64" s="2451"/>
      <c r="AP64" s="2451"/>
      <c r="AQ64" s="2451"/>
      <c r="AR64" s="2451"/>
      <c r="AS64" s="2451"/>
      <c r="AT64" s="2451"/>
      <c r="AU64" s="2451"/>
      <c r="AV64" s="2451"/>
      <c r="AW64" s="2451"/>
      <c r="AX64" s="2451"/>
      <c r="AY64" s="2451"/>
      <c r="AZ64" s="2451"/>
      <c r="BA64" s="2451"/>
      <c r="BB64" s="2451"/>
      <c r="BC64" s="2451"/>
      <c r="BD64" s="2451"/>
      <c r="BE64" s="2451"/>
      <c r="BF64" s="477"/>
      <c r="BG64" s="2451"/>
      <c r="BH64" s="2451"/>
      <c r="BI64" s="2451"/>
      <c r="BJ64" s="2509"/>
      <c r="BK64" s="2512"/>
      <c r="BL64" s="2512"/>
      <c r="BM64" s="2462"/>
      <c r="BN64" s="2505"/>
      <c r="BO64" s="2462"/>
      <c r="BP64" s="2505"/>
      <c r="BQ64" s="2483"/>
    </row>
    <row r="65" spans="1:69" ht="101.25" customHeight="1" x14ac:dyDescent="0.2">
      <c r="A65" s="165"/>
      <c r="B65" s="768"/>
      <c r="C65" s="175"/>
      <c r="D65" s="766"/>
      <c r="E65" s="479"/>
      <c r="F65" s="479"/>
      <c r="G65" s="480"/>
      <c r="H65" s="479"/>
      <c r="I65" s="479"/>
      <c r="J65" s="2447">
        <v>264</v>
      </c>
      <c r="K65" s="2448" t="s">
        <v>210</v>
      </c>
      <c r="L65" s="2437" t="s">
        <v>211</v>
      </c>
      <c r="M65" s="2436">
        <v>1</v>
      </c>
      <c r="N65" s="2524" t="s">
        <v>212</v>
      </c>
      <c r="O65" s="2436" t="s">
        <v>213</v>
      </c>
      <c r="P65" s="2525" t="s">
        <v>214</v>
      </c>
      <c r="Q65" s="2528">
        <f>+(V65+V66)/R65</f>
        <v>1</v>
      </c>
      <c r="R65" s="2495">
        <f>SUM(V65:V66)</f>
        <v>40000000</v>
      </c>
      <c r="S65" s="2448" t="s">
        <v>215</v>
      </c>
      <c r="T65" s="2448" t="s">
        <v>216</v>
      </c>
      <c r="U65" s="166" t="s">
        <v>217</v>
      </c>
      <c r="V65" s="733">
        <v>10000000</v>
      </c>
      <c r="W65" s="830"/>
      <c r="X65" s="830"/>
      <c r="Y65" s="478">
        <v>20</v>
      </c>
      <c r="Z65" s="473" t="s">
        <v>70</v>
      </c>
      <c r="AA65" s="2517">
        <v>295972</v>
      </c>
      <c r="AB65" s="2517"/>
      <c r="AC65" s="2517">
        <v>285580</v>
      </c>
      <c r="AD65" s="2517"/>
      <c r="AE65" s="2517">
        <v>135545</v>
      </c>
      <c r="AF65" s="2517"/>
      <c r="AG65" s="2517">
        <v>44254</v>
      </c>
      <c r="AH65" s="2517"/>
      <c r="AI65" s="2517">
        <v>309146</v>
      </c>
      <c r="AJ65" s="2517"/>
      <c r="AK65" s="2517">
        <v>92607</v>
      </c>
      <c r="AL65" s="2517"/>
      <c r="AM65" s="2517">
        <v>2145</v>
      </c>
      <c r="AN65" s="2517"/>
      <c r="AO65" s="2517">
        <v>12718</v>
      </c>
      <c r="AP65" s="2517"/>
      <c r="AQ65" s="2517">
        <v>26</v>
      </c>
      <c r="AR65" s="2517"/>
      <c r="AS65" s="2517">
        <v>37</v>
      </c>
      <c r="AT65" s="2517"/>
      <c r="AU65" s="2517">
        <v>0</v>
      </c>
      <c r="AV65" s="2517"/>
      <c r="AW65" s="2517">
        <v>0</v>
      </c>
      <c r="AX65" s="2517"/>
      <c r="AY65" s="2517">
        <v>44350</v>
      </c>
      <c r="AZ65" s="2517"/>
      <c r="BA65" s="2517">
        <v>21944</v>
      </c>
      <c r="BB65" s="2517"/>
      <c r="BC65" s="2517">
        <v>75687</v>
      </c>
      <c r="BD65" s="2517"/>
      <c r="BE65" s="2517">
        <f>SUM(AE65:AK65)</f>
        <v>581552</v>
      </c>
      <c r="BF65" s="2517"/>
      <c r="BG65" s="2517"/>
      <c r="BH65" s="2517"/>
      <c r="BI65" s="2517"/>
      <c r="BJ65" s="2517"/>
      <c r="BK65" s="2517"/>
      <c r="BL65" s="2517"/>
      <c r="BM65" s="2462">
        <v>43832</v>
      </c>
      <c r="BN65" s="2517"/>
      <c r="BO65" s="2462">
        <v>44196</v>
      </c>
      <c r="BP65" s="2517"/>
      <c r="BQ65" s="2483" t="s">
        <v>757</v>
      </c>
    </row>
    <row r="66" spans="1:69" ht="81.75" customHeight="1" x14ac:dyDescent="0.2">
      <c r="A66" s="165"/>
      <c r="B66" s="768"/>
      <c r="C66" s="175"/>
      <c r="D66" s="766"/>
      <c r="E66" s="479"/>
      <c r="F66" s="479"/>
      <c r="G66" s="480"/>
      <c r="H66" s="479"/>
      <c r="I66" s="479"/>
      <c r="J66" s="2447"/>
      <c r="K66" s="2448"/>
      <c r="L66" s="2437"/>
      <c r="M66" s="2436"/>
      <c r="N66" s="2524"/>
      <c r="O66" s="2436"/>
      <c r="P66" s="2437"/>
      <c r="Q66" s="2528"/>
      <c r="R66" s="2521"/>
      <c r="S66" s="2448"/>
      <c r="T66" s="2448"/>
      <c r="U66" s="166" t="s">
        <v>218</v>
      </c>
      <c r="V66" s="733">
        <v>30000000</v>
      </c>
      <c r="W66" s="830"/>
      <c r="X66" s="830"/>
      <c r="Y66" s="478">
        <v>20</v>
      </c>
      <c r="Z66" s="473" t="s">
        <v>70</v>
      </c>
      <c r="AA66" s="2451"/>
      <c r="AB66" s="2451"/>
      <c r="AC66" s="2451"/>
      <c r="AD66" s="2451"/>
      <c r="AE66" s="2451"/>
      <c r="AF66" s="2451"/>
      <c r="AG66" s="2451"/>
      <c r="AH66" s="2451"/>
      <c r="AI66" s="2451"/>
      <c r="AJ66" s="2451"/>
      <c r="AK66" s="2451"/>
      <c r="AL66" s="2451"/>
      <c r="AM66" s="2451"/>
      <c r="AN66" s="2451"/>
      <c r="AO66" s="2451"/>
      <c r="AP66" s="2451"/>
      <c r="AQ66" s="2451"/>
      <c r="AR66" s="2451"/>
      <c r="AS66" s="2451"/>
      <c r="AT66" s="2451"/>
      <c r="AU66" s="2451"/>
      <c r="AV66" s="2451"/>
      <c r="AW66" s="2451"/>
      <c r="AX66" s="2451"/>
      <c r="AY66" s="2451"/>
      <c r="AZ66" s="2451"/>
      <c r="BA66" s="2451"/>
      <c r="BB66" s="2451"/>
      <c r="BC66" s="2451"/>
      <c r="BD66" s="2451"/>
      <c r="BE66" s="2451"/>
      <c r="BF66" s="2451"/>
      <c r="BG66" s="2451"/>
      <c r="BH66" s="2451"/>
      <c r="BI66" s="2451"/>
      <c r="BJ66" s="2451"/>
      <c r="BK66" s="2451"/>
      <c r="BL66" s="2451"/>
      <c r="BM66" s="2462"/>
      <c r="BN66" s="2451"/>
      <c r="BO66" s="2462"/>
      <c r="BP66" s="2451"/>
      <c r="BQ66" s="2483"/>
    </row>
    <row r="67" spans="1:69" ht="86.25" customHeight="1" x14ac:dyDescent="0.2">
      <c r="A67" s="2529"/>
      <c r="B67" s="2530"/>
      <c r="C67" s="2531"/>
      <c r="D67" s="2532"/>
      <c r="E67" s="2533"/>
      <c r="F67" s="2533"/>
      <c r="G67" s="2534"/>
      <c r="H67" s="2535"/>
      <c r="I67" s="2535"/>
      <c r="J67" s="2483">
        <v>265</v>
      </c>
      <c r="K67" s="2448" t="s">
        <v>219</v>
      </c>
      <c r="L67" s="2437" t="s">
        <v>220</v>
      </c>
      <c r="M67" s="2536">
        <v>1</v>
      </c>
      <c r="N67" s="2436" t="s">
        <v>221</v>
      </c>
      <c r="O67" s="2436" t="s">
        <v>222</v>
      </c>
      <c r="P67" s="2537" t="s">
        <v>223</v>
      </c>
      <c r="Q67" s="2538">
        <f>+(V67+V68+V69+V70+V71+V72+V73+V74+V75+V76+V77+V78+V79+V80+V81+V82+V83+V84)/R67</f>
        <v>1</v>
      </c>
      <c r="R67" s="2442">
        <f>SUM(V67:V84)</f>
        <v>300000000</v>
      </c>
      <c r="S67" s="2539" t="s">
        <v>224</v>
      </c>
      <c r="T67" s="2448" t="s">
        <v>225</v>
      </c>
      <c r="U67" s="166" t="s">
        <v>226</v>
      </c>
      <c r="V67" s="733">
        <v>18000000</v>
      </c>
      <c r="W67" s="830"/>
      <c r="X67" s="830"/>
      <c r="Y67" s="478">
        <v>20</v>
      </c>
      <c r="Z67" s="473" t="s">
        <v>70</v>
      </c>
      <c r="AA67" s="2517">
        <v>295972</v>
      </c>
      <c r="AB67" s="2517"/>
      <c r="AC67" s="2517">
        <v>285580</v>
      </c>
      <c r="AD67" s="2517"/>
      <c r="AE67" s="2517">
        <v>135545</v>
      </c>
      <c r="AF67" s="2517"/>
      <c r="AG67" s="2517">
        <v>44254</v>
      </c>
      <c r="AH67" s="2517"/>
      <c r="AI67" s="2517">
        <v>309146</v>
      </c>
      <c r="AJ67" s="2517"/>
      <c r="AK67" s="2517">
        <v>92607</v>
      </c>
      <c r="AL67" s="2517"/>
      <c r="AM67" s="2517">
        <v>2145</v>
      </c>
      <c r="AN67" s="2517"/>
      <c r="AO67" s="2517">
        <v>12718</v>
      </c>
      <c r="AP67" s="2517"/>
      <c r="AQ67" s="2517">
        <v>26</v>
      </c>
      <c r="AR67" s="2517"/>
      <c r="AS67" s="2517">
        <v>37</v>
      </c>
      <c r="AT67" s="2517"/>
      <c r="AU67" s="2517">
        <v>0</v>
      </c>
      <c r="AV67" s="2517"/>
      <c r="AW67" s="2517">
        <v>0</v>
      </c>
      <c r="AX67" s="2517"/>
      <c r="AY67" s="2517">
        <v>44350</v>
      </c>
      <c r="AZ67" s="2517"/>
      <c r="BA67" s="2517">
        <v>21944</v>
      </c>
      <c r="BB67" s="2517"/>
      <c r="BC67" s="2517">
        <v>75687</v>
      </c>
      <c r="BD67" s="2517"/>
      <c r="BE67" s="2517">
        <f>SUM(AE67:AK67)</f>
        <v>581552</v>
      </c>
      <c r="BF67" s="2517"/>
      <c r="BG67" s="2517">
        <v>5</v>
      </c>
      <c r="BH67" s="2517">
        <f>SUM(W67:W84)</f>
        <v>61786666</v>
      </c>
      <c r="BI67" s="2517">
        <f>SUM(X67:X84)</f>
        <v>22800000</v>
      </c>
      <c r="BJ67" s="2526">
        <f>BI67/BH67</f>
        <v>0.36901165698113569</v>
      </c>
      <c r="BK67" s="2527" t="s">
        <v>756</v>
      </c>
      <c r="BL67" s="831"/>
      <c r="BM67" s="2462">
        <v>43832</v>
      </c>
      <c r="BN67" s="2522">
        <v>43857</v>
      </c>
      <c r="BO67" s="2462">
        <v>44196</v>
      </c>
      <c r="BP67" s="2522">
        <v>44196</v>
      </c>
      <c r="BQ67" s="2483" t="s">
        <v>757</v>
      </c>
    </row>
    <row r="68" spans="1:69" ht="134.25" customHeight="1" x14ac:dyDescent="0.2">
      <c r="A68" s="2529"/>
      <c r="B68" s="2530"/>
      <c r="C68" s="2531"/>
      <c r="D68" s="2532"/>
      <c r="E68" s="2533"/>
      <c r="F68" s="2533"/>
      <c r="G68" s="2534"/>
      <c r="H68" s="2535"/>
      <c r="I68" s="2535"/>
      <c r="J68" s="2483"/>
      <c r="K68" s="2448"/>
      <c r="L68" s="2437"/>
      <c r="M68" s="2536"/>
      <c r="N68" s="2436"/>
      <c r="O68" s="2436"/>
      <c r="P68" s="2537"/>
      <c r="Q68" s="2538"/>
      <c r="R68" s="2442"/>
      <c r="S68" s="2539"/>
      <c r="T68" s="2448"/>
      <c r="U68" s="166" t="s">
        <v>227</v>
      </c>
      <c r="V68" s="733">
        <v>22500000</v>
      </c>
      <c r="W68" s="830"/>
      <c r="X68" s="830"/>
      <c r="Y68" s="478">
        <v>20</v>
      </c>
      <c r="Z68" s="473" t="s">
        <v>70</v>
      </c>
      <c r="AA68" s="2450"/>
      <c r="AB68" s="2450"/>
      <c r="AC68" s="2450"/>
      <c r="AD68" s="2450"/>
      <c r="AE68" s="2450"/>
      <c r="AF68" s="2450"/>
      <c r="AG68" s="2450"/>
      <c r="AH68" s="2450"/>
      <c r="AI68" s="2450"/>
      <c r="AJ68" s="2450"/>
      <c r="AK68" s="2450"/>
      <c r="AL68" s="2450"/>
      <c r="AM68" s="2450"/>
      <c r="AN68" s="2450"/>
      <c r="AO68" s="2450"/>
      <c r="AP68" s="2450"/>
      <c r="AQ68" s="2450"/>
      <c r="AR68" s="2450"/>
      <c r="AS68" s="2450"/>
      <c r="AT68" s="2450"/>
      <c r="AU68" s="2450"/>
      <c r="AV68" s="2450"/>
      <c r="AW68" s="2450"/>
      <c r="AX68" s="2450"/>
      <c r="AY68" s="2450"/>
      <c r="AZ68" s="2450"/>
      <c r="BA68" s="2450"/>
      <c r="BB68" s="2450"/>
      <c r="BC68" s="2450"/>
      <c r="BD68" s="2450"/>
      <c r="BE68" s="2450"/>
      <c r="BF68" s="2450"/>
      <c r="BG68" s="2450"/>
      <c r="BH68" s="2450"/>
      <c r="BI68" s="2450"/>
      <c r="BJ68" s="2508"/>
      <c r="BK68" s="2511"/>
      <c r="BL68" s="802"/>
      <c r="BM68" s="2462"/>
      <c r="BN68" s="2504"/>
      <c r="BO68" s="2462"/>
      <c r="BP68" s="2504"/>
      <c r="BQ68" s="2483"/>
    </row>
    <row r="69" spans="1:69" ht="62.25" customHeight="1" x14ac:dyDescent="0.2">
      <c r="A69" s="2529"/>
      <c r="B69" s="2530"/>
      <c r="C69" s="2531"/>
      <c r="D69" s="2532"/>
      <c r="E69" s="2533"/>
      <c r="F69" s="2533"/>
      <c r="G69" s="2534"/>
      <c r="H69" s="2535"/>
      <c r="I69" s="2535"/>
      <c r="J69" s="2483"/>
      <c r="K69" s="2448"/>
      <c r="L69" s="2437"/>
      <c r="M69" s="2536"/>
      <c r="N69" s="2436"/>
      <c r="O69" s="2436"/>
      <c r="P69" s="2537"/>
      <c r="Q69" s="2538"/>
      <c r="R69" s="2442"/>
      <c r="S69" s="2539"/>
      <c r="T69" s="2448"/>
      <c r="U69" s="167" t="s">
        <v>228</v>
      </c>
      <c r="V69" s="733">
        <v>10500000</v>
      </c>
      <c r="W69" s="830"/>
      <c r="X69" s="830"/>
      <c r="Y69" s="478">
        <v>20</v>
      </c>
      <c r="Z69" s="473" t="s">
        <v>70</v>
      </c>
      <c r="AA69" s="2450"/>
      <c r="AB69" s="2450"/>
      <c r="AC69" s="2450"/>
      <c r="AD69" s="2450"/>
      <c r="AE69" s="2450"/>
      <c r="AF69" s="2450"/>
      <c r="AG69" s="2450"/>
      <c r="AH69" s="2450"/>
      <c r="AI69" s="2450"/>
      <c r="AJ69" s="2450"/>
      <c r="AK69" s="2450"/>
      <c r="AL69" s="2450"/>
      <c r="AM69" s="2450"/>
      <c r="AN69" s="2450"/>
      <c r="AO69" s="2450"/>
      <c r="AP69" s="2450"/>
      <c r="AQ69" s="2450"/>
      <c r="AR69" s="2450"/>
      <c r="AS69" s="2450"/>
      <c r="AT69" s="2450"/>
      <c r="AU69" s="2450"/>
      <c r="AV69" s="2450"/>
      <c r="AW69" s="2450"/>
      <c r="AX69" s="2450"/>
      <c r="AY69" s="2450"/>
      <c r="AZ69" s="2450"/>
      <c r="BA69" s="2450"/>
      <c r="BB69" s="2450"/>
      <c r="BC69" s="2450"/>
      <c r="BD69" s="2450"/>
      <c r="BE69" s="2450"/>
      <c r="BF69" s="2450"/>
      <c r="BG69" s="2450"/>
      <c r="BH69" s="2450"/>
      <c r="BI69" s="2450"/>
      <c r="BJ69" s="2508"/>
      <c r="BK69" s="2511"/>
      <c r="BL69" s="802"/>
      <c r="BM69" s="2462"/>
      <c r="BN69" s="2504"/>
      <c r="BO69" s="2462"/>
      <c r="BP69" s="2504"/>
      <c r="BQ69" s="2483"/>
    </row>
    <row r="70" spans="1:69" ht="48" customHeight="1" x14ac:dyDescent="0.2">
      <c r="A70" s="2529"/>
      <c r="B70" s="2530"/>
      <c r="C70" s="2531"/>
      <c r="D70" s="2532"/>
      <c r="E70" s="2533"/>
      <c r="F70" s="2533"/>
      <c r="G70" s="2534"/>
      <c r="H70" s="2535"/>
      <c r="I70" s="2535"/>
      <c r="J70" s="2483"/>
      <c r="K70" s="2448"/>
      <c r="L70" s="2437"/>
      <c r="M70" s="2536"/>
      <c r="N70" s="2436"/>
      <c r="O70" s="2436"/>
      <c r="P70" s="2537"/>
      <c r="Q70" s="2538"/>
      <c r="R70" s="2442"/>
      <c r="S70" s="2539"/>
      <c r="T70" s="2448"/>
      <c r="U70" s="167" t="s">
        <v>229</v>
      </c>
      <c r="V70" s="733">
        <v>17950000</v>
      </c>
      <c r="W70" s="830"/>
      <c r="X70" s="830"/>
      <c r="Y70" s="478">
        <v>20</v>
      </c>
      <c r="Z70" s="473" t="s">
        <v>70</v>
      </c>
      <c r="AA70" s="2450"/>
      <c r="AB70" s="2450"/>
      <c r="AC70" s="2450"/>
      <c r="AD70" s="2450"/>
      <c r="AE70" s="2450"/>
      <c r="AF70" s="2450"/>
      <c r="AG70" s="2450"/>
      <c r="AH70" s="2450"/>
      <c r="AI70" s="2450"/>
      <c r="AJ70" s="2450"/>
      <c r="AK70" s="2450"/>
      <c r="AL70" s="2450"/>
      <c r="AM70" s="2450"/>
      <c r="AN70" s="2450"/>
      <c r="AO70" s="2450"/>
      <c r="AP70" s="2450"/>
      <c r="AQ70" s="2450"/>
      <c r="AR70" s="2450"/>
      <c r="AS70" s="2450"/>
      <c r="AT70" s="2450"/>
      <c r="AU70" s="2450"/>
      <c r="AV70" s="2450"/>
      <c r="AW70" s="2450"/>
      <c r="AX70" s="2450"/>
      <c r="AY70" s="2450"/>
      <c r="AZ70" s="2450"/>
      <c r="BA70" s="2450"/>
      <c r="BB70" s="2450"/>
      <c r="BC70" s="2450"/>
      <c r="BD70" s="2450"/>
      <c r="BE70" s="2450"/>
      <c r="BF70" s="2450"/>
      <c r="BG70" s="2450"/>
      <c r="BH70" s="2450"/>
      <c r="BI70" s="2450"/>
      <c r="BJ70" s="2508"/>
      <c r="BK70" s="2511"/>
      <c r="BL70" s="802"/>
      <c r="BM70" s="2462"/>
      <c r="BN70" s="2504"/>
      <c r="BO70" s="2462"/>
      <c r="BP70" s="2504"/>
      <c r="BQ70" s="2483"/>
    </row>
    <row r="71" spans="1:69" ht="41.25" customHeight="1" x14ac:dyDescent="0.2">
      <c r="A71" s="2529"/>
      <c r="B71" s="2530"/>
      <c r="C71" s="2531"/>
      <c r="D71" s="2532"/>
      <c r="E71" s="2533"/>
      <c r="F71" s="2533"/>
      <c r="G71" s="2534"/>
      <c r="H71" s="2535"/>
      <c r="I71" s="2535"/>
      <c r="J71" s="2483"/>
      <c r="K71" s="2448"/>
      <c r="L71" s="2437"/>
      <c r="M71" s="2536"/>
      <c r="N71" s="2436"/>
      <c r="O71" s="2436"/>
      <c r="P71" s="2537"/>
      <c r="Q71" s="2538"/>
      <c r="R71" s="2442"/>
      <c r="S71" s="2539"/>
      <c r="T71" s="2448"/>
      <c r="U71" s="167" t="s">
        <v>230</v>
      </c>
      <c r="V71" s="733">
        <v>5800000</v>
      </c>
      <c r="W71" s="830"/>
      <c r="X71" s="830"/>
      <c r="Y71" s="478">
        <v>20</v>
      </c>
      <c r="Z71" s="473" t="s">
        <v>70</v>
      </c>
      <c r="AA71" s="2450"/>
      <c r="AB71" s="2450"/>
      <c r="AC71" s="2450"/>
      <c r="AD71" s="2450"/>
      <c r="AE71" s="2450"/>
      <c r="AF71" s="2450"/>
      <c r="AG71" s="2450"/>
      <c r="AH71" s="2450"/>
      <c r="AI71" s="2450"/>
      <c r="AJ71" s="2450"/>
      <c r="AK71" s="2450"/>
      <c r="AL71" s="2450"/>
      <c r="AM71" s="2450"/>
      <c r="AN71" s="2450"/>
      <c r="AO71" s="2450"/>
      <c r="AP71" s="2450"/>
      <c r="AQ71" s="2450"/>
      <c r="AR71" s="2450"/>
      <c r="AS71" s="2450"/>
      <c r="AT71" s="2450"/>
      <c r="AU71" s="2450"/>
      <c r="AV71" s="2450"/>
      <c r="AW71" s="2450"/>
      <c r="AX71" s="2450"/>
      <c r="AY71" s="2450"/>
      <c r="AZ71" s="2450"/>
      <c r="BA71" s="2450"/>
      <c r="BB71" s="2450"/>
      <c r="BC71" s="2450"/>
      <c r="BD71" s="2450"/>
      <c r="BE71" s="2450"/>
      <c r="BF71" s="2450"/>
      <c r="BG71" s="2450"/>
      <c r="BH71" s="2450"/>
      <c r="BI71" s="2450"/>
      <c r="BJ71" s="2508"/>
      <c r="BK71" s="2511"/>
      <c r="BL71" s="802"/>
      <c r="BM71" s="2462"/>
      <c r="BN71" s="2504"/>
      <c r="BO71" s="2462"/>
      <c r="BP71" s="2504"/>
      <c r="BQ71" s="2483"/>
    </row>
    <row r="72" spans="1:69" ht="42" customHeight="1" x14ac:dyDescent="0.2">
      <c r="A72" s="2529"/>
      <c r="B72" s="2530"/>
      <c r="C72" s="2531"/>
      <c r="D72" s="2532"/>
      <c r="E72" s="2533"/>
      <c r="F72" s="2533"/>
      <c r="G72" s="2534"/>
      <c r="H72" s="2535"/>
      <c r="I72" s="2535"/>
      <c r="J72" s="2483"/>
      <c r="K72" s="2448"/>
      <c r="L72" s="2437"/>
      <c r="M72" s="2536"/>
      <c r="N72" s="2436"/>
      <c r="O72" s="2436"/>
      <c r="P72" s="2537"/>
      <c r="Q72" s="2538"/>
      <c r="R72" s="2442"/>
      <c r="S72" s="2539"/>
      <c r="T72" s="2448"/>
      <c r="U72" s="167" t="s">
        <v>231</v>
      </c>
      <c r="V72" s="733">
        <v>5800000</v>
      </c>
      <c r="W72" s="830"/>
      <c r="X72" s="830"/>
      <c r="Y72" s="478">
        <v>20</v>
      </c>
      <c r="Z72" s="473" t="s">
        <v>70</v>
      </c>
      <c r="AA72" s="2450"/>
      <c r="AB72" s="2450"/>
      <c r="AC72" s="2450"/>
      <c r="AD72" s="2450"/>
      <c r="AE72" s="2450"/>
      <c r="AF72" s="2450"/>
      <c r="AG72" s="2450"/>
      <c r="AH72" s="2450"/>
      <c r="AI72" s="2450"/>
      <c r="AJ72" s="2450"/>
      <c r="AK72" s="2450"/>
      <c r="AL72" s="2450"/>
      <c r="AM72" s="2450"/>
      <c r="AN72" s="2450"/>
      <c r="AO72" s="2450"/>
      <c r="AP72" s="2450"/>
      <c r="AQ72" s="2450"/>
      <c r="AR72" s="2450"/>
      <c r="AS72" s="2450"/>
      <c r="AT72" s="2450"/>
      <c r="AU72" s="2450"/>
      <c r="AV72" s="2450"/>
      <c r="AW72" s="2450"/>
      <c r="AX72" s="2450"/>
      <c r="AY72" s="2450"/>
      <c r="AZ72" s="2450"/>
      <c r="BA72" s="2450"/>
      <c r="BB72" s="2450"/>
      <c r="BC72" s="2450"/>
      <c r="BD72" s="2450"/>
      <c r="BE72" s="2450"/>
      <c r="BF72" s="2450"/>
      <c r="BG72" s="2450"/>
      <c r="BH72" s="2450"/>
      <c r="BI72" s="2450"/>
      <c r="BJ72" s="2508"/>
      <c r="BK72" s="2511"/>
      <c r="BL72" s="802"/>
      <c r="BM72" s="2462"/>
      <c r="BN72" s="2504"/>
      <c r="BO72" s="2462"/>
      <c r="BP72" s="2504"/>
      <c r="BQ72" s="2483"/>
    </row>
    <row r="73" spans="1:69" ht="39.75" customHeight="1" x14ac:dyDescent="0.2">
      <c r="A73" s="2529"/>
      <c r="B73" s="2530"/>
      <c r="C73" s="2531"/>
      <c r="D73" s="2532"/>
      <c r="E73" s="2533"/>
      <c r="F73" s="2533"/>
      <c r="G73" s="2534"/>
      <c r="H73" s="2535"/>
      <c r="I73" s="2535"/>
      <c r="J73" s="2483"/>
      <c r="K73" s="2448"/>
      <c r="L73" s="2437"/>
      <c r="M73" s="2536"/>
      <c r="N73" s="2436"/>
      <c r="O73" s="2436"/>
      <c r="P73" s="2537"/>
      <c r="Q73" s="2538"/>
      <c r="R73" s="2442"/>
      <c r="S73" s="2539"/>
      <c r="T73" s="2448" t="s">
        <v>232</v>
      </c>
      <c r="U73" s="166" t="s">
        <v>233</v>
      </c>
      <c r="V73" s="733">
        <v>9350000</v>
      </c>
      <c r="W73" s="830"/>
      <c r="X73" s="830"/>
      <c r="Y73" s="478">
        <v>20</v>
      </c>
      <c r="Z73" s="473" t="s">
        <v>70</v>
      </c>
      <c r="AA73" s="2450"/>
      <c r="AB73" s="2450"/>
      <c r="AC73" s="2450"/>
      <c r="AD73" s="2450"/>
      <c r="AE73" s="2450"/>
      <c r="AF73" s="2450"/>
      <c r="AG73" s="2450"/>
      <c r="AH73" s="2450"/>
      <c r="AI73" s="2450"/>
      <c r="AJ73" s="2450"/>
      <c r="AK73" s="2450"/>
      <c r="AL73" s="2450"/>
      <c r="AM73" s="2450"/>
      <c r="AN73" s="2450"/>
      <c r="AO73" s="2450"/>
      <c r="AP73" s="2450"/>
      <c r="AQ73" s="2450"/>
      <c r="AR73" s="2450"/>
      <c r="AS73" s="2450"/>
      <c r="AT73" s="2450"/>
      <c r="AU73" s="2450"/>
      <c r="AV73" s="2450"/>
      <c r="AW73" s="2450"/>
      <c r="AX73" s="2450"/>
      <c r="AY73" s="2450"/>
      <c r="AZ73" s="2450"/>
      <c r="BA73" s="2450"/>
      <c r="BB73" s="2450"/>
      <c r="BC73" s="2450"/>
      <c r="BD73" s="2450"/>
      <c r="BE73" s="2450"/>
      <c r="BF73" s="2450"/>
      <c r="BG73" s="2450"/>
      <c r="BH73" s="2450"/>
      <c r="BI73" s="2450"/>
      <c r="BJ73" s="2508"/>
      <c r="BK73" s="2511"/>
      <c r="BL73" s="802"/>
      <c r="BM73" s="2462"/>
      <c r="BN73" s="2504"/>
      <c r="BO73" s="2462"/>
      <c r="BP73" s="2504"/>
      <c r="BQ73" s="2483"/>
    </row>
    <row r="74" spans="1:69" ht="28.5" customHeight="1" x14ac:dyDescent="0.2">
      <c r="A74" s="2529"/>
      <c r="B74" s="2530"/>
      <c r="C74" s="2531"/>
      <c r="D74" s="2532"/>
      <c r="E74" s="2533"/>
      <c r="F74" s="2533"/>
      <c r="G74" s="2534"/>
      <c r="H74" s="2535"/>
      <c r="I74" s="2535"/>
      <c r="J74" s="2483"/>
      <c r="K74" s="2448"/>
      <c r="L74" s="2437"/>
      <c r="M74" s="2536"/>
      <c r="N74" s="2436"/>
      <c r="O74" s="2436"/>
      <c r="P74" s="2537"/>
      <c r="Q74" s="2538"/>
      <c r="R74" s="2442"/>
      <c r="S74" s="2539"/>
      <c r="T74" s="2448"/>
      <c r="U74" s="166" t="s">
        <v>234</v>
      </c>
      <c r="V74" s="733">
        <v>7150000</v>
      </c>
      <c r="W74" s="830"/>
      <c r="X74" s="830"/>
      <c r="Y74" s="478">
        <v>20</v>
      </c>
      <c r="Z74" s="473" t="s">
        <v>70</v>
      </c>
      <c r="AA74" s="2450"/>
      <c r="AB74" s="2450"/>
      <c r="AC74" s="2450"/>
      <c r="AD74" s="2450"/>
      <c r="AE74" s="2450"/>
      <c r="AF74" s="2450"/>
      <c r="AG74" s="2450"/>
      <c r="AH74" s="2450"/>
      <c r="AI74" s="2450"/>
      <c r="AJ74" s="2450"/>
      <c r="AK74" s="2450"/>
      <c r="AL74" s="2450"/>
      <c r="AM74" s="2450"/>
      <c r="AN74" s="2450"/>
      <c r="AO74" s="2450"/>
      <c r="AP74" s="2450"/>
      <c r="AQ74" s="2450"/>
      <c r="AR74" s="2450"/>
      <c r="AS74" s="2450"/>
      <c r="AT74" s="2450"/>
      <c r="AU74" s="2450"/>
      <c r="AV74" s="2450"/>
      <c r="AW74" s="2450"/>
      <c r="AX74" s="2450"/>
      <c r="AY74" s="2450"/>
      <c r="AZ74" s="2450"/>
      <c r="BA74" s="2450"/>
      <c r="BB74" s="2450"/>
      <c r="BC74" s="2450"/>
      <c r="BD74" s="2450"/>
      <c r="BE74" s="2450"/>
      <c r="BF74" s="2450"/>
      <c r="BG74" s="2450"/>
      <c r="BH74" s="2450"/>
      <c r="BI74" s="2450"/>
      <c r="BJ74" s="2508"/>
      <c r="BK74" s="2511"/>
      <c r="BL74" s="802"/>
      <c r="BM74" s="2462"/>
      <c r="BN74" s="2504"/>
      <c r="BO74" s="2462"/>
      <c r="BP74" s="2504"/>
      <c r="BQ74" s="2483"/>
    </row>
    <row r="75" spans="1:69" ht="41.25" customHeight="1" x14ac:dyDescent="0.2">
      <c r="A75" s="2529"/>
      <c r="B75" s="2530"/>
      <c r="C75" s="2531"/>
      <c r="D75" s="2532"/>
      <c r="E75" s="2533"/>
      <c r="F75" s="2533"/>
      <c r="G75" s="2534"/>
      <c r="H75" s="2535"/>
      <c r="I75" s="2535"/>
      <c r="J75" s="2483"/>
      <c r="K75" s="2448"/>
      <c r="L75" s="2437"/>
      <c r="M75" s="2536"/>
      <c r="N75" s="2436"/>
      <c r="O75" s="2436"/>
      <c r="P75" s="2537"/>
      <c r="Q75" s="2538"/>
      <c r="R75" s="2442"/>
      <c r="S75" s="2539"/>
      <c r="T75" s="2448"/>
      <c r="U75" s="166" t="s">
        <v>235</v>
      </c>
      <c r="V75" s="733">
        <v>9900000</v>
      </c>
      <c r="W75" s="830"/>
      <c r="X75" s="830"/>
      <c r="Y75" s="478">
        <v>20</v>
      </c>
      <c r="Z75" s="473" t="s">
        <v>70</v>
      </c>
      <c r="AA75" s="2450"/>
      <c r="AB75" s="2450"/>
      <c r="AC75" s="2450"/>
      <c r="AD75" s="2450"/>
      <c r="AE75" s="2450"/>
      <c r="AF75" s="2450"/>
      <c r="AG75" s="2450"/>
      <c r="AH75" s="2450"/>
      <c r="AI75" s="2450"/>
      <c r="AJ75" s="2450"/>
      <c r="AK75" s="2450"/>
      <c r="AL75" s="2450"/>
      <c r="AM75" s="2450"/>
      <c r="AN75" s="2450"/>
      <c r="AO75" s="2450"/>
      <c r="AP75" s="2450"/>
      <c r="AQ75" s="2450"/>
      <c r="AR75" s="2450"/>
      <c r="AS75" s="2450"/>
      <c r="AT75" s="2450"/>
      <c r="AU75" s="2450"/>
      <c r="AV75" s="2450"/>
      <c r="AW75" s="2450"/>
      <c r="AX75" s="2450"/>
      <c r="AY75" s="2450"/>
      <c r="AZ75" s="2450"/>
      <c r="BA75" s="2450"/>
      <c r="BB75" s="2450"/>
      <c r="BC75" s="2450"/>
      <c r="BD75" s="2450"/>
      <c r="BE75" s="2450"/>
      <c r="BF75" s="2450"/>
      <c r="BG75" s="2450"/>
      <c r="BH75" s="2450"/>
      <c r="BI75" s="2450"/>
      <c r="BJ75" s="2508"/>
      <c r="BK75" s="2511"/>
      <c r="BL75" s="802"/>
      <c r="BM75" s="2462"/>
      <c r="BN75" s="2504"/>
      <c r="BO75" s="2462"/>
      <c r="BP75" s="2504"/>
      <c r="BQ75" s="2483"/>
    </row>
    <row r="76" spans="1:69" ht="125.25" customHeight="1" x14ac:dyDescent="0.2">
      <c r="A76" s="2529"/>
      <c r="B76" s="2530"/>
      <c r="C76" s="2531"/>
      <c r="D76" s="2532"/>
      <c r="E76" s="2533"/>
      <c r="F76" s="2533"/>
      <c r="G76" s="2534"/>
      <c r="H76" s="2535"/>
      <c r="I76" s="2535"/>
      <c r="J76" s="2483"/>
      <c r="K76" s="2448"/>
      <c r="L76" s="2437"/>
      <c r="M76" s="2536"/>
      <c r="N76" s="2436"/>
      <c r="O76" s="2436"/>
      <c r="P76" s="2537"/>
      <c r="Q76" s="2538"/>
      <c r="R76" s="2442"/>
      <c r="S76" s="2539"/>
      <c r="T76" s="2448"/>
      <c r="U76" s="167" t="s">
        <v>236</v>
      </c>
      <c r="V76" s="733">
        <f>24750000-3150000</f>
        <v>21600000</v>
      </c>
      <c r="W76" s="830">
        <v>7350000</v>
      </c>
      <c r="X76" s="830">
        <v>3860000</v>
      </c>
      <c r="Y76" s="478">
        <v>20</v>
      </c>
      <c r="Z76" s="473" t="s">
        <v>70</v>
      </c>
      <c r="AA76" s="2450"/>
      <c r="AB76" s="2450"/>
      <c r="AC76" s="2450"/>
      <c r="AD76" s="2450"/>
      <c r="AE76" s="2450"/>
      <c r="AF76" s="2450"/>
      <c r="AG76" s="2450"/>
      <c r="AH76" s="2450"/>
      <c r="AI76" s="2450"/>
      <c r="AJ76" s="2450"/>
      <c r="AK76" s="2450"/>
      <c r="AL76" s="2450"/>
      <c r="AM76" s="2450"/>
      <c r="AN76" s="2450"/>
      <c r="AO76" s="2450"/>
      <c r="AP76" s="2450"/>
      <c r="AQ76" s="2450"/>
      <c r="AR76" s="2450"/>
      <c r="AS76" s="2450"/>
      <c r="AT76" s="2450"/>
      <c r="AU76" s="2450"/>
      <c r="AV76" s="2450"/>
      <c r="AW76" s="2450"/>
      <c r="AX76" s="2450"/>
      <c r="AY76" s="2450"/>
      <c r="AZ76" s="2450"/>
      <c r="BA76" s="2450"/>
      <c r="BB76" s="2450"/>
      <c r="BC76" s="2450"/>
      <c r="BD76" s="2450"/>
      <c r="BE76" s="2450"/>
      <c r="BF76" s="2450"/>
      <c r="BG76" s="2450"/>
      <c r="BH76" s="2450"/>
      <c r="BI76" s="2450"/>
      <c r="BJ76" s="2508"/>
      <c r="BK76" s="2511"/>
      <c r="BL76" s="495" t="s">
        <v>760</v>
      </c>
      <c r="BM76" s="2462"/>
      <c r="BN76" s="2504"/>
      <c r="BO76" s="2462"/>
      <c r="BP76" s="2504"/>
      <c r="BQ76" s="2483"/>
    </row>
    <row r="77" spans="1:69" ht="167.25" customHeight="1" x14ac:dyDescent="0.2">
      <c r="A77" s="2529"/>
      <c r="B77" s="2530"/>
      <c r="C77" s="2531"/>
      <c r="D77" s="2532"/>
      <c r="E77" s="2533"/>
      <c r="F77" s="2533"/>
      <c r="G77" s="2534"/>
      <c r="H77" s="2535"/>
      <c r="I77" s="2535"/>
      <c r="J77" s="2483"/>
      <c r="K77" s="2448"/>
      <c r="L77" s="2437"/>
      <c r="M77" s="2536"/>
      <c r="N77" s="2436"/>
      <c r="O77" s="2436"/>
      <c r="P77" s="2537"/>
      <c r="Q77" s="2538"/>
      <c r="R77" s="2442"/>
      <c r="S77" s="2539"/>
      <c r="T77" s="2448" t="s">
        <v>237</v>
      </c>
      <c r="U77" s="168" t="s">
        <v>238</v>
      </c>
      <c r="V77" s="733">
        <v>127050000</v>
      </c>
      <c r="W77" s="830">
        <v>23400000</v>
      </c>
      <c r="X77" s="830">
        <v>10800000</v>
      </c>
      <c r="Y77" s="478">
        <v>20</v>
      </c>
      <c r="Z77" s="473" t="s">
        <v>70</v>
      </c>
      <c r="AA77" s="2450"/>
      <c r="AB77" s="2450"/>
      <c r="AC77" s="2450"/>
      <c r="AD77" s="2450"/>
      <c r="AE77" s="2450"/>
      <c r="AF77" s="2450"/>
      <c r="AG77" s="2450"/>
      <c r="AH77" s="2450"/>
      <c r="AI77" s="2450"/>
      <c r="AJ77" s="2450"/>
      <c r="AK77" s="2450"/>
      <c r="AL77" s="2450"/>
      <c r="AM77" s="2450"/>
      <c r="AN77" s="2450"/>
      <c r="AO77" s="2450"/>
      <c r="AP77" s="2450"/>
      <c r="AQ77" s="2450"/>
      <c r="AR77" s="2450"/>
      <c r="AS77" s="2450"/>
      <c r="AT77" s="2450"/>
      <c r="AU77" s="2450"/>
      <c r="AV77" s="2450"/>
      <c r="AW77" s="2450"/>
      <c r="AX77" s="2450"/>
      <c r="AY77" s="2450"/>
      <c r="AZ77" s="2450"/>
      <c r="BA77" s="2450"/>
      <c r="BB77" s="2450"/>
      <c r="BC77" s="2450"/>
      <c r="BD77" s="2450"/>
      <c r="BE77" s="2450"/>
      <c r="BF77" s="2450"/>
      <c r="BG77" s="2450"/>
      <c r="BH77" s="2450"/>
      <c r="BI77" s="2450"/>
      <c r="BJ77" s="2508"/>
      <c r="BK77" s="2511"/>
      <c r="BL77" s="495" t="s">
        <v>761</v>
      </c>
      <c r="BM77" s="2462"/>
      <c r="BN77" s="2504"/>
      <c r="BO77" s="2462"/>
      <c r="BP77" s="2504"/>
      <c r="BQ77" s="2483"/>
    </row>
    <row r="78" spans="1:69" ht="82.5" customHeight="1" x14ac:dyDescent="0.2">
      <c r="A78" s="2529"/>
      <c r="B78" s="2530"/>
      <c r="C78" s="2531"/>
      <c r="D78" s="2532"/>
      <c r="E78" s="2533"/>
      <c r="F78" s="2533"/>
      <c r="G78" s="2534"/>
      <c r="H78" s="2535"/>
      <c r="I78" s="2535"/>
      <c r="J78" s="2483"/>
      <c r="K78" s="2448"/>
      <c r="L78" s="2437"/>
      <c r="M78" s="2536"/>
      <c r="N78" s="2436"/>
      <c r="O78" s="2436"/>
      <c r="P78" s="2537"/>
      <c r="Q78" s="2538"/>
      <c r="R78" s="2442"/>
      <c r="S78" s="2539"/>
      <c r="T78" s="2448"/>
      <c r="U78" s="168" t="s">
        <v>239</v>
      </c>
      <c r="V78" s="733">
        <v>13500000</v>
      </c>
      <c r="W78" s="830">
        <v>9450000</v>
      </c>
      <c r="X78" s="830">
        <v>900000</v>
      </c>
      <c r="Y78" s="478">
        <v>20</v>
      </c>
      <c r="Z78" s="473" t="s">
        <v>70</v>
      </c>
      <c r="AA78" s="2450"/>
      <c r="AB78" s="2450"/>
      <c r="AC78" s="2450"/>
      <c r="AD78" s="2450"/>
      <c r="AE78" s="2450"/>
      <c r="AF78" s="2450"/>
      <c r="AG78" s="2450"/>
      <c r="AH78" s="2450"/>
      <c r="AI78" s="2450"/>
      <c r="AJ78" s="2450"/>
      <c r="AK78" s="2450"/>
      <c r="AL78" s="2450"/>
      <c r="AM78" s="2450"/>
      <c r="AN78" s="2450"/>
      <c r="AO78" s="2450"/>
      <c r="AP78" s="2450"/>
      <c r="AQ78" s="2450"/>
      <c r="AR78" s="2450"/>
      <c r="AS78" s="2450"/>
      <c r="AT78" s="2450"/>
      <c r="AU78" s="2450"/>
      <c r="AV78" s="2450"/>
      <c r="AW78" s="2450"/>
      <c r="AX78" s="2450"/>
      <c r="AY78" s="2450"/>
      <c r="AZ78" s="2450"/>
      <c r="BA78" s="2450"/>
      <c r="BB78" s="2450"/>
      <c r="BC78" s="2450"/>
      <c r="BD78" s="2450"/>
      <c r="BE78" s="2450"/>
      <c r="BF78" s="2450"/>
      <c r="BG78" s="2450"/>
      <c r="BH78" s="2450"/>
      <c r="BI78" s="2450"/>
      <c r="BJ78" s="2508"/>
      <c r="BK78" s="2511"/>
      <c r="BL78" s="495" t="s">
        <v>762</v>
      </c>
      <c r="BM78" s="2462"/>
      <c r="BN78" s="2504"/>
      <c r="BO78" s="2462"/>
      <c r="BP78" s="2504"/>
      <c r="BQ78" s="2483"/>
    </row>
    <row r="79" spans="1:69" ht="119.25" customHeight="1" x14ac:dyDescent="0.2">
      <c r="A79" s="2529"/>
      <c r="B79" s="2530"/>
      <c r="C79" s="2531"/>
      <c r="D79" s="2532"/>
      <c r="E79" s="2533"/>
      <c r="F79" s="2533"/>
      <c r="G79" s="2534"/>
      <c r="H79" s="2535"/>
      <c r="I79" s="2535"/>
      <c r="J79" s="2483"/>
      <c r="K79" s="2448"/>
      <c r="L79" s="2437"/>
      <c r="M79" s="2536"/>
      <c r="N79" s="2436"/>
      <c r="O79" s="2436"/>
      <c r="P79" s="2537"/>
      <c r="Q79" s="2538"/>
      <c r="R79" s="2442"/>
      <c r="S79" s="2539"/>
      <c r="T79" s="2448"/>
      <c r="U79" s="168" t="s">
        <v>240</v>
      </c>
      <c r="V79" s="733">
        <v>13500000</v>
      </c>
      <c r="W79" s="830">
        <v>9450000</v>
      </c>
      <c r="X79" s="830">
        <v>900000</v>
      </c>
      <c r="Y79" s="478">
        <v>20</v>
      </c>
      <c r="Z79" s="473" t="s">
        <v>70</v>
      </c>
      <c r="AA79" s="2450"/>
      <c r="AB79" s="2450"/>
      <c r="AC79" s="2450"/>
      <c r="AD79" s="2450"/>
      <c r="AE79" s="2450"/>
      <c r="AF79" s="2450"/>
      <c r="AG79" s="2450"/>
      <c r="AH79" s="2450"/>
      <c r="AI79" s="2450"/>
      <c r="AJ79" s="2450"/>
      <c r="AK79" s="2450"/>
      <c r="AL79" s="2450"/>
      <c r="AM79" s="2450"/>
      <c r="AN79" s="2450"/>
      <c r="AO79" s="2450"/>
      <c r="AP79" s="2450"/>
      <c r="AQ79" s="2450"/>
      <c r="AR79" s="2450"/>
      <c r="AS79" s="2450"/>
      <c r="AT79" s="2450"/>
      <c r="AU79" s="2450"/>
      <c r="AV79" s="2450"/>
      <c r="AW79" s="2450"/>
      <c r="AX79" s="2450"/>
      <c r="AY79" s="2450"/>
      <c r="AZ79" s="2450"/>
      <c r="BA79" s="2450"/>
      <c r="BB79" s="2450"/>
      <c r="BC79" s="2450"/>
      <c r="BD79" s="2450"/>
      <c r="BE79" s="2450"/>
      <c r="BF79" s="2450"/>
      <c r="BG79" s="2450"/>
      <c r="BH79" s="2450"/>
      <c r="BI79" s="2450"/>
      <c r="BJ79" s="2508"/>
      <c r="BK79" s="2511"/>
      <c r="BL79" s="802"/>
      <c r="BM79" s="2462"/>
      <c r="BN79" s="2504"/>
      <c r="BO79" s="2462"/>
      <c r="BP79" s="2504"/>
      <c r="BQ79" s="2483"/>
    </row>
    <row r="80" spans="1:69" ht="106.5" customHeight="1" x14ac:dyDescent="0.2">
      <c r="A80" s="2529"/>
      <c r="B80" s="2530"/>
      <c r="C80" s="2531"/>
      <c r="D80" s="2532"/>
      <c r="E80" s="2533"/>
      <c r="F80" s="2533"/>
      <c r="G80" s="2534"/>
      <c r="H80" s="2535"/>
      <c r="I80" s="2535"/>
      <c r="J80" s="2483"/>
      <c r="K80" s="2448"/>
      <c r="L80" s="2437"/>
      <c r="M80" s="2536"/>
      <c r="N80" s="2436"/>
      <c r="O80" s="2436"/>
      <c r="P80" s="2537"/>
      <c r="Q80" s="2538"/>
      <c r="R80" s="2442"/>
      <c r="S80" s="2539"/>
      <c r="T80" s="2448"/>
      <c r="U80" s="168" t="s">
        <v>241</v>
      </c>
      <c r="V80" s="733">
        <v>9000000</v>
      </c>
      <c r="W80" s="830">
        <v>6526666</v>
      </c>
      <c r="X80" s="830">
        <v>4490000</v>
      </c>
      <c r="Y80" s="478">
        <v>20</v>
      </c>
      <c r="Z80" s="473" t="s">
        <v>70</v>
      </c>
      <c r="AA80" s="2450"/>
      <c r="AB80" s="2450"/>
      <c r="AC80" s="2450"/>
      <c r="AD80" s="2450"/>
      <c r="AE80" s="2450"/>
      <c r="AF80" s="2450"/>
      <c r="AG80" s="2450"/>
      <c r="AH80" s="2450"/>
      <c r="AI80" s="2450"/>
      <c r="AJ80" s="2450"/>
      <c r="AK80" s="2450"/>
      <c r="AL80" s="2450"/>
      <c r="AM80" s="2450"/>
      <c r="AN80" s="2450"/>
      <c r="AO80" s="2450"/>
      <c r="AP80" s="2450"/>
      <c r="AQ80" s="2450"/>
      <c r="AR80" s="2450"/>
      <c r="AS80" s="2450"/>
      <c r="AT80" s="2450"/>
      <c r="AU80" s="2450"/>
      <c r="AV80" s="2450"/>
      <c r="AW80" s="2450"/>
      <c r="AX80" s="2450"/>
      <c r="AY80" s="2450"/>
      <c r="AZ80" s="2450"/>
      <c r="BA80" s="2450"/>
      <c r="BB80" s="2450"/>
      <c r="BC80" s="2450"/>
      <c r="BD80" s="2450"/>
      <c r="BE80" s="2450"/>
      <c r="BF80" s="2450"/>
      <c r="BG80" s="2450"/>
      <c r="BH80" s="2450"/>
      <c r="BI80" s="2450"/>
      <c r="BJ80" s="2508"/>
      <c r="BK80" s="2511"/>
      <c r="BL80" s="802"/>
      <c r="BM80" s="2462"/>
      <c r="BN80" s="2504"/>
      <c r="BO80" s="2462"/>
      <c r="BP80" s="2504"/>
      <c r="BQ80" s="2483"/>
    </row>
    <row r="81" spans="1:69" ht="116.25" customHeight="1" x14ac:dyDescent="0.2">
      <c r="A81" s="2529"/>
      <c r="B81" s="2530"/>
      <c r="C81" s="2531"/>
      <c r="D81" s="2532"/>
      <c r="E81" s="2533"/>
      <c r="F81" s="2533"/>
      <c r="G81" s="2534"/>
      <c r="H81" s="2535"/>
      <c r="I81" s="2535"/>
      <c r="J81" s="2483"/>
      <c r="K81" s="2448"/>
      <c r="L81" s="2437"/>
      <c r="M81" s="2536"/>
      <c r="N81" s="2436"/>
      <c r="O81" s="2436"/>
      <c r="P81" s="2537"/>
      <c r="Q81" s="2538"/>
      <c r="R81" s="2442"/>
      <c r="S81" s="2539"/>
      <c r="T81" s="2448"/>
      <c r="U81" s="168" t="s">
        <v>242</v>
      </c>
      <c r="V81" s="733">
        <v>3000000</v>
      </c>
      <c r="W81" s="830">
        <v>2550000</v>
      </c>
      <c r="X81" s="830">
        <v>1050000</v>
      </c>
      <c r="Y81" s="478">
        <v>20</v>
      </c>
      <c r="Z81" s="473" t="s">
        <v>70</v>
      </c>
      <c r="AA81" s="2450"/>
      <c r="AB81" s="2450"/>
      <c r="AC81" s="2450"/>
      <c r="AD81" s="2450"/>
      <c r="AE81" s="2450"/>
      <c r="AF81" s="2450"/>
      <c r="AG81" s="2450"/>
      <c r="AH81" s="2450"/>
      <c r="AI81" s="2450"/>
      <c r="AJ81" s="2450"/>
      <c r="AK81" s="2450"/>
      <c r="AL81" s="2450"/>
      <c r="AM81" s="2450"/>
      <c r="AN81" s="2450"/>
      <c r="AO81" s="2450"/>
      <c r="AP81" s="2450"/>
      <c r="AQ81" s="2450"/>
      <c r="AR81" s="2450"/>
      <c r="AS81" s="2450"/>
      <c r="AT81" s="2450"/>
      <c r="AU81" s="2450"/>
      <c r="AV81" s="2450"/>
      <c r="AW81" s="2450"/>
      <c r="AX81" s="2450"/>
      <c r="AY81" s="2450"/>
      <c r="AZ81" s="2450"/>
      <c r="BA81" s="2450"/>
      <c r="BB81" s="2450"/>
      <c r="BC81" s="2450"/>
      <c r="BD81" s="2450"/>
      <c r="BE81" s="2450"/>
      <c r="BF81" s="2450"/>
      <c r="BG81" s="2450"/>
      <c r="BH81" s="2450"/>
      <c r="BI81" s="2450"/>
      <c r="BJ81" s="2508"/>
      <c r="BK81" s="2511"/>
      <c r="BL81" s="802"/>
      <c r="BM81" s="2462"/>
      <c r="BN81" s="2504"/>
      <c r="BO81" s="2462"/>
      <c r="BP81" s="2504"/>
      <c r="BQ81" s="2483"/>
    </row>
    <row r="82" spans="1:69" ht="105.75" customHeight="1" x14ac:dyDescent="0.2">
      <c r="A82" s="2529"/>
      <c r="B82" s="2530"/>
      <c r="C82" s="2531"/>
      <c r="D82" s="2532"/>
      <c r="E82" s="2533"/>
      <c r="F82" s="2533"/>
      <c r="G82" s="2534"/>
      <c r="H82" s="2535"/>
      <c r="I82" s="2535"/>
      <c r="J82" s="2483"/>
      <c r="K82" s="2448"/>
      <c r="L82" s="2437"/>
      <c r="M82" s="2536"/>
      <c r="N82" s="2436"/>
      <c r="O82" s="2436"/>
      <c r="P82" s="2537"/>
      <c r="Q82" s="2538"/>
      <c r="R82" s="2442"/>
      <c r="S82" s="2539"/>
      <c r="T82" s="2448"/>
      <c r="U82" s="168" t="s">
        <v>243</v>
      </c>
      <c r="V82" s="733">
        <v>2250000</v>
      </c>
      <c r="W82" s="830"/>
      <c r="X82" s="830"/>
      <c r="Y82" s="478">
        <v>20</v>
      </c>
      <c r="Z82" s="473" t="s">
        <v>70</v>
      </c>
      <c r="AA82" s="2450"/>
      <c r="AB82" s="2450"/>
      <c r="AC82" s="2450"/>
      <c r="AD82" s="2450"/>
      <c r="AE82" s="2450"/>
      <c r="AF82" s="2450"/>
      <c r="AG82" s="2450"/>
      <c r="AH82" s="2450"/>
      <c r="AI82" s="2450"/>
      <c r="AJ82" s="2450"/>
      <c r="AK82" s="2450"/>
      <c r="AL82" s="2450"/>
      <c r="AM82" s="2450"/>
      <c r="AN82" s="2450"/>
      <c r="AO82" s="2450"/>
      <c r="AP82" s="2450"/>
      <c r="AQ82" s="2450"/>
      <c r="AR82" s="2450"/>
      <c r="AS82" s="2450"/>
      <c r="AT82" s="2450"/>
      <c r="AU82" s="2450"/>
      <c r="AV82" s="2450"/>
      <c r="AW82" s="2450"/>
      <c r="AX82" s="2450"/>
      <c r="AY82" s="2450"/>
      <c r="AZ82" s="2450"/>
      <c r="BA82" s="2450"/>
      <c r="BB82" s="2450"/>
      <c r="BC82" s="2450"/>
      <c r="BD82" s="2450"/>
      <c r="BE82" s="2450"/>
      <c r="BF82" s="2450"/>
      <c r="BG82" s="2450"/>
      <c r="BH82" s="2450"/>
      <c r="BI82" s="2450"/>
      <c r="BJ82" s="2508"/>
      <c r="BK82" s="2511"/>
      <c r="BL82" s="802"/>
      <c r="BM82" s="2462"/>
      <c r="BN82" s="2504"/>
      <c r="BO82" s="2462"/>
      <c r="BP82" s="2504"/>
      <c r="BQ82" s="2483"/>
    </row>
    <row r="83" spans="1:69" ht="129" customHeight="1" x14ac:dyDescent="0.2">
      <c r="A83" s="2529"/>
      <c r="B83" s="2530"/>
      <c r="C83" s="2531"/>
      <c r="D83" s="2532"/>
      <c r="E83" s="2533"/>
      <c r="F83" s="2533"/>
      <c r="G83" s="2534"/>
      <c r="H83" s="2535"/>
      <c r="I83" s="2535"/>
      <c r="J83" s="2483"/>
      <c r="K83" s="2448"/>
      <c r="L83" s="2437"/>
      <c r="M83" s="2536"/>
      <c r="N83" s="2436"/>
      <c r="O83" s="2436"/>
      <c r="P83" s="2537"/>
      <c r="Q83" s="2538"/>
      <c r="R83" s="2442"/>
      <c r="S83" s="2539"/>
      <c r="T83" s="2448"/>
      <c r="U83" s="168" t="s">
        <v>244</v>
      </c>
      <c r="V83" s="733">
        <f>0+1600000</f>
        <v>1600000</v>
      </c>
      <c r="W83" s="830">
        <v>1600000</v>
      </c>
      <c r="X83" s="830">
        <v>800000</v>
      </c>
      <c r="Y83" s="478">
        <v>20</v>
      </c>
      <c r="Z83" s="473" t="s">
        <v>70</v>
      </c>
      <c r="AA83" s="2450"/>
      <c r="AB83" s="2450"/>
      <c r="AC83" s="2450"/>
      <c r="AD83" s="2450"/>
      <c r="AE83" s="2450"/>
      <c r="AF83" s="2450"/>
      <c r="AG83" s="2450"/>
      <c r="AH83" s="2450"/>
      <c r="AI83" s="2450"/>
      <c r="AJ83" s="2450"/>
      <c r="AK83" s="2450"/>
      <c r="AL83" s="2450"/>
      <c r="AM83" s="2450"/>
      <c r="AN83" s="2450"/>
      <c r="AO83" s="2450"/>
      <c r="AP83" s="2450"/>
      <c r="AQ83" s="2450"/>
      <c r="AR83" s="2450"/>
      <c r="AS83" s="2450"/>
      <c r="AT83" s="2450"/>
      <c r="AU83" s="2450"/>
      <c r="AV83" s="2450"/>
      <c r="AW83" s="2450"/>
      <c r="AX83" s="2450"/>
      <c r="AY83" s="2450"/>
      <c r="AZ83" s="2450"/>
      <c r="BA83" s="2450"/>
      <c r="BB83" s="2450"/>
      <c r="BC83" s="2450"/>
      <c r="BD83" s="2450"/>
      <c r="BE83" s="2450"/>
      <c r="BF83" s="2450"/>
      <c r="BG83" s="2450"/>
      <c r="BH83" s="2450"/>
      <c r="BI83" s="2450"/>
      <c r="BJ83" s="2508"/>
      <c r="BK83" s="2511"/>
      <c r="BL83" s="802"/>
      <c r="BM83" s="2462"/>
      <c r="BN83" s="2504"/>
      <c r="BO83" s="2462"/>
      <c r="BP83" s="2504"/>
      <c r="BQ83" s="2483"/>
    </row>
    <row r="84" spans="1:69" ht="97.5" customHeight="1" x14ac:dyDescent="0.2">
      <c r="A84" s="2529"/>
      <c r="B84" s="2530"/>
      <c r="C84" s="2531"/>
      <c r="D84" s="2532"/>
      <c r="E84" s="2533"/>
      <c r="F84" s="2533"/>
      <c r="G84" s="2534"/>
      <c r="H84" s="2535"/>
      <c r="I84" s="2535"/>
      <c r="J84" s="2483"/>
      <c r="K84" s="2448"/>
      <c r="L84" s="2437"/>
      <c r="M84" s="2536"/>
      <c r="N84" s="2436"/>
      <c r="O84" s="2436"/>
      <c r="P84" s="2537"/>
      <c r="Q84" s="2538"/>
      <c r="R84" s="2442"/>
      <c r="S84" s="2540"/>
      <c r="T84" s="2523"/>
      <c r="U84" s="801" t="s">
        <v>245</v>
      </c>
      <c r="V84" s="737">
        <f>0+1550000</f>
        <v>1550000</v>
      </c>
      <c r="W84" s="737">
        <v>1460000</v>
      </c>
      <c r="X84" s="737">
        <v>0</v>
      </c>
      <c r="Y84" s="478">
        <v>20</v>
      </c>
      <c r="Z84" s="473" t="s">
        <v>70</v>
      </c>
      <c r="AA84" s="2451"/>
      <c r="AB84" s="2451"/>
      <c r="AC84" s="2451"/>
      <c r="AD84" s="2451"/>
      <c r="AE84" s="2451"/>
      <c r="AF84" s="2451"/>
      <c r="AG84" s="2451"/>
      <c r="AH84" s="2451"/>
      <c r="AI84" s="2451"/>
      <c r="AJ84" s="2451"/>
      <c r="AK84" s="2451"/>
      <c r="AL84" s="2451"/>
      <c r="AM84" s="2451"/>
      <c r="AN84" s="2451"/>
      <c r="AO84" s="2451"/>
      <c r="AP84" s="2451"/>
      <c r="AQ84" s="2451"/>
      <c r="AR84" s="2451"/>
      <c r="AS84" s="2451"/>
      <c r="AT84" s="2451"/>
      <c r="AU84" s="2451"/>
      <c r="AV84" s="2451"/>
      <c r="AW84" s="2451"/>
      <c r="AX84" s="2451"/>
      <c r="AY84" s="2451"/>
      <c r="AZ84" s="2451"/>
      <c r="BA84" s="2451"/>
      <c r="BB84" s="2451"/>
      <c r="BC84" s="2451"/>
      <c r="BD84" s="2451"/>
      <c r="BE84" s="2451"/>
      <c r="BF84" s="2451"/>
      <c r="BG84" s="2451"/>
      <c r="BH84" s="2451"/>
      <c r="BI84" s="2451"/>
      <c r="BJ84" s="2509"/>
      <c r="BK84" s="2512"/>
      <c r="BL84" s="803"/>
      <c r="BM84" s="2462"/>
      <c r="BN84" s="2505"/>
      <c r="BO84" s="2462"/>
      <c r="BP84" s="2505"/>
      <c r="BQ84" s="2483"/>
    </row>
    <row r="85" spans="1:69" s="174" customFormat="1" ht="49.5" customHeight="1" x14ac:dyDescent="0.2">
      <c r="A85" s="169"/>
      <c r="B85" s="767"/>
      <c r="C85" s="172"/>
      <c r="D85" s="767"/>
      <c r="E85" s="170"/>
      <c r="F85" s="170"/>
      <c r="G85" s="171"/>
      <c r="H85" s="170"/>
      <c r="I85" s="172"/>
      <c r="J85" s="2549">
        <v>268</v>
      </c>
      <c r="K85" s="2551" t="s">
        <v>246</v>
      </c>
      <c r="L85" s="2552" t="s">
        <v>247</v>
      </c>
      <c r="M85" s="2553">
        <v>12</v>
      </c>
      <c r="N85" s="2436" t="s">
        <v>248</v>
      </c>
      <c r="O85" s="2524" t="s">
        <v>249</v>
      </c>
      <c r="P85" s="2537" t="s">
        <v>250</v>
      </c>
      <c r="Q85" s="2542">
        <f>+(V85+V86)/R85</f>
        <v>0.15882820082943616</v>
      </c>
      <c r="R85" s="2544">
        <f>SUM(V85:V97)</f>
        <v>283325000</v>
      </c>
      <c r="S85" s="2546" t="s">
        <v>251</v>
      </c>
      <c r="T85" s="2547" t="s">
        <v>252</v>
      </c>
      <c r="U85" s="173" t="s">
        <v>253</v>
      </c>
      <c r="V85" s="738">
        <v>44100000</v>
      </c>
      <c r="W85" s="738">
        <v>2400000</v>
      </c>
      <c r="X85" s="739">
        <v>800000</v>
      </c>
      <c r="Y85" s="478">
        <v>20</v>
      </c>
      <c r="Z85" s="473" t="s">
        <v>70</v>
      </c>
      <c r="AA85" s="2517">
        <v>295972</v>
      </c>
      <c r="AB85" s="2517"/>
      <c r="AC85" s="2517">
        <v>285580</v>
      </c>
      <c r="AD85" s="2517"/>
      <c r="AE85" s="2517">
        <v>135545</v>
      </c>
      <c r="AF85" s="2517"/>
      <c r="AG85" s="2517">
        <v>44254</v>
      </c>
      <c r="AH85" s="2517"/>
      <c r="AI85" s="2517">
        <v>309146</v>
      </c>
      <c r="AJ85" s="2517"/>
      <c r="AK85" s="2517">
        <v>92607</v>
      </c>
      <c r="AL85" s="2517"/>
      <c r="AM85" s="2517">
        <v>2145</v>
      </c>
      <c r="AN85" s="2517"/>
      <c r="AO85" s="2517">
        <v>12718</v>
      </c>
      <c r="AP85" s="2517"/>
      <c r="AQ85" s="2517">
        <v>26</v>
      </c>
      <c r="AR85" s="2517"/>
      <c r="AS85" s="2517">
        <v>37</v>
      </c>
      <c r="AT85" s="2517"/>
      <c r="AU85" s="2517">
        <v>0</v>
      </c>
      <c r="AV85" s="2517"/>
      <c r="AW85" s="2517">
        <v>0</v>
      </c>
      <c r="AX85" s="2517"/>
      <c r="AY85" s="2517">
        <v>44350</v>
      </c>
      <c r="AZ85" s="2517"/>
      <c r="BA85" s="2517">
        <v>21944</v>
      </c>
      <c r="BB85" s="2517"/>
      <c r="BC85" s="2517">
        <v>75687</v>
      </c>
      <c r="BD85" s="2517"/>
      <c r="BE85" s="2517">
        <f>SUM(AE85:AK85)</f>
        <v>581552</v>
      </c>
      <c r="BF85" s="2517"/>
      <c r="BG85" s="2517">
        <v>2</v>
      </c>
      <c r="BH85" s="2517">
        <f>SUM(W85:W97)</f>
        <v>28500000</v>
      </c>
      <c r="BI85" s="2517">
        <f>SUM(X85:X97)</f>
        <v>9500000</v>
      </c>
      <c r="BJ85" s="2526">
        <f>BI85/BH85</f>
        <v>0.33333333333333331</v>
      </c>
      <c r="BK85" s="2527" t="s">
        <v>756</v>
      </c>
      <c r="BL85" s="829"/>
      <c r="BM85" s="2462">
        <v>43832</v>
      </c>
      <c r="BN85" s="2522">
        <v>43886</v>
      </c>
      <c r="BO85" s="2462">
        <v>44196</v>
      </c>
      <c r="BP85" s="2522">
        <v>44196</v>
      </c>
      <c r="BQ85" s="2483" t="s">
        <v>757</v>
      </c>
    </row>
    <row r="86" spans="1:69" ht="33" customHeight="1" x14ac:dyDescent="0.2">
      <c r="A86" s="482"/>
      <c r="B86" s="768"/>
      <c r="C86" s="175"/>
      <c r="D86" s="768"/>
      <c r="G86" s="483"/>
      <c r="I86" s="175"/>
      <c r="J86" s="2550"/>
      <c r="K86" s="2551"/>
      <c r="L86" s="2552"/>
      <c r="M86" s="2554"/>
      <c r="N86" s="2436"/>
      <c r="O86" s="2524"/>
      <c r="P86" s="2537"/>
      <c r="Q86" s="2543"/>
      <c r="R86" s="2544"/>
      <c r="S86" s="2546"/>
      <c r="T86" s="2547"/>
      <c r="U86" s="173" t="s">
        <v>254</v>
      </c>
      <c r="V86" s="738">
        <v>900000</v>
      </c>
      <c r="W86" s="738"/>
      <c r="X86" s="739"/>
      <c r="Y86" s="478">
        <v>20</v>
      </c>
      <c r="Z86" s="473" t="s">
        <v>70</v>
      </c>
      <c r="AA86" s="2450"/>
      <c r="AB86" s="2450"/>
      <c r="AC86" s="2450"/>
      <c r="AD86" s="2450"/>
      <c r="AE86" s="2450"/>
      <c r="AF86" s="2450"/>
      <c r="AG86" s="2450"/>
      <c r="AH86" s="2450"/>
      <c r="AI86" s="2450"/>
      <c r="AJ86" s="2450"/>
      <c r="AK86" s="2450"/>
      <c r="AL86" s="2450"/>
      <c r="AM86" s="2450"/>
      <c r="AN86" s="2450"/>
      <c r="AO86" s="2450"/>
      <c r="AP86" s="2450"/>
      <c r="AQ86" s="2450"/>
      <c r="AR86" s="2450"/>
      <c r="AS86" s="2450"/>
      <c r="AT86" s="2450"/>
      <c r="AU86" s="2450"/>
      <c r="AV86" s="2450"/>
      <c r="AW86" s="2450"/>
      <c r="AX86" s="2450"/>
      <c r="AY86" s="2450"/>
      <c r="AZ86" s="2450"/>
      <c r="BA86" s="2450"/>
      <c r="BB86" s="2450"/>
      <c r="BC86" s="2450"/>
      <c r="BD86" s="2450"/>
      <c r="BE86" s="2450"/>
      <c r="BF86" s="2450"/>
      <c r="BG86" s="2450"/>
      <c r="BH86" s="2450"/>
      <c r="BI86" s="2450"/>
      <c r="BJ86" s="2508"/>
      <c r="BK86" s="2511"/>
      <c r="BL86" s="476"/>
      <c r="BM86" s="2462"/>
      <c r="BN86" s="2504"/>
      <c r="BO86" s="2462"/>
      <c r="BP86" s="2504"/>
      <c r="BQ86" s="2483"/>
    </row>
    <row r="87" spans="1:69" ht="63.75" customHeight="1" x14ac:dyDescent="0.2">
      <c r="A87" s="482"/>
      <c r="B87" s="768"/>
      <c r="C87" s="175"/>
      <c r="D87" s="768"/>
      <c r="G87" s="483"/>
      <c r="I87" s="175"/>
      <c r="J87" s="2549">
        <v>269</v>
      </c>
      <c r="K87" s="2551" t="s">
        <v>255</v>
      </c>
      <c r="L87" s="2552" t="s">
        <v>256</v>
      </c>
      <c r="M87" s="2553">
        <v>12</v>
      </c>
      <c r="N87" s="2436"/>
      <c r="O87" s="2524"/>
      <c r="P87" s="2537"/>
      <c r="Q87" s="2499">
        <f>+(V87+V88)/R85</f>
        <v>0.15882820082943616</v>
      </c>
      <c r="R87" s="2544"/>
      <c r="S87" s="2546"/>
      <c r="T87" s="2547"/>
      <c r="U87" s="173" t="s">
        <v>257</v>
      </c>
      <c r="V87" s="738">
        <v>44100000</v>
      </c>
      <c r="W87" s="738"/>
      <c r="X87" s="739"/>
      <c r="Y87" s="478">
        <v>20</v>
      </c>
      <c r="Z87" s="473" t="s">
        <v>70</v>
      </c>
      <c r="AA87" s="2450"/>
      <c r="AB87" s="2450"/>
      <c r="AC87" s="2450"/>
      <c r="AD87" s="2450"/>
      <c r="AE87" s="2450"/>
      <c r="AF87" s="2450"/>
      <c r="AG87" s="2450"/>
      <c r="AH87" s="2450"/>
      <c r="AI87" s="2450"/>
      <c r="AJ87" s="2450"/>
      <c r="AK87" s="2450"/>
      <c r="AL87" s="2450"/>
      <c r="AM87" s="2450"/>
      <c r="AN87" s="2450"/>
      <c r="AO87" s="2450"/>
      <c r="AP87" s="2450"/>
      <c r="AQ87" s="2450"/>
      <c r="AR87" s="2450"/>
      <c r="AS87" s="2450"/>
      <c r="AT87" s="2450"/>
      <c r="AU87" s="2450"/>
      <c r="AV87" s="2450"/>
      <c r="AW87" s="2450"/>
      <c r="AX87" s="2450"/>
      <c r="AY87" s="2450"/>
      <c r="AZ87" s="2450"/>
      <c r="BA87" s="2450"/>
      <c r="BB87" s="2450"/>
      <c r="BC87" s="2450"/>
      <c r="BD87" s="2450"/>
      <c r="BE87" s="2450"/>
      <c r="BF87" s="2450"/>
      <c r="BG87" s="2450"/>
      <c r="BH87" s="2450"/>
      <c r="BI87" s="2450"/>
      <c r="BJ87" s="2508"/>
      <c r="BK87" s="2511"/>
      <c r="BL87" s="476"/>
      <c r="BM87" s="2462"/>
      <c r="BN87" s="2504"/>
      <c r="BO87" s="2462"/>
      <c r="BP87" s="2504"/>
      <c r="BQ87" s="2483"/>
    </row>
    <row r="88" spans="1:69" ht="39" customHeight="1" x14ac:dyDescent="0.2">
      <c r="A88" s="482"/>
      <c r="B88" s="768"/>
      <c r="C88" s="175"/>
      <c r="D88" s="768"/>
      <c r="G88" s="483"/>
      <c r="I88" s="175"/>
      <c r="J88" s="2550"/>
      <c r="K88" s="2551"/>
      <c r="L88" s="2552"/>
      <c r="M88" s="2554"/>
      <c r="N88" s="2436"/>
      <c r="O88" s="2524"/>
      <c r="P88" s="2537"/>
      <c r="Q88" s="2479"/>
      <c r="R88" s="2544"/>
      <c r="S88" s="2546"/>
      <c r="T88" s="2547"/>
      <c r="U88" s="173" t="s">
        <v>254</v>
      </c>
      <c r="V88" s="738">
        <v>900000</v>
      </c>
      <c r="W88" s="738"/>
      <c r="X88" s="739"/>
      <c r="Y88" s="478">
        <v>20</v>
      </c>
      <c r="Z88" s="473" t="s">
        <v>70</v>
      </c>
      <c r="AA88" s="2450"/>
      <c r="AB88" s="2450"/>
      <c r="AC88" s="2450"/>
      <c r="AD88" s="2450"/>
      <c r="AE88" s="2450"/>
      <c r="AF88" s="2450"/>
      <c r="AG88" s="2450"/>
      <c r="AH88" s="2450"/>
      <c r="AI88" s="2450"/>
      <c r="AJ88" s="2450"/>
      <c r="AK88" s="2450"/>
      <c r="AL88" s="2450"/>
      <c r="AM88" s="2450"/>
      <c r="AN88" s="2450"/>
      <c r="AO88" s="2450"/>
      <c r="AP88" s="2450"/>
      <c r="AQ88" s="2450"/>
      <c r="AR88" s="2450"/>
      <c r="AS88" s="2450"/>
      <c r="AT88" s="2450"/>
      <c r="AU88" s="2450"/>
      <c r="AV88" s="2450"/>
      <c r="AW88" s="2450"/>
      <c r="AX88" s="2450"/>
      <c r="AY88" s="2450"/>
      <c r="AZ88" s="2450"/>
      <c r="BA88" s="2450"/>
      <c r="BB88" s="2450"/>
      <c r="BC88" s="2450"/>
      <c r="BD88" s="2450"/>
      <c r="BE88" s="2450"/>
      <c r="BF88" s="2450"/>
      <c r="BG88" s="2450"/>
      <c r="BH88" s="2450"/>
      <c r="BI88" s="2450"/>
      <c r="BJ88" s="2508"/>
      <c r="BK88" s="2511"/>
      <c r="BL88" s="476"/>
      <c r="BM88" s="2462"/>
      <c r="BN88" s="2504"/>
      <c r="BO88" s="2462"/>
      <c r="BP88" s="2504"/>
      <c r="BQ88" s="2483"/>
    </row>
    <row r="89" spans="1:69" ht="51.75" customHeight="1" x14ac:dyDescent="0.2">
      <c r="A89" s="482"/>
      <c r="B89" s="768"/>
      <c r="C89" s="175"/>
      <c r="D89" s="768"/>
      <c r="G89" s="483"/>
      <c r="I89" s="175"/>
      <c r="J89" s="2549">
        <v>270</v>
      </c>
      <c r="K89" s="2551" t="s">
        <v>258</v>
      </c>
      <c r="L89" s="2557" t="s">
        <v>259</v>
      </c>
      <c r="M89" s="2553">
        <v>12</v>
      </c>
      <c r="N89" s="2436"/>
      <c r="O89" s="2524"/>
      <c r="P89" s="2537"/>
      <c r="Q89" s="2499">
        <f>+(V89+V90)/R85</f>
        <v>0.15882820082943616</v>
      </c>
      <c r="R89" s="2544"/>
      <c r="S89" s="2546"/>
      <c r="T89" s="2547"/>
      <c r="U89" s="173" t="s">
        <v>260</v>
      </c>
      <c r="V89" s="738">
        <v>44100000</v>
      </c>
      <c r="W89" s="738">
        <v>17100000</v>
      </c>
      <c r="X89" s="739">
        <v>5700000</v>
      </c>
      <c r="Y89" s="478">
        <v>20</v>
      </c>
      <c r="Z89" s="473" t="s">
        <v>70</v>
      </c>
      <c r="AA89" s="2450"/>
      <c r="AB89" s="2450"/>
      <c r="AC89" s="2450"/>
      <c r="AD89" s="2450"/>
      <c r="AE89" s="2450"/>
      <c r="AF89" s="2450"/>
      <c r="AG89" s="2450"/>
      <c r="AH89" s="2450"/>
      <c r="AI89" s="2450"/>
      <c r="AJ89" s="2450"/>
      <c r="AK89" s="2450"/>
      <c r="AL89" s="2450"/>
      <c r="AM89" s="2450"/>
      <c r="AN89" s="2450"/>
      <c r="AO89" s="2450"/>
      <c r="AP89" s="2450"/>
      <c r="AQ89" s="2450"/>
      <c r="AR89" s="2450"/>
      <c r="AS89" s="2450"/>
      <c r="AT89" s="2450"/>
      <c r="AU89" s="2450"/>
      <c r="AV89" s="2450"/>
      <c r="AW89" s="2450"/>
      <c r="AX89" s="2450"/>
      <c r="AY89" s="2450"/>
      <c r="AZ89" s="2450"/>
      <c r="BA89" s="2450"/>
      <c r="BB89" s="2450"/>
      <c r="BC89" s="2450"/>
      <c r="BD89" s="2450"/>
      <c r="BE89" s="2450"/>
      <c r="BF89" s="2450"/>
      <c r="BG89" s="2450"/>
      <c r="BH89" s="2450"/>
      <c r="BI89" s="2450"/>
      <c r="BJ89" s="2508"/>
      <c r="BK89" s="2511"/>
      <c r="BL89" s="476"/>
      <c r="BM89" s="2462"/>
      <c r="BN89" s="2504"/>
      <c r="BO89" s="2462"/>
      <c r="BP89" s="2504"/>
      <c r="BQ89" s="2483"/>
    </row>
    <row r="90" spans="1:69" ht="50.25" customHeight="1" x14ac:dyDescent="0.2">
      <c r="A90" s="482"/>
      <c r="B90" s="768"/>
      <c r="C90" s="175"/>
      <c r="D90" s="768"/>
      <c r="G90" s="483"/>
      <c r="I90" s="175"/>
      <c r="J90" s="2550"/>
      <c r="K90" s="2551"/>
      <c r="L90" s="2557"/>
      <c r="M90" s="2554"/>
      <c r="N90" s="2436"/>
      <c r="O90" s="2524"/>
      <c r="P90" s="2537"/>
      <c r="Q90" s="2479"/>
      <c r="R90" s="2544"/>
      <c r="S90" s="2546"/>
      <c r="T90" s="2547"/>
      <c r="U90" s="173" t="s">
        <v>254</v>
      </c>
      <c r="V90" s="738">
        <v>900000</v>
      </c>
      <c r="W90" s="738"/>
      <c r="X90" s="739"/>
      <c r="Y90" s="478">
        <v>20</v>
      </c>
      <c r="Z90" s="473" t="s">
        <v>70</v>
      </c>
      <c r="AA90" s="2450"/>
      <c r="AB90" s="2450"/>
      <c r="AC90" s="2450"/>
      <c r="AD90" s="2450"/>
      <c r="AE90" s="2450"/>
      <c r="AF90" s="2450"/>
      <c r="AG90" s="2450"/>
      <c r="AH90" s="2450"/>
      <c r="AI90" s="2450"/>
      <c r="AJ90" s="2450"/>
      <c r="AK90" s="2450"/>
      <c r="AL90" s="2450"/>
      <c r="AM90" s="2450"/>
      <c r="AN90" s="2450"/>
      <c r="AO90" s="2450"/>
      <c r="AP90" s="2450"/>
      <c r="AQ90" s="2450"/>
      <c r="AR90" s="2450"/>
      <c r="AS90" s="2450"/>
      <c r="AT90" s="2450"/>
      <c r="AU90" s="2450"/>
      <c r="AV90" s="2450"/>
      <c r="AW90" s="2450"/>
      <c r="AX90" s="2450"/>
      <c r="AY90" s="2450"/>
      <c r="AZ90" s="2450"/>
      <c r="BA90" s="2450"/>
      <c r="BB90" s="2450"/>
      <c r="BC90" s="2450"/>
      <c r="BD90" s="2450"/>
      <c r="BE90" s="2450"/>
      <c r="BF90" s="2450"/>
      <c r="BG90" s="2450"/>
      <c r="BH90" s="2450"/>
      <c r="BI90" s="2450"/>
      <c r="BJ90" s="2508"/>
      <c r="BK90" s="2511"/>
      <c r="BL90" s="495" t="s">
        <v>759</v>
      </c>
      <c r="BM90" s="2462"/>
      <c r="BN90" s="2504"/>
      <c r="BO90" s="2462"/>
      <c r="BP90" s="2504"/>
      <c r="BQ90" s="2483"/>
    </row>
    <row r="91" spans="1:69" ht="64.5" customHeight="1" x14ac:dyDescent="0.2">
      <c r="A91" s="482"/>
      <c r="B91" s="768"/>
      <c r="C91" s="175"/>
      <c r="D91" s="768"/>
      <c r="G91" s="483"/>
      <c r="I91" s="175"/>
      <c r="J91" s="2549">
        <v>271</v>
      </c>
      <c r="K91" s="2551" t="s">
        <v>261</v>
      </c>
      <c r="L91" s="2557" t="s">
        <v>259</v>
      </c>
      <c r="M91" s="2553">
        <v>12</v>
      </c>
      <c r="N91" s="2436"/>
      <c r="O91" s="2524"/>
      <c r="P91" s="2537"/>
      <c r="Q91" s="2499">
        <f>+(V91+V92)/R85</f>
        <v>0.15882820082943616</v>
      </c>
      <c r="R91" s="2544"/>
      <c r="S91" s="2546"/>
      <c r="T91" s="2547"/>
      <c r="U91" s="176" t="s">
        <v>262</v>
      </c>
      <c r="V91" s="738">
        <v>44100000</v>
      </c>
      <c r="W91" s="738">
        <v>9000000</v>
      </c>
      <c r="X91" s="739">
        <v>3000000</v>
      </c>
      <c r="Y91" s="478">
        <v>20</v>
      </c>
      <c r="Z91" s="473" t="s">
        <v>70</v>
      </c>
      <c r="AA91" s="2450"/>
      <c r="AB91" s="2450"/>
      <c r="AC91" s="2450"/>
      <c r="AD91" s="2450"/>
      <c r="AE91" s="2450"/>
      <c r="AF91" s="2450"/>
      <c r="AG91" s="2450"/>
      <c r="AH91" s="2450"/>
      <c r="AI91" s="2450"/>
      <c r="AJ91" s="2450"/>
      <c r="AK91" s="2450"/>
      <c r="AL91" s="2450"/>
      <c r="AM91" s="2450"/>
      <c r="AN91" s="2450"/>
      <c r="AO91" s="2450"/>
      <c r="AP91" s="2450"/>
      <c r="AQ91" s="2450"/>
      <c r="AR91" s="2450"/>
      <c r="AS91" s="2450"/>
      <c r="AT91" s="2450"/>
      <c r="AU91" s="2450"/>
      <c r="AV91" s="2450"/>
      <c r="AW91" s="2450"/>
      <c r="AX91" s="2450"/>
      <c r="AY91" s="2450"/>
      <c r="AZ91" s="2450"/>
      <c r="BA91" s="2450"/>
      <c r="BB91" s="2450"/>
      <c r="BC91" s="2450"/>
      <c r="BD91" s="2450"/>
      <c r="BE91" s="2450"/>
      <c r="BF91" s="2450"/>
      <c r="BG91" s="2450"/>
      <c r="BH91" s="2450"/>
      <c r="BI91" s="2450"/>
      <c r="BJ91" s="2508"/>
      <c r="BK91" s="2511"/>
      <c r="BL91" s="476"/>
      <c r="BM91" s="2462"/>
      <c r="BN91" s="2504"/>
      <c r="BO91" s="2462"/>
      <c r="BP91" s="2504"/>
      <c r="BQ91" s="2483"/>
    </row>
    <row r="92" spans="1:69" ht="60.75" customHeight="1" x14ac:dyDescent="0.2">
      <c r="A92" s="482"/>
      <c r="B92" s="768"/>
      <c r="C92" s="175"/>
      <c r="D92" s="768"/>
      <c r="G92" s="483"/>
      <c r="I92" s="175"/>
      <c r="J92" s="2550"/>
      <c r="K92" s="2551"/>
      <c r="L92" s="2557"/>
      <c r="M92" s="2554"/>
      <c r="N92" s="2436"/>
      <c r="O92" s="2524"/>
      <c r="P92" s="2537"/>
      <c r="Q92" s="2479"/>
      <c r="R92" s="2544"/>
      <c r="S92" s="2546"/>
      <c r="T92" s="2547"/>
      <c r="U92" s="173" t="s">
        <v>254</v>
      </c>
      <c r="V92" s="738">
        <v>900000</v>
      </c>
      <c r="W92" s="738"/>
      <c r="X92" s="739"/>
      <c r="Y92" s="478">
        <v>20</v>
      </c>
      <c r="Z92" s="473" t="s">
        <v>70</v>
      </c>
      <c r="AA92" s="2450"/>
      <c r="AB92" s="2450"/>
      <c r="AC92" s="2450"/>
      <c r="AD92" s="2450"/>
      <c r="AE92" s="2450"/>
      <c r="AF92" s="2450"/>
      <c r="AG92" s="2450"/>
      <c r="AH92" s="2450"/>
      <c r="AI92" s="2450"/>
      <c r="AJ92" s="2450"/>
      <c r="AK92" s="2450"/>
      <c r="AL92" s="2450"/>
      <c r="AM92" s="2450"/>
      <c r="AN92" s="2450"/>
      <c r="AO92" s="2450"/>
      <c r="AP92" s="2450"/>
      <c r="AQ92" s="2450"/>
      <c r="AR92" s="2450"/>
      <c r="AS92" s="2450"/>
      <c r="AT92" s="2450"/>
      <c r="AU92" s="2450"/>
      <c r="AV92" s="2450"/>
      <c r="AW92" s="2450"/>
      <c r="AX92" s="2450"/>
      <c r="AY92" s="2450"/>
      <c r="AZ92" s="2450"/>
      <c r="BA92" s="2450"/>
      <c r="BB92" s="2450"/>
      <c r="BC92" s="2450"/>
      <c r="BD92" s="2450"/>
      <c r="BE92" s="2450"/>
      <c r="BF92" s="2450"/>
      <c r="BG92" s="2450"/>
      <c r="BH92" s="2450"/>
      <c r="BI92" s="2450"/>
      <c r="BJ92" s="2508"/>
      <c r="BK92" s="2511"/>
      <c r="BL92" s="495" t="s">
        <v>758</v>
      </c>
      <c r="BM92" s="2462"/>
      <c r="BN92" s="2504"/>
      <c r="BO92" s="2462"/>
      <c r="BP92" s="2504"/>
      <c r="BQ92" s="2483"/>
    </row>
    <row r="93" spans="1:69" ht="47.25" customHeight="1" x14ac:dyDescent="0.2">
      <c r="A93" s="482"/>
      <c r="B93" s="768"/>
      <c r="C93" s="175"/>
      <c r="D93" s="768"/>
      <c r="G93" s="483"/>
      <c r="I93" s="175"/>
      <c r="J93" s="2549">
        <v>272</v>
      </c>
      <c r="K93" s="2551" t="s">
        <v>263</v>
      </c>
      <c r="L93" s="2557" t="s">
        <v>259</v>
      </c>
      <c r="M93" s="2553">
        <v>12</v>
      </c>
      <c r="N93" s="2555"/>
      <c r="O93" s="2556"/>
      <c r="P93" s="2541"/>
      <c r="Q93" s="2499">
        <f>+(V93+V94)/R85</f>
        <v>0.15882820082943616</v>
      </c>
      <c r="R93" s="2545"/>
      <c r="S93" s="2546"/>
      <c r="T93" s="2547"/>
      <c r="U93" s="176" t="s">
        <v>264</v>
      </c>
      <c r="V93" s="738">
        <v>44100000</v>
      </c>
      <c r="W93" s="738"/>
      <c r="X93" s="739"/>
      <c r="Y93" s="478">
        <v>20</v>
      </c>
      <c r="Z93" s="473" t="s">
        <v>70</v>
      </c>
      <c r="AA93" s="2450"/>
      <c r="AB93" s="2450"/>
      <c r="AC93" s="2450"/>
      <c r="AD93" s="2450"/>
      <c r="AE93" s="2450"/>
      <c r="AF93" s="2450"/>
      <c r="AG93" s="2450"/>
      <c r="AH93" s="2450"/>
      <c r="AI93" s="2450"/>
      <c r="AJ93" s="2450"/>
      <c r="AK93" s="2450"/>
      <c r="AL93" s="2450"/>
      <c r="AM93" s="2450"/>
      <c r="AN93" s="2450"/>
      <c r="AO93" s="2450"/>
      <c r="AP93" s="2450"/>
      <c r="AQ93" s="2450"/>
      <c r="AR93" s="2450"/>
      <c r="AS93" s="2450"/>
      <c r="AT93" s="2450"/>
      <c r="AU93" s="2450"/>
      <c r="AV93" s="2450"/>
      <c r="AW93" s="2450"/>
      <c r="AX93" s="2450"/>
      <c r="AY93" s="2450"/>
      <c r="AZ93" s="2450"/>
      <c r="BA93" s="2450"/>
      <c r="BB93" s="2450"/>
      <c r="BC93" s="2450"/>
      <c r="BD93" s="2450"/>
      <c r="BE93" s="2450"/>
      <c r="BF93" s="2450"/>
      <c r="BG93" s="2450"/>
      <c r="BH93" s="2450"/>
      <c r="BI93" s="2450"/>
      <c r="BJ93" s="2508"/>
      <c r="BK93" s="2511"/>
      <c r="BL93" s="476"/>
      <c r="BM93" s="2522"/>
      <c r="BN93" s="2504"/>
      <c r="BO93" s="2522"/>
      <c r="BP93" s="2504"/>
      <c r="BQ93" s="2465"/>
    </row>
    <row r="94" spans="1:69" ht="57.75" customHeight="1" x14ac:dyDescent="0.2">
      <c r="A94" s="482"/>
      <c r="B94" s="768"/>
      <c r="C94" s="175"/>
      <c r="D94" s="768"/>
      <c r="G94" s="483"/>
      <c r="I94" s="175"/>
      <c r="J94" s="2550"/>
      <c r="K94" s="2551"/>
      <c r="L94" s="2557"/>
      <c r="M94" s="2554"/>
      <c r="N94" s="2555"/>
      <c r="O94" s="2556"/>
      <c r="P94" s="2541"/>
      <c r="Q94" s="2479"/>
      <c r="R94" s="2545"/>
      <c r="S94" s="2546"/>
      <c r="T94" s="2547"/>
      <c r="U94" s="173" t="s">
        <v>254</v>
      </c>
      <c r="V94" s="738">
        <v>900000</v>
      </c>
      <c r="W94" s="738"/>
      <c r="X94" s="738"/>
      <c r="Y94" s="478">
        <v>20</v>
      </c>
      <c r="Z94" s="473" t="s">
        <v>70</v>
      </c>
      <c r="AA94" s="2450"/>
      <c r="AB94" s="2450"/>
      <c r="AC94" s="2450"/>
      <c r="AD94" s="2450"/>
      <c r="AE94" s="2450"/>
      <c r="AF94" s="2450"/>
      <c r="AG94" s="2450"/>
      <c r="AH94" s="2450"/>
      <c r="AI94" s="2450"/>
      <c r="AJ94" s="2450"/>
      <c r="AK94" s="2450"/>
      <c r="AL94" s="2450"/>
      <c r="AM94" s="2450"/>
      <c r="AN94" s="2450"/>
      <c r="AO94" s="2450"/>
      <c r="AP94" s="2450"/>
      <c r="AQ94" s="2450"/>
      <c r="AR94" s="2450"/>
      <c r="AS94" s="2450"/>
      <c r="AT94" s="2450"/>
      <c r="AU94" s="2450"/>
      <c r="AV94" s="2450"/>
      <c r="AW94" s="2450"/>
      <c r="AX94" s="2450"/>
      <c r="AY94" s="2450"/>
      <c r="AZ94" s="2450"/>
      <c r="BA94" s="2450"/>
      <c r="BB94" s="2450"/>
      <c r="BC94" s="2450"/>
      <c r="BD94" s="2450"/>
      <c r="BE94" s="2450"/>
      <c r="BF94" s="2450"/>
      <c r="BG94" s="2450"/>
      <c r="BH94" s="2450"/>
      <c r="BI94" s="2450"/>
      <c r="BJ94" s="2508"/>
      <c r="BK94" s="2511"/>
      <c r="BL94" s="476"/>
      <c r="BM94" s="2522"/>
      <c r="BN94" s="2504"/>
      <c r="BO94" s="2522"/>
      <c r="BP94" s="2504"/>
      <c r="BQ94" s="2465"/>
    </row>
    <row r="95" spans="1:69" ht="78.75" customHeight="1" x14ac:dyDescent="0.2">
      <c r="A95" s="482"/>
      <c r="B95" s="768"/>
      <c r="C95" s="175"/>
      <c r="D95" s="768"/>
      <c r="G95" s="483"/>
      <c r="I95" s="175"/>
      <c r="J95" s="177">
        <v>273</v>
      </c>
      <c r="K95" s="54" t="s">
        <v>265</v>
      </c>
      <c r="L95" s="490" t="s">
        <v>256</v>
      </c>
      <c r="M95" s="178">
        <v>12</v>
      </c>
      <c r="N95" s="2555"/>
      <c r="O95" s="2556"/>
      <c r="P95" s="2541"/>
      <c r="Q95" s="475">
        <f>+(V95)/R85</f>
        <v>4.7030795023383039E-2</v>
      </c>
      <c r="R95" s="2545"/>
      <c r="S95" s="2546"/>
      <c r="T95" s="2547"/>
      <c r="U95" s="173" t="s">
        <v>254</v>
      </c>
      <c r="V95" s="832">
        <v>13325000</v>
      </c>
      <c r="W95" s="832"/>
      <c r="X95" s="832"/>
      <c r="Y95" s="478">
        <v>20</v>
      </c>
      <c r="Z95" s="473" t="s">
        <v>70</v>
      </c>
      <c r="AA95" s="2450"/>
      <c r="AB95" s="2450"/>
      <c r="AC95" s="2450"/>
      <c r="AD95" s="2450"/>
      <c r="AE95" s="2450"/>
      <c r="AF95" s="2450"/>
      <c r="AG95" s="2450"/>
      <c r="AH95" s="2450"/>
      <c r="AI95" s="2450"/>
      <c r="AJ95" s="2450"/>
      <c r="AK95" s="2450"/>
      <c r="AL95" s="2450"/>
      <c r="AM95" s="2450"/>
      <c r="AN95" s="2450"/>
      <c r="AO95" s="2450"/>
      <c r="AP95" s="2450"/>
      <c r="AQ95" s="2450"/>
      <c r="AR95" s="2450"/>
      <c r="AS95" s="2450"/>
      <c r="AT95" s="2450"/>
      <c r="AU95" s="2450"/>
      <c r="AV95" s="2450"/>
      <c r="AW95" s="2450"/>
      <c r="AX95" s="2450"/>
      <c r="AY95" s="2450"/>
      <c r="AZ95" s="2450"/>
      <c r="BA95" s="2450"/>
      <c r="BB95" s="2450"/>
      <c r="BC95" s="2450"/>
      <c r="BD95" s="2450"/>
      <c r="BE95" s="2450"/>
      <c r="BF95" s="2450"/>
      <c r="BG95" s="2450"/>
      <c r="BH95" s="2450"/>
      <c r="BI95" s="2450"/>
      <c r="BJ95" s="2508"/>
      <c r="BK95" s="2511"/>
      <c r="BL95" s="476"/>
      <c r="BM95" s="2522"/>
      <c r="BN95" s="2504"/>
      <c r="BO95" s="2522"/>
      <c r="BP95" s="2504"/>
      <c r="BQ95" s="2465"/>
    </row>
    <row r="96" spans="1:69" ht="28.5" x14ac:dyDescent="0.2">
      <c r="A96" s="482"/>
      <c r="B96" s="768"/>
      <c r="C96" s="175"/>
      <c r="D96" s="768"/>
      <c r="G96" s="483"/>
      <c r="I96" s="175"/>
      <c r="J96" s="2549">
        <v>274</v>
      </c>
      <c r="K96" s="2551" t="s">
        <v>266</v>
      </c>
      <c r="L96" s="2557" t="s">
        <v>256</v>
      </c>
      <c r="M96" s="2553">
        <v>12</v>
      </c>
      <c r="N96" s="2555"/>
      <c r="O96" s="2556"/>
      <c r="P96" s="2541"/>
      <c r="Q96" s="2499">
        <f>+(V96+V97)/R85</f>
        <v>0.15882820082943616</v>
      </c>
      <c r="R96" s="2545"/>
      <c r="S96" s="2546"/>
      <c r="T96" s="2547"/>
      <c r="U96" s="173" t="s">
        <v>267</v>
      </c>
      <c r="V96" s="832">
        <v>44100000</v>
      </c>
      <c r="W96" s="832"/>
      <c r="X96" s="832"/>
      <c r="Y96" s="478">
        <v>20</v>
      </c>
      <c r="Z96" s="473" t="s">
        <v>70</v>
      </c>
      <c r="AA96" s="2450"/>
      <c r="AB96" s="2450"/>
      <c r="AC96" s="2450"/>
      <c r="AD96" s="2450"/>
      <c r="AE96" s="2450"/>
      <c r="AF96" s="2450"/>
      <c r="AG96" s="2450"/>
      <c r="AH96" s="2450"/>
      <c r="AI96" s="2450"/>
      <c r="AJ96" s="2450"/>
      <c r="AK96" s="2450"/>
      <c r="AL96" s="2450"/>
      <c r="AM96" s="2450"/>
      <c r="AN96" s="2450"/>
      <c r="AO96" s="2450"/>
      <c r="AP96" s="2450"/>
      <c r="AQ96" s="2450"/>
      <c r="AR96" s="2450"/>
      <c r="AS96" s="2450"/>
      <c r="AT96" s="2450"/>
      <c r="AU96" s="2450"/>
      <c r="AV96" s="2450"/>
      <c r="AW96" s="2450"/>
      <c r="AX96" s="2450"/>
      <c r="AY96" s="2450"/>
      <c r="AZ96" s="2450"/>
      <c r="BA96" s="2450"/>
      <c r="BB96" s="2450"/>
      <c r="BC96" s="2450"/>
      <c r="BD96" s="2450"/>
      <c r="BE96" s="2450"/>
      <c r="BF96" s="2450"/>
      <c r="BG96" s="2450"/>
      <c r="BH96" s="2450"/>
      <c r="BI96" s="2450"/>
      <c r="BJ96" s="2508"/>
      <c r="BK96" s="2511"/>
      <c r="BL96" s="476"/>
      <c r="BM96" s="2522"/>
      <c r="BN96" s="2504"/>
      <c r="BO96" s="2522"/>
      <c r="BP96" s="2504"/>
      <c r="BQ96" s="2465"/>
    </row>
    <row r="97" spans="1:89" ht="42" customHeight="1" thickBot="1" x14ac:dyDescent="0.25">
      <c r="A97" s="833"/>
      <c r="B97" s="834"/>
      <c r="C97" s="835"/>
      <c r="D97" s="768"/>
      <c r="G97" s="483"/>
      <c r="I97" s="175"/>
      <c r="J97" s="2558"/>
      <c r="K97" s="2551"/>
      <c r="L97" s="2557"/>
      <c r="M97" s="2559"/>
      <c r="N97" s="2555"/>
      <c r="O97" s="2556"/>
      <c r="P97" s="2541"/>
      <c r="Q97" s="2560"/>
      <c r="R97" s="2545"/>
      <c r="S97" s="2546"/>
      <c r="T97" s="2547"/>
      <c r="U97" s="173" t="s">
        <v>254</v>
      </c>
      <c r="V97" s="836">
        <v>900000</v>
      </c>
      <c r="W97" s="836"/>
      <c r="X97" s="836"/>
      <c r="Y97" s="478">
        <v>20</v>
      </c>
      <c r="Z97" s="473" t="s">
        <v>70</v>
      </c>
      <c r="AA97" s="2548"/>
      <c r="AB97" s="2548"/>
      <c r="AC97" s="2548"/>
      <c r="AD97" s="2548"/>
      <c r="AE97" s="2548"/>
      <c r="AF97" s="2548"/>
      <c r="AG97" s="2548"/>
      <c r="AH97" s="2548"/>
      <c r="AI97" s="2548"/>
      <c r="AJ97" s="2548"/>
      <c r="AK97" s="2548"/>
      <c r="AL97" s="2548"/>
      <c r="AM97" s="2548"/>
      <c r="AN97" s="2548"/>
      <c r="AO97" s="2548"/>
      <c r="AP97" s="2548"/>
      <c r="AQ97" s="2548"/>
      <c r="AR97" s="2548"/>
      <c r="AS97" s="2548"/>
      <c r="AT97" s="2548"/>
      <c r="AU97" s="2548"/>
      <c r="AV97" s="2548"/>
      <c r="AW97" s="2548"/>
      <c r="AX97" s="2548"/>
      <c r="AY97" s="2548"/>
      <c r="AZ97" s="2548"/>
      <c r="BA97" s="2548"/>
      <c r="BB97" s="2548"/>
      <c r="BC97" s="2548"/>
      <c r="BD97" s="2548"/>
      <c r="BE97" s="2548"/>
      <c r="BF97" s="2548"/>
      <c r="BG97" s="2548"/>
      <c r="BH97" s="2548"/>
      <c r="BI97" s="2548"/>
      <c r="BJ97" s="2562"/>
      <c r="BK97" s="2563"/>
      <c r="BL97" s="476"/>
      <c r="BM97" s="2522"/>
      <c r="BN97" s="2561"/>
      <c r="BO97" s="2522"/>
      <c r="BP97" s="2561"/>
      <c r="BQ97" s="2465"/>
    </row>
    <row r="98" spans="1:89" ht="39.75" customHeight="1" thickBot="1" x14ac:dyDescent="0.25">
      <c r="A98" s="770"/>
      <c r="B98" s="771"/>
      <c r="C98" s="771"/>
      <c r="D98" s="179"/>
      <c r="E98" s="179"/>
      <c r="F98" s="179"/>
      <c r="G98" s="179"/>
      <c r="H98" s="179"/>
      <c r="I98" s="179"/>
      <c r="J98" s="180"/>
      <c r="K98" s="187"/>
      <c r="L98" s="777"/>
      <c r="M98" s="181"/>
      <c r="N98" s="182" t="s">
        <v>93</v>
      </c>
      <c r="O98" s="183"/>
      <c r="P98" s="184"/>
      <c r="Q98" s="185"/>
      <c r="R98" s="727">
        <f>SUM(R9:R97)</f>
        <v>1355217000</v>
      </c>
      <c r="S98" s="186"/>
      <c r="T98" s="187"/>
      <c r="U98" s="188"/>
      <c r="V98" s="740">
        <f>SUM(V9:V97)</f>
        <v>1355217000</v>
      </c>
      <c r="W98" s="740">
        <f>SUM(W9:W97)</f>
        <v>270768332</v>
      </c>
      <c r="X98" s="740">
        <f>SUM(X9:X97)</f>
        <v>57800000</v>
      </c>
      <c r="Y98" s="189"/>
      <c r="Z98" s="190"/>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837">
        <f>SUM(BG9:BG97)</f>
        <v>20</v>
      </c>
      <c r="BH98" s="740">
        <f>SUM(BH9:BH97)</f>
        <v>270768332</v>
      </c>
      <c r="BI98" s="740">
        <f>SUM(BI9:BI97)</f>
        <v>57800000</v>
      </c>
      <c r="BJ98" s="804">
        <f>BI98/BH98</f>
        <v>0.21346661765453429</v>
      </c>
      <c r="BK98" s="191"/>
      <c r="BL98" s="191"/>
      <c r="BM98" s="192"/>
      <c r="BN98" s="192"/>
      <c r="BO98" s="193"/>
      <c r="BP98" s="193"/>
      <c r="BQ98" s="194"/>
    </row>
    <row r="99" spans="1:89" ht="39.75" customHeight="1" x14ac:dyDescent="0.25">
      <c r="C99" s="196"/>
      <c r="D99" s="196"/>
      <c r="V99" s="203"/>
      <c r="W99" s="203"/>
      <c r="X99" s="203"/>
      <c r="BH99" s="805"/>
    </row>
    <row r="100" spans="1:89" s="197" customFormat="1" ht="39.75" customHeight="1" x14ac:dyDescent="0.2">
      <c r="A100" s="195"/>
      <c r="B100" s="484"/>
      <c r="C100" s="484"/>
      <c r="D100" s="484"/>
      <c r="E100" s="484"/>
      <c r="F100" s="484"/>
      <c r="G100" s="484"/>
      <c r="H100" s="484"/>
      <c r="I100" s="484"/>
      <c r="J100" s="89"/>
      <c r="L100" s="198"/>
      <c r="M100" s="140"/>
      <c r="N100" s="199"/>
      <c r="O100" s="199"/>
      <c r="P100" s="140"/>
      <c r="Q100" s="200"/>
      <c r="R100" s="207"/>
      <c r="S100" s="208"/>
      <c r="V100" s="209"/>
      <c r="W100" s="209"/>
      <c r="X100" s="209"/>
      <c r="Y100" s="204"/>
      <c r="Z100" s="103"/>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05"/>
      <c r="BN100" s="205"/>
      <c r="BO100" s="206"/>
      <c r="BP100" s="206"/>
      <c r="BQ100" s="86"/>
      <c r="BR100" s="2"/>
      <c r="BS100" s="2"/>
      <c r="BT100" s="2"/>
      <c r="BU100" s="2"/>
      <c r="BV100" s="2"/>
      <c r="BW100" s="2"/>
      <c r="BX100" s="2"/>
      <c r="BY100" s="2"/>
      <c r="BZ100" s="2"/>
      <c r="CA100" s="2"/>
      <c r="CB100" s="2"/>
      <c r="CC100" s="2"/>
      <c r="CD100" s="2"/>
      <c r="CE100" s="2"/>
      <c r="CF100" s="2"/>
      <c r="CG100" s="2"/>
      <c r="CH100" s="2"/>
      <c r="CI100" s="2"/>
      <c r="CJ100" s="2"/>
      <c r="CK100" s="2"/>
    </row>
    <row r="101" spans="1:89" s="197" customFormat="1" ht="17.25" customHeight="1" x14ac:dyDescent="0.25">
      <c r="A101" s="195"/>
      <c r="B101" s="484"/>
      <c r="C101" s="484"/>
      <c r="D101" s="484"/>
      <c r="E101" s="484"/>
      <c r="F101" s="484"/>
      <c r="G101" s="484"/>
      <c r="H101" s="484"/>
      <c r="I101" s="484"/>
      <c r="J101" s="89"/>
      <c r="L101" s="198"/>
      <c r="M101" s="140"/>
      <c r="N101" s="838" t="s">
        <v>268</v>
      </c>
      <c r="O101" s="838"/>
      <c r="P101" s="839"/>
      <c r="Q101" s="210"/>
      <c r="R101" s="211"/>
      <c r="S101" s="212"/>
      <c r="V101" s="209"/>
      <c r="W101" s="209"/>
      <c r="X101" s="209"/>
      <c r="Y101" s="204"/>
      <c r="Z101" s="103"/>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05"/>
      <c r="BN101" s="205"/>
      <c r="BO101" s="206"/>
      <c r="BP101" s="206"/>
      <c r="BQ101" s="86"/>
      <c r="BR101" s="2"/>
      <c r="BS101" s="2"/>
      <c r="BT101" s="2"/>
      <c r="BU101" s="2"/>
      <c r="BV101" s="2"/>
      <c r="BW101" s="2"/>
      <c r="BX101" s="2"/>
      <c r="BY101" s="2"/>
      <c r="BZ101" s="2"/>
      <c r="CA101" s="2"/>
      <c r="CB101" s="2"/>
      <c r="CC101" s="2"/>
      <c r="CD101" s="2"/>
      <c r="CE101" s="2"/>
      <c r="CF101" s="2"/>
      <c r="CG101" s="2"/>
      <c r="CH101" s="2"/>
      <c r="CI101" s="2"/>
      <c r="CJ101" s="2"/>
      <c r="CK101" s="2"/>
    </row>
    <row r="102" spans="1:89" s="197" customFormat="1" ht="17.25" customHeight="1" x14ac:dyDescent="0.25">
      <c r="A102" s="195"/>
      <c r="B102" s="484"/>
      <c r="C102" s="484"/>
      <c r="D102" s="484"/>
      <c r="E102" s="484"/>
      <c r="F102" s="484"/>
      <c r="G102" s="484"/>
      <c r="H102" s="484"/>
      <c r="I102" s="484"/>
      <c r="J102" s="89"/>
      <c r="L102" s="198"/>
      <c r="M102" s="140"/>
      <c r="N102" s="211" t="s">
        <v>269</v>
      </c>
      <c r="O102" s="211"/>
      <c r="P102" s="210"/>
      <c r="Q102" s="210"/>
      <c r="R102" s="211"/>
      <c r="S102" s="212"/>
      <c r="V102" s="209"/>
      <c r="W102" s="209"/>
      <c r="X102" s="209"/>
      <c r="Y102" s="204"/>
      <c r="Z102" s="103"/>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05"/>
      <c r="BN102" s="205"/>
      <c r="BO102" s="206"/>
      <c r="BP102" s="206"/>
      <c r="BQ102" s="86"/>
      <c r="BR102" s="2"/>
      <c r="BS102" s="2"/>
      <c r="BT102" s="2"/>
      <c r="BU102" s="2"/>
      <c r="BV102" s="2"/>
      <c r="BW102" s="2"/>
      <c r="BX102" s="2"/>
      <c r="BY102" s="2"/>
      <c r="BZ102" s="2"/>
      <c r="CA102" s="2"/>
      <c r="CB102" s="2"/>
      <c r="CC102" s="2"/>
      <c r="CD102" s="2"/>
      <c r="CE102" s="2"/>
      <c r="CF102" s="2"/>
      <c r="CG102" s="2"/>
      <c r="CH102" s="2"/>
      <c r="CI102" s="2"/>
      <c r="CJ102" s="2"/>
      <c r="CK102" s="2"/>
    </row>
  </sheetData>
  <sheetProtection algorithmName="SHA-512" hashValue="I1xc34YsXGcNDI4KnFmfhLwr6qH4MZe+WouLsbKYhjCe6HeYNp3aaYo+JgvABBbKJE4DzRs543aF58fKOHvdYw==" saltValue="YrquPkeqs1oggPIxp/kltw==" spinCount="100000" sheet="1" objects="1" scenarios="1"/>
  <mergeCells count="602">
    <mergeCell ref="A1:BO4"/>
    <mergeCell ref="J91:J92"/>
    <mergeCell ref="K91:K92"/>
    <mergeCell ref="L91:L92"/>
    <mergeCell ref="M91:M92"/>
    <mergeCell ref="Q91:Q92"/>
    <mergeCell ref="J93:J94"/>
    <mergeCell ref="K93:K94"/>
    <mergeCell ref="L93:L94"/>
    <mergeCell ref="M93:M94"/>
    <mergeCell ref="Q93:Q94"/>
    <mergeCell ref="BM85:BM97"/>
    <mergeCell ref="BN85:BN97"/>
    <mergeCell ref="BO85:BO97"/>
    <mergeCell ref="AY85:AY97"/>
    <mergeCell ref="AN85:AN97"/>
    <mergeCell ref="AO85:AO97"/>
    <mergeCell ref="AP85:AP97"/>
    <mergeCell ref="AQ85:AQ97"/>
    <mergeCell ref="AR85:AR97"/>
    <mergeCell ref="AS85:AS97"/>
    <mergeCell ref="AH85:AH97"/>
    <mergeCell ref="AI85:AI97"/>
    <mergeCell ref="AJ85:AJ97"/>
    <mergeCell ref="BP85:BP97"/>
    <mergeCell ref="BQ85:BQ97"/>
    <mergeCell ref="J87:J88"/>
    <mergeCell ref="K87:K88"/>
    <mergeCell ref="L87:L88"/>
    <mergeCell ref="M87:M88"/>
    <mergeCell ref="Q87:Q88"/>
    <mergeCell ref="BF85:BF97"/>
    <mergeCell ref="BG85:BG97"/>
    <mergeCell ref="BH85:BH97"/>
    <mergeCell ref="BI85:BI97"/>
    <mergeCell ref="BJ85:BJ97"/>
    <mergeCell ref="BK85:BK97"/>
    <mergeCell ref="AZ85:AZ97"/>
    <mergeCell ref="BA85:BA97"/>
    <mergeCell ref="BB85:BB97"/>
    <mergeCell ref="BC85:BC97"/>
    <mergeCell ref="BD85:BD97"/>
    <mergeCell ref="BE85:BE97"/>
    <mergeCell ref="AT85:AT97"/>
    <mergeCell ref="AU85:AU97"/>
    <mergeCell ref="AV85:AV97"/>
    <mergeCell ref="AW85:AW97"/>
    <mergeCell ref="AX85:AX97"/>
    <mergeCell ref="AK85:AK97"/>
    <mergeCell ref="AL85:AL97"/>
    <mergeCell ref="AM85:AM97"/>
    <mergeCell ref="AB85:AB97"/>
    <mergeCell ref="AC85:AC97"/>
    <mergeCell ref="AD85:AD97"/>
    <mergeCell ref="AE85:AE97"/>
    <mergeCell ref="AF85:AF97"/>
    <mergeCell ref="AG85:AG97"/>
    <mergeCell ref="P85:P97"/>
    <mergeCell ref="Q85:Q86"/>
    <mergeCell ref="R85:R97"/>
    <mergeCell ref="S85:S97"/>
    <mergeCell ref="T85:T97"/>
    <mergeCell ref="AA85:AA97"/>
    <mergeCell ref="Q89:Q90"/>
    <mergeCell ref="J85:J86"/>
    <mergeCell ref="K85:K86"/>
    <mergeCell ref="L85:L86"/>
    <mergeCell ref="M85:M86"/>
    <mergeCell ref="N85:N97"/>
    <mergeCell ref="O85:O97"/>
    <mergeCell ref="J89:J90"/>
    <mergeCell ref="K89:K90"/>
    <mergeCell ref="L89:L90"/>
    <mergeCell ref="M89:M90"/>
    <mergeCell ref="J96:J97"/>
    <mergeCell ref="K96:K97"/>
    <mergeCell ref="L96:L97"/>
    <mergeCell ref="M96:M97"/>
    <mergeCell ref="Q96:Q97"/>
    <mergeCell ref="BK67:BK84"/>
    <mergeCell ref="BM67:BM84"/>
    <mergeCell ref="BN67:BN84"/>
    <mergeCell ref="BO67:BO84"/>
    <mergeCell ref="BP67:BP84"/>
    <mergeCell ref="BQ67:BQ84"/>
    <mergeCell ref="BE67:BE84"/>
    <mergeCell ref="BF67:BF84"/>
    <mergeCell ref="BG67:BG84"/>
    <mergeCell ref="BH67:BH84"/>
    <mergeCell ref="BI67:BI84"/>
    <mergeCell ref="BJ67:BJ84"/>
    <mergeCell ref="AY67:AY84"/>
    <mergeCell ref="AZ67:AZ84"/>
    <mergeCell ref="BA67:BA84"/>
    <mergeCell ref="BB67:BB84"/>
    <mergeCell ref="BC67:BC84"/>
    <mergeCell ref="BD67:BD84"/>
    <mergeCell ref="AS67:AS84"/>
    <mergeCell ref="AT67:AT84"/>
    <mergeCell ref="AU67:AU84"/>
    <mergeCell ref="AV67:AV84"/>
    <mergeCell ref="AW67:AW84"/>
    <mergeCell ref="AX67:AX84"/>
    <mergeCell ref="AM67:AM84"/>
    <mergeCell ref="AN67:AN84"/>
    <mergeCell ref="AO67:AO84"/>
    <mergeCell ref="AP67:AP84"/>
    <mergeCell ref="AQ67:AQ84"/>
    <mergeCell ref="AR67:AR84"/>
    <mergeCell ref="AG67:AG84"/>
    <mergeCell ref="AH67:AH84"/>
    <mergeCell ref="AI67:AI84"/>
    <mergeCell ref="AJ67:AJ84"/>
    <mergeCell ref="AK67:AK84"/>
    <mergeCell ref="AL67:AL84"/>
    <mergeCell ref="AA67:AA84"/>
    <mergeCell ref="AB67:AB84"/>
    <mergeCell ref="AC67:AC84"/>
    <mergeCell ref="AD67:AD84"/>
    <mergeCell ref="AE67:AE84"/>
    <mergeCell ref="AF67:AF84"/>
    <mergeCell ref="O67:O84"/>
    <mergeCell ref="P67:P84"/>
    <mergeCell ref="Q67:Q84"/>
    <mergeCell ref="R67:R84"/>
    <mergeCell ref="S67:S84"/>
    <mergeCell ref="T67:T72"/>
    <mergeCell ref="T73:T76"/>
    <mergeCell ref="T77:T84"/>
    <mergeCell ref="H67:I84"/>
    <mergeCell ref="J67:J84"/>
    <mergeCell ref="K67:K84"/>
    <mergeCell ref="L67:L84"/>
    <mergeCell ref="M67:M84"/>
    <mergeCell ref="N67:N84"/>
    <mergeCell ref="BM65:BM66"/>
    <mergeCell ref="BN65:BN66"/>
    <mergeCell ref="BO65:BO66"/>
    <mergeCell ref="AZ65:AZ66"/>
    <mergeCell ref="AO65:AO66"/>
    <mergeCell ref="AP65:AP66"/>
    <mergeCell ref="AQ65:AQ66"/>
    <mergeCell ref="AR65:AR66"/>
    <mergeCell ref="AS65:AS66"/>
    <mergeCell ref="AT65:AT66"/>
    <mergeCell ref="AI65:AI66"/>
    <mergeCell ref="AJ65:AJ66"/>
    <mergeCell ref="AK65:AK66"/>
    <mergeCell ref="AL65:AL66"/>
    <mergeCell ref="AM65:AM66"/>
    <mergeCell ref="AN65:AN66"/>
    <mergeCell ref="AC65:AC66"/>
    <mergeCell ref="AD65:AD66"/>
    <mergeCell ref="BP65:BP66"/>
    <mergeCell ref="BQ65:BQ66"/>
    <mergeCell ref="A67:A84"/>
    <mergeCell ref="B67:C84"/>
    <mergeCell ref="D67:D84"/>
    <mergeCell ref="E67:F84"/>
    <mergeCell ref="G67:G84"/>
    <mergeCell ref="BG65:BG66"/>
    <mergeCell ref="BH65:BH66"/>
    <mergeCell ref="BI65:BI66"/>
    <mergeCell ref="BJ65:BJ66"/>
    <mergeCell ref="BK65:BK66"/>
    <mergeCell ref="BL65:BL66"/>
    <mergeCell ref="BA65:BA66"/>
    <mergeCell ref="BB65:BB66"/>
    <mergeCell ref="BC65:BC66"/>
    <mergeCell ref="BD65:BD66"/>
    <mergeCell ref="BE65:BE66"/>
    <mergeCell ref="BF65:BF66"/>
    <mergeCell ref="AU65:AU66"/>
    <mergeCell ref="AV65:AV66"/>
    <mergeCell ref="AW65:AW66"/>
    <mergeCell ref="AX65:AX66"/>
    <mergeCell ref="AY65:AY66"/>
    <mergeCell ref="AE65:AE66"/>
    <mergeCell ref="AF65:AF66"/>
    <mergeCell ref="AG65:AG66"/>
    <mergeCell ref="AH65:AH66"/>
    <mergeCell ref="Q65:Q66"/>
    <mergeCell ref="R65:R66"/>
    <mergeCell ref="S65:S66"/>
    <mergeCell ref="T65:T66"/>
    <mergeCell ref="AA65:AA66"/>
    <mergeCell ref="AB65:AB66"/>
    <mergeCell ref="BP59:BP64"/>
    <mergeCell ref="BQ59:BQ64"/>
    <mergeCell ref="T62:T64"/>
    <mergeCell ref="J65:J66"/>
    <mergeCell ref="K65:K66"/>
    <mergeCell ref="L65:L66"/>
    <mergeCell ref="M65:M66"/>
    <mergeCell ref="N65:N66"/>
    <mergeCell ref="O65:O66"/>
    <mergeCell ref="P65:P66"/>
    <mergeCell ref="BJ59:BJ64"/>
    <mergeCell ref="BK59:BK64"/>
    <mergeCell ref="BL59:BL64"/>
    <mergeCell ref="BM59:BM64"/>
    <mergeCell ref="BN59:BN64"/>
    <mergeCell ref="BO59:BO64"/>
    <mergeCell ref="BC59:BC64"/>
    <mergeCell ref="BD59:BD64"/>
    <mergeCell ref="BE59:BE64"/>
    <mergeCell ref="BG59:BG64"/>
    <mergeCell ref="BH59:BH64"/>
    <mergeCell ref="BI59:BI64"/>
    <mergeCell ref="AW59:AW64"/>
    <mergeCell ref="AX59:AX64"/>
    <mergeCell ref="AY59:AY64"/>
    <mergeCell ref="AZ59:AZ64"/>
    <mergeCell ref="BA59:BA64"/>
    <mergeCell ref="BB59:BB64"/>
    <mergeCell ref="AQ59:AQ64"/>
    <mergeCell ref="AR59:AR64"/>
    <mergeCell ref="AS59:AS64"/>
    <mergeCell ref="AT59:AT64"/>
    <mergeCell ref="AU59:AU64"/>
    <mergeCell ref="AV59:AV64"/>
    <mergeCell ref="AK59:AK64"/>
    <mergeCell ref="AL59:AL64"/>
    <mergeCell ref="AM59:AM64"/>
    <mergeCell ref="AN59:AN64"/>
    <mergeCell ref="AO59:AO64"/>
    <mergeCell ref="AP59:AP64"/>
    <mergeCell ref="AE59:AE64"/>
    <mergeCell ref="AF59:AF64"/>
    <mergeCell ref="AG59:AG64"/>
    <mergeCell ref="AH59:AH64"/>
    <mergeCell ref="AI59:AI64"/>
    <mergeCell ref="AJ59:AJ64"/>
    <mergeCell ref="S59:S64"/>
    <mergeCell ref="T59:T61"/>
    <mergeCell ref="AA59:AA64"/>
    <mergeCell ref="AB59:AB64"/>
    <mergeCell ref="AC59:AC64"/>
    <mergeCell ref="AD59:AD64"/>
    <mergeCell ref="M59:M64"/>
    <mergeCell ref="N59:N64"/>
    <mergeCell ref="O59:O64"/>
    <mergeCell ref="P59:P64"/>
    <mergeCell ref="Q59:Q64"/>
    <mergeCell ref="R59:R64"/>
    <mergeCell ref="E59:F64"/>
    <mergeCell ref="G59:G64"/>
    <mergeCell ref="H59:I64"/>
    <mergeCell ref="J59:J64"/>
    <mergeCell ref="K59:K64"/>
    <mergeCell ref="L59:L64"/>
    <mergeCell ref="BL53:BL58"/>
    <mergeCell ref="BM53:BM58"/>
    <mergeCell ref="BN53:BN58"/>
    <mergeCell ref="AZ53:AZ58"/>
    <mergeCell ref="BA53:BA58"/>
    <mergeCell ref="BB53:BB58"/>
    <mergeCell ref="BC53:BC58"/>
    <mergeCell ref="BD53:BD58"/>
    <mergeCell ref="BE53:BE58"/>
    <mergeCell ref="AT53:AT58"/>
    <mergeCell ref="AU53:AU58"/>
    <mergeCell ref="AV53:AV58"/>
    <mergeCell ref="AW53:AW58"/>
    <mergeCell ref="AX53:AX58"/>
    <mergeCell ref="AY53:AY58"/>
    <mergeCell ref="AN53:AN58"/>
    <mergeCell ref="AO53:AO58"/>
    <mergeCell ref="AP53:AP58"/>
    <mergeCell ref="BO53:BO58"/>
    <mergeCell ref="BP53:BP58"/>
    <mergeCell ref="BQ53:BQ58"/>
    <mergeCell ref="BF53:BF58"/>
    <mergeCell ref="BG53:BG58"/>
    <mergeCell ref="BH53:BH58"/>
    <mergeCell ref="BI53:BI58"/>
    <mergeCell ref="BJ53:BJ58"/>
    <mergeCell ref="BK53:BK58"/>
    <mergeCell ref="AQ53:AQ58"/>
    <mergeCell ref="AR53:AR58"/>
    <mergeCell ref="AS53:AS58"/>
    <mergeCell ref="AH53:AH58"/>
    <mergeCell ref="AI53:AI58"/>
    <mergeCell ref="AJ53:AJ58"/>
    <mergeCell ref="AK53:AK58"/>
    <mergeCell ref="AL53:AL58"/>
    <mergeCell ref="AM53:AM58"/>
    <mergeCell ref="AB53:AB58"/>
    <mergeCell ref="AC53:AC58"/>
    <mergeCell ref="AD53:AD58"/>
    <mergeCell ref="AE53:AE58"/>
    <mergeCell ref="AF53:AF58"/>
    <mergeCell ref="AG53:AG58"/>
    <mergeCell ref="P53:P58"/>
    <mergeCell ref="Q53:Q54"/>
    <mergeCell ref="R53:R58"/>
    <mergeCell ref="S53:S58"/>
    <mergeCell ref="T53:T54"/>
    <mergeCell ref="AA53:AA58"/>
    <mergeCell ref="Q55:Q58"/>
    <mergeCell ref="T55:T58"/>
    <mergeCell ref="BQ39:BQ52"/>
    <mergeCell ref="BR39:BR42"/>
    <mergeCell ref="BS39:BS42"/>
    <mergeCell ref="T49:T52"/>
    <mergeCell ref="J53:J54"/>
    <mergeCell ref="K53:K54"/>
    <mergeCell ref="L53:L54"/>
    <mergeCell ref="M53:M54"/>
    <mergeCell ref="N53:N58"/>
    <mergeCell ref="O53:O58"/>
    <mergeCell ref="BK39:BK52"/>
    <mergeCell ref="BL39:BL52"/>
    <mergeCell ref="BM39:BM52"/>
    <mergeCell ref="BN39:BN52"/>
    <mergeCell ref="BO39:BO52"/>
    <mergeCell ref="BP39:BP52"/>
    <mergeCell ref="BE39:BE52"/>
    <mergeCell ref="BF39:BF52"/>
    <mergeCell ref="BG39:BG52"/>
    <mergeCell ref="BH39:BH52"/>
    <mergeCell ref="BI39:BI52"/>
    <mergeCell ref="BJ39:BJ52"/>
    <mergeCell ref="AY39:AY52"/>
    <mergeCell ref="AZ39:AZ52"/>
    <mergeCell ref="BA39:BA52"/>
    <mergeCell ref="BB39:BB52"/>
    <mergeCell ref="BC39:BC52"/>
    <mergeCell ref="BD39:BD52"/>
    <mergeCell ref="AS39:AS52"/>
    <mergeCell ref="AT39:AT52"/>
    <mergeCell ref="AU39:AU52"/>
    <mergeCell ref="AV39:AV52"/>
    <mergeCell ref="AW39:AW52"/>
    <mergeCell ref="AX39:AX52"/>
    <mergeCell ref="AM39:AM52"/>
    <mergeCell ref="AN39:AN52"/>
    <mergeCell ref="AO39:AO52"/>
    <mergeCell ref="AP39:AP52"/>
    <mergeCell ref="AQ39:AQ52"/>
    <mergeCell ref="AR39:AR52"/>
    <mergeCell ref="AG39:AG52"/>
    <mergeCell ref="AH39:AH52"/>
    <mergeCell ref="AI39:AI52"/>
    <mergeCell ref="AJ39:AJ52"/>
    <mergeCell ref="AK39:AK52"/>
    <mergeCell ref="AL39:AL52"/>
    <mergeCell ref="AA39:AA52"/>
    <mergeCell ref="AB39:AB52"/>
    <mergeCell ref="AC39:AC52"/>
    <mergeCell ref="AD39:AD52"/>
    <mergeCell ref="AE39:AE52"/>
    <mergeCell ref="AF39:AF52"/>
    <mergeCell ref="O39:O52"/>
    <mergeCell ref="P39:P52"/>
    <mergeCell ref="Q39:Q52"/>
    <mergeCell ref="R39:R52"/>
    <mergeCell ref="S39:S52"/>
    <mergeCell ref="T39:T48"/>
    <mergeCell ref="H39:I58"/>
    <mergeCell ref="J39:J52"/>
    <mergeCell ref="K39:K52"/>
    <mergeCell ref="L39:L52"/>
    <mergeCell ref="M39:M52"/>
    <mergeCell ref="N39:N52"/>
    <mergeCell ref="J55:J58"/>
    <mergeCell ref="K55:K58"/>
    <mergeCell ref="L55:L58"/>
    <mergeCell ref="M55:M58"/>
    <mergeCell ref="BP25:BP36"/>
    <mergeCell ref="BQ25:BQ36"/>
    <mergeCell ref="T32:T34"/>
    <mergeCell ref="T35:T36"/>
    <mergeCell ref="F37:K37"/>
    <mergeCell ref="A39:A58"/>
    <mergeCell ref="B39:C58"/>
    <mergeCell ref="D39:D58"/>
    <mergeCell ref="E39:F58"/>
    <mergeCell ref="G39:G58"/>
    <mergeCell ref="BJ25:BJ36"/>
    <mergeCell ref="BK25:BK36"/>
    <mergeCell ref="BL25:BL36"/>
    <mergeCell ref="BM25:BM36"/>
    <mergeCell ref="BN25:BN36"/>
    <mergeCell ref="BO25:BO36"/>
    <mergeCell ref="BD25:BD36"/>
    <mergeCell ref="BE25:BE36"/>
    <mergeCell ref="BF25:BF36"/>
    <mergeCell ref="BG25:BG36"/>
    <mergeCell ref="BH25:BH36"/>
    <mergeCell ref="BI25:BI36"/>
    <mergeCell ref="AX25:AX36"/>
    <mergeCell ref="AY25:AY36"/>
    <mergeCell ref="AZ25:AZ36"/>
    <mergeCell ref="BA25:BA36"/>
    <mergeCell ref="BB25:BB36"/>
    <mergeCell ref="BC25:BC36"/>
    <mergeCell ref="AR25:AR36"/>
    <mergeCell ref="AS25:AS36"/>
    <mergeCell ref="AT25:AT36"/>
    <mergeCell ref="AU25:AU36"/>
    <mergeCell ref="AV25:AV36"/>
    <mergeCell ref="AW25:AW36"/>
    <mergeCell ref="AL25:AL36"/>
    <mergeCell ref="AM25:AM36"/>
    <mergeCell ref="AN25:AN36"/>
    <mergeCell ref="AO25:AO36"/>
    <mergeCell ref="AP25:AP36"/>
    <mergeCell ref="AQ25:AQ36"/>
    <mergeCell ref="AF25:AF36"/>
    <mergeCell ref="AG25:AG36"/>
    <mergeCell ref="AH25:AH36"/>
    <mergeCell ref="AI25:AI36"/>
    <mergeCell ref="AJ25:AJ36"/>
    <mergeCell ref="AK25:AK36"/>
    <mergeCell ref="T25:T31"/>
    <mergeCell ref="AA25:AA36"/>
    <mergeCell ref="AB25:AB36"/>
    <mergeCell ref="AC25:AC36"/>
    <mergeCell ref="AD25:AD36"/>
    <mergeCell ref="AE25:AE36"/>
    <mergeCell ref="N25:N36"/>
    <mergeCell ref="O25:O36"/>
    <mergeCell ref="P25:P36"/>
    <mergeCell ref="Q25:Q36"/>
    <mergeCell ref="R25:R36"/>
    <mergeCell ref="S25:S36"/>
    <mergeCell ref="E23:K23"/>
    <mergeCell ref="H24:K24"/>
    <mergeCell ref="J25:J36"/>
    <mergeCell ref="K25:K36"/>
    <mergeCell ref="L25:L36"/>
    <mergeCell ref="M25:M36"/>
    <mergeCell ref="BL18:BL22"/>
    <mergeCell ref="BM18:BM22"/>
    <mergeCell ref="BN18:BN22"/>
    <mergeCell ref="AZ18:AZ22"/>
    <mergeCell ref="BA18:BA22"/>
    <mergeCell ref="BB18:BB22"/>
    <mergeCell ref="BC18:BC22"/>
    <mergeCell ref="BD18:BD22"/>
    <mergeCell ref="BE18:BE22"/>
    <mergeCell ref="AT18:AT22"/>
    <mergeCell ref="AU18:AU22"/>
    <mergeCell ref="AV18:AV22"/>
    <mergeCell ref="AW18:AW22"/>
    <mergeCell ref="AX18:AX22"/>
    <mergeCell ref="AY18:AY22"/>
    <mergeCell ref="AN18:AN22"/>
    <mergeCell ref="AO18:AO22"/>
    <mergeCell ref="AP18:AP22"/>
    <mergeCell ref="BO18:BO22"/>
    <mergeCell ref="BP18:BP22"/>
    <mergeCell ref="BQ18:BQ22"/>
    <mergeCell ref="BF18:BF22"/>
    <mergeCell ref="BG18:BG22"/>
    <mergeCell ref="BH18:BH22"/>
    <mergeCell ref="BI18:BI22"/>
    <mergeCell ref="BJ18:BJ22"/>
    <mergeCell ref="BK18:BK22"/>
    <mergeCell ref="AQ18:AQ22"/>
    <mergeCell ref="AR18:AR22"/>
    <mergeCell ref="AS18:AS22"/>
    <mergeCell ref="AH18:AH22"/>
    <mergeCell ref="AI18:AI22"/>
    <mergeCell ref="AJ18:AJ22"/>
    <mergeCell ref="AK18:AK22"/>
    <mergeCell ref="AL18:AL22"/>
    <mergeCell ref="AM18:AM22"/>
    <mergeCell ref="AB18:AB22"/>
    <mergeCell ref="AC18:AC22"/>
    <mergeCell ref="AD18:AD22"/>
    <mergeCell ref="AE18:AE22"/>
    <mergeCell ref="AF18:AF22"/>
    <mergeCell ref="AG18:AG22"/>
    <mergeCell ref="P18:P22"/>
    <mergeCell ref="Q18:Q22"/>
    <mergeCell ref="R18:R22"/>
    <mergeCell ref="S18:S22"/>
    <mergeCell ref="T18:T19"/>
    <mergeCell ref="AA18:AA22"/>
    <mergeCell ref="T21:T22"/>
    <mergeCell ref="J18:J22"/>
    <mergeCell ref="K18:K22"/>
    <mergeCell ref="L18:L22"/>
    <mergeCell ref="M18:M22"/>
    <mergeCell ref="N18:N22"/>
    <mergeCell ref="O18:O22"/>
    <mergeCell ref="BM12:BM17"/>
    <mergeCell ref="BN12:BN17"/>
    <mergeCell ref="BO12:BO17"/>
    <mergeCell ref="BA12:BA17"/>
    <mergeCell ref="BB12:BB17"/>
    <mergeCell ref="BC12:BC17"/>
    <mergeCell ref="BD12:BD17"/>
    <mergeCell ref="BE12:BE17"/>
    <mergeCell ref="BF12:BF17"/>
    <mergeCell ref="AU12:AU17"/>
    <mergeCell ref="AV12:AV17"/>
    <mergeCell ref="AW12:AW17"/>
    <mergeCell ref="AX12:AX17"/>
    <mergeCell ref="AY12:AY17"/>
    <mergeCell ref="AZ12:AZ17"/>
    <mergeCell ref="AO12:AO17"/>
    <mergeCell ref="AP12:AP17"/>
    <mergeCell ref="AQ12:AQ17"/>
    <mergeCell ref="BP12:BP17"/>
    <mergeCell ref="BQ12:BQ17"/>
    <mergeCell ref="BR12:BR17"/>
    <mergeCell ref="BG12:BG17"/>
    <mergeCell ref="BH12:BH17"/>
    <mergeCell ref="BI12:BI17"/>
    <mergeCell ref="BJ12:BJ17"/>
    <mergeCell ref="BK12:BK17"/>
    <mergeCell ref="BL12:BL17"/>
    <mergeCell ref="AR12:AR17"/>
    <mergeCell ref="AS12:AS17"/>
    <mergeCell ref="AT12:AT17"/>
    <mergeCell ref="AI12:AI17"/>
    <mergeCell ref="AJ12:AJ17"/>
    <mergeCell ref="AK12:AK17"/>
    <mergeCell ref="AL12:AL17"/>
    <mergeCell ref="AM12:AM17"/>
    <mergeCell ref="AN12:AN17"/>
    <mergeCell ref="R6:R7"/>
    <mergeCell ref="AC12:AC17"/>
    <mergeCell ref="AA6:AC6"/>
    <mergeCell ref="AD12:AD17"/>
    <mergeCell ref="AE12:AE17"/>
    <mergeCell ref="AF12:AF17"/>
    <mergeCell ref="AG12:AG17"/>
    <mergeCell ref="AH12:AH17"/>
    <mergeCell ref="P12:P17"/>
    <mergeCell ref="Q12:Q17"/>
    <mergeCell ref="R12:R17"/>
    <mergeCell ref="S12:S17"/>
    <mergeCell ref="AA12:AA17"/>
    <mergeCell ref="AB12:AB17"/>
    <mergeCell ref="T13:T17"/>
    <mergeCell ref="J12:J17"/>
    <mergeCell ref="K12:K17"/>
    <mergeCell ref="L12:L17"/>
    <mergeCell ref="M12:M17"/>
    <mergeCell ref="N12:N17"/>
    <mergeCell ref="O12:O17"/>
    <mergeCell ref="AY7:AZ7"/>
    <mergeCell ref="BA7:BB7"/>
    <mergeCell ref="BC7:BD7"/>
    <mergeCell ref="B9:K9"/>
    <mergeCell ref="E10:K10"/>
    <mergeCell ref="H11:K11"/>
    <mergeCell ref="AU7:AV7"/>
    <mergeCell ref="AW7:AX7"/>
    <mergeCell ref="U6:U7"/>
    <mergeCell ref="V6:V7"/>
    <mergeCell ref="AK7:AL7"/>
    <mergeCell ref="W6:W7"/>
    <mergeCell ref="X6:X7"/>
    <mergeCell ref="Y6:Y7"/>
    <mergeCell ref="Z6:Z7"/>
    <mergeCell ref="O6:O7"/>
    <mergeCell ref="P6:P7"/>
    <mergeCell ref="Q6:Q7"/>
    <mergeCell ref="BH6:BH7"/>
    <mergeCell ref="BI6:BI7"/>
    <mergeCell ref="BJ6:BJ7"/>
    <mergeCell ref="BK6:BK7"/>
    <mergeCell ref="BL6:BL7"/>
    <mergeCell ref="BM6:BN7"/>
    <mergeCell ref="BG5:BL5"/>
    <mergeCell ref="BM5:BQ5"/>
    <mergeCell ref="AE6:AK6"/>
    <mergeCell ref="AM6:AW6"/>
    <mergeCell ref="AY6:BC6"/>
    <mergeCell ref="BE6:BF7"/>
    <mergeCell ref="BG6:BG7"/>
    <mergeCell ref="AQ7:AR7"/>
    <mergeCell ref="AS7:AT7"/>
    <mergeCell ref="A5:M5"/>
    <mergeCell ref="N5:BF5"/>
    <mergeCell ref="BO6:BP7"/>
    <mergeCell ref="BQ6:BQ8"/>
    <mergeCell ref="AA7:AB7"/>
    <mergeCell ref="AC7:AD7"/>
    <mergeCell ref="AE7:AF7"/>
    <mergeCell ref="AG7:AH7"/>
    <mergeCell ref="AI7:AJ7"/>
    <mergeCell ref="A6:A7"/>
    <mergeCell ref="B6:C7"/>
    <mergeCell ref="D6:D7"/>
    <mergeCell ref="E6:F7"/>
    <mergeCell ref="G6:G7"/>
    <mergeCell ref="S6:S7"/>
    <mergeCell ref="T6:T7"/>
    <mergeCell ref="H6:I7"/>
    <mergeCell ref="J6:J7"/>
    <mergeCell ref="K6:K7"/>
    <mergeCell ref="L6:L7"/>
    <mergeCell ref="M6:M7"/>
    <mergeCell ref="N6:N7"/>
    <mergeCell ref="AM7:AN7"/>
    <mergeCell ref="AO7:AP7"/>
  </mergeCells>
  <pageMargins left="1.1023622047244095" right="0.11811023622047245" top="0.35433070866141736" bottom="0.35433070866141736" header="0.31496062992125984" footer="0.31496062992125984"/>
  <pageSetup paperSize="5" scale="6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P157"/>
  <sheetViews>
    <sheetView showGridLines="0" zoomScale="70" zoomScaleNormal="70" workbookViewId="0">
      <selection activeCell="E13" sqref="E13:F20"/>
    </sheetView>
  </sheetViews>
  <sheetFormatPr baseColWidth="10" defaultColWidth="11.42578125" defaultRowHeight="14.25" x14ac:dyDescent="0.2"/>
  <cols>
    <col min="1" max="1" width="15.28515625" style="2" customWidth="1"/>
    <col min="2" max="2" width="18.42578125" style="2" customWidth="1"/>
    <col min="3" max="3" width="13.85546875" style="2" customWidth="1"/>
    <col min="4" max="4" width="27.42578125" style="2" customWidth="1"/>
    <col min="5" max="5" width="16.5703125" style="2" customWidth="1"/>
    <col min="6" max="6" width="29.28515625" style="368" customWidth="1"/>
    <col min="7" max="7" width="16.85546875" style="368" customWidth="1"/>
    <col min="8" max="8" width="38.85546875" style="370" customWidth="1"/>
    <col min="9" max="9" width="34.7109375" style="370" customWidth="1"/>
    <col min="10" max="11" width="12.42578125" style="2" hidden="1" customWidth="1"/>
    <col min="12" max="12" width="37.85546875" style="368" customWidth="1"/>
    <col min="13" max="13" width="28.28515625" style="368" customWidth="1"/>
    <col min="14" max="14" width="29.5703125" style="370" customWidth="1"/>
    <col min="15" max="15" width="12.5703125" style="2" hidden="1" customWidth="1"/>
    <col min="16" max="16" width="21.28515625" style="413" hidden="1" customWidth="1"/>
    <col min="17" max="17" width="45.85546875" style="370" customWidth="1"/>
    <col min="18" max="18" width="36.7109375" style="370" customWidth="1"/>
    <col min="19" max="19" width="45.28515625" style="86" customWidth="1"/>
    <col min="20" max="21" width="26" style="413" customWidth="1"/>
    <col min="22" max="22" width="23.140625" style="663" customWidth="1"/>
    <col min="23" max="23" width="12.42578125" style="368" customWidth="1"/>
    <col min="24" max="24" width="16.42578125" style="368" customWidth="1"/>
    <col min="25" max="25" width="12.85546875" style="2" customWidth="1"/>
    <col min="26" max="26" width="13" style="2" customWidth="1"/>
    <col min="27" max="27" width="10.140625" style="2" customWidth="1"/>
    <col min="28" max="28" width="9.42578125" style="2" customWidth="1"/>
    <col min="29" max="29" width="8.28515625" style="2" customWidth="1"/>
    <col min="30" max="30" width="7.5703125" style="2" customWidth="1"/>
    <col min="31" max="31" width="9.42578125" style="2" customWidth="1"/>
    <col min="32" max="32" width="7.28515625" style="2" customWidth="1"/>
    <col min="33" max="33" width="9" style="2" customWidth="1"/>
    <col min="34" max="34" width="8.5703125" style="2" customWidth="1"/>
    <col min="35" max="35" width="9.28515625" style="2" customWidth="1"/>
    <col min="36" max="36" width="6.7109375" style="2" customWidth="1"/>
    <col min="37" max="38" width="9.42578125" style="2" customWidth="1"/>
    <col min="39" max="40" width="9.5703125" style="2" customWidth="1"/>
    <col min="41" max="41" width="8.28515625" style="2" customWidth="1"/>
    <col min="42" max="42" width="8.5703125" style="2" customWidth="1"/>
    <col min="43" max="44" width="6.28515625" style="2" customWidth="1"/>
    <col min="45" max="46" width="6.140625" style="2" customWidth="1"/>
    <col min="47" max="48" width="6.7109375" style="2" customWidth="1"/>
    <col min="49" max="50" width="7" style="2" customWidth="1"/>
    <col min="51" max="52" width="7.5703125" style="2" customWidth="1"/>
    <col min="53" max="54" width="6.42578125" style="2" customWidth="1"/>
    <col min="55" max="55" width="9.85546875" style="2" customWidth="1"/>
    <col min="56" max="56" width="12.5703125" style="2" customWidth="1"/>
    <col min="57" max="57" width="20.85546875" style="2" customWidth="1"/>
    <col min="58" max="58" width="24.85546875" style="658" customWidth="1"/>
    <col min="59" max="59" width="27.28515625" style="658" customWidth="1"/>
    <col min="60" max="60" width="17.85546875" style="2" customWidth="1"/>
    <col min="61" max="61" width="21.7109375" style="2" customWidth="1"/>
    <col min="62" max="62" width="22" style="2" customWidth="1"/>
    <col min="63" max="63" width="12.5703125" style="2" customWidth="1"/>
    <col min="64" max="64" width="12.7109375" style="2" customWidth="1"/>
    <col min="65" max="65" width="14" style="2" customWidth="1"/>
    <col min="66" max="66" width="21" style="2" customWidth="1"/>
    <col min="67" max="67" width="27.85546875" style="370" customWidth="1"/>
    <col min="68" max="276" width="11.42578125" style="2"/>
    <col min="277" max="277" width="13.5703125" style="2" customWidth="1"/>
    <col min="278" max="278" width="19" style="2" customWidth="1"/>
    <col min="279" max="279" width="13.5703125" style="2" customWidth="1"/>
    <col min="280" max="280" width="19.7109375" style="2" customWidth="1"/>
    <col min="281" max="281" width="13.5703125" style="2" customWidth="1"/>
    <col min="282" max="283" width="14.7109375" style="2" customWidth="1"/>
    <col min="284" max="284" width="36.140625" style="2" customWidth="1"/>
    <col min="285" max="285" width="29.42578125" style="2" customWidth="1"/>
    <col min="286" max="286" width="16" style="2" customWidth="1"/>
    <col min="287" max="287" width="38.28515625" style="2" customWidth="1"/>
    <col min="288" max="288" width="12" style="2" customWidth="1"/>
    <col min="289" max="289" width="38.140625" style="2" customWidth="1"/>
    <col min="290" max="290" width="17.85546875" style="2" bestFit="1" customWidth="1"/>
    <col min="291" max="291" width="24.7109375" style="2" customWidth="1"/>
    <col min="292" max="292" width="36.42578125" style="2" customWidth="1"/>
    <col min="293" max="293" width="46.7109375" style="2" customWidth="1"/>
    <col min="294" max="294" width="43.7109375" style="2" customWidth="1"/>
    <col min="295" max="295" width="25.42578125" style="2" customWidth="1"/>
    <col min="296" max="296" width="12.42578125" style="2" customWidth="1"/>
    <col min="297" max="297" width="16.42578125" style="2" customWidth="1"/>
    <col min="298" max="298" width="13.42578125" style="2" customWidth="1"/>
    <col min="299" max="299" width="8.5703125" style="2" customWidth="1"/>
    <col min="300" max="303" width="11.42578125" style="2" customWidth="1"/>
    <col min="304" max="304" width="12.7109375" style="2" customWidth="1"/>
    <col min="305" max="305" width="11.85546875" style="2" customWidth="1"/>
    <col min="306" max="306" width="7.85546875" style="2" customWidth="1"/>
    <col min="307" max="307" width="7.5703125" style="2" customWidth="1"/>
    <col min="308" max="308" width="8.85546875" style="2" customWidth="1"/>
    <col min="309" max="309" width="8.140625" style="2" customWidth="1"/>
    <col min="310" max="310" width="7.85546875" style="2" customWidth="1"/>
    <col min="311" max="311" width="8.5703125" style="2" customWidth="1"/>
    <col min="312" max="312" width="8.28515625" style="2" customWidth="1"/>
    <col min="313" max="313" width="11.42578125" style="2" customWidth="1"/>
    <col min="314" max="314" width="18" style="2" customWidth="1"/>
    <col min="315" max="315" width="21.42578125" style="2" customWidth="1"/>
    <col min="316" max="316" width="27.85546875" style="2" customWidth="1"/>
    <col min="317" max="532" width="11.42578125" style="2"/>
    <col min="533" max="533" width="13.5703125" style="2" customWidth="1"/>
    <col min="534" max="534" width="19" style="2" customWidth="1"/>
    <col min="535" max="535" width="13.5703125" style="2" customWidth="1"/>
    <col min="536" max="536" width="19.7109375" style="2" customWidth="1"/>
    <col min="537" max="537" width="13.5703125" style="2" customWidth="1"/>
    <col min="538" max="539" width="14.7109375" style="2" customWidth="1"/>
    <col min="540" max="540" width="36.140625" style="2" customWidth="1"/>
    <col min="541" max="541" width="29.42578125" style="2" customWidth="1"/>
    <col min="542" max="542" width="16" style="2" customWidth="1"/>
    <col min="543" max="543" width="38.28515625" style="2" customWidth="1"/>
    <col min="544" max="544" width="12" style="2" customWidth="1"/>
    <col min="545" max="545" width="38.140625" style="2" customWidth="1"/>
    <col min="546" max="546" width="17.85546875" style="2" bestFit="1" customWidth="1"/>
    <col min="547" max="547" width="24.7109375" style="2" customWidth="1"/>
    <col min="548" max="548" width="36.42578125" style="2" customWidth="1"/>
    <col min="549" max="549" width="46.7109375" style="2" customWidth="1"/>
    <col min="550" max="550" width="43.7109375" style="2" customWidth="1"/>
    <col min="551" max="551" width="25.42578125" style="2" customWidth="1"/>
    <col min="552" max="552" width="12.42578125" style="2" customWidth="1"/>
    <col min="553" max="553" width="16.42578125" style="2" customWidth="1"/>
    <col min="554" max="554" width="13.42578125" style="2" customWidth="1"/>
    <col min="555" max="555" width="8.5703125" style="2" customWidth="1"/>
    <col min="556" max="559" width="11.42578125" style="2" customWidth="1"/>
    <col min="560" max="560" width="12.7109375" style="2" customWidth="1"/>
    <col min="561" max="561" width="11.85546875" style="2" customWidth="1"/>
    <col min="562" max="562" width="7.85546875" style="2" customWidth="1"/>
    <col min="563" max="563" width="7.5703125" style="2" customWidth="1"/>
    <col min="564" max="564" width="8.85546875" style="2" customWidth="1"/>
    <col min="565" max="565" width="8.140625" style="2" customWidth="1"/>
    <col min="566" max="566" width="7.85546875" style="2" customWidth="1"/>
    <col min="567" max="567" width="8.5703125" style="2" customWidth="1"/>
    <col min="568" max="568" width="8.28515625" style="2" customWidth="1"/>
    <col min="569" max="569" width="11.42578125" style="2" customWidth="1"/>
    <col min="570" max="570" width="18" style="2" customWidth="1"/>
    <col min="571" max="571" width="21.42578125" style="2" customWidth="1"/>
    <col min="572" max="572" width="27.85546875" style="2" customWidth="1"/>
    <col min="573" max="788" width="11.42578125" style="2"/>
    <col min="789" max="789" width="13.5703125" style="2" customWidth="1"/>
    <col min="790" max="790" width="19" style="2" customWidth="1"/>
    <col min="791" max="791" width="13.5703125" style="2" customWidth="1"/>
    <col min="792" max="792" width="19.7109375" style="2" customWidth="1"/>
    <col min="793" max="793" width="13.5703125" style="2" customWidth="1"/>
    <col min="794" max="795" width="14.7109375" style="2" customWidth="1"/>
    <col min="796" max="796" width="36.140625" style="2" customWidth="1"/>
    <col min="797" max="797" width="29.42578125" style="2" customWidth="1"/>
    <col min="798" max="798" width="16" style="2" customWidth="1"/>
    <col min="799" max="799" width="38.28515625" style="2" customWidth="1"/>
    <col min="800" max="800" width="12" style="2" customWidth="1"/>
    <col min="801" max="801" width="38.140625" style="2" customWidth="1"/>
    <col min="802" max="802" width="17.85546875" style="2" bestFit="1" customWidth="1"/>
    <col min="803" max="803" width="24.7109375" style="2" customWidth="1"/>
    <col min="804" max="804" width="36.42578125" style="2" customWidth="1"/>
    <col min="805" max="805" width="46.7109375" style="2" customWidth="1"/>
    <col min="806" max="806" width="43.7109375" style="2" customWidth="1"/>
    <col min="807" max="807" width="25.42578125" style="2" customWidth="1"/>
    <col min="808" max="808" width="12.42578125" style="2" customWidth="1"/>
    <col min="809" max="809" width="16.42578125" style="2" customWidth="1"/>
    <col min="810" max="810" width="13.42578125" style="2" customWidth="1"/>
    <col min="811" max="811" width="8.5703125" style="2" customWidth="1"/>
    <col min="812" max="815" width="11.42578125" style="2" customWidth="1"/>
    <col min="816" max="816" width="12.7109375" style="2" customWidth="1"/>
    <col min="817" max="817" width="11.85546875" style="2" customWidth="1"/>
    <col min="818" max="818" width="7.85546875" style="2" customWidth="1"/>
    <col min="819" max="819" width="7.5703125" style="2" customWidth="1"/>
    <col min="820" max="820" width="8.85546875" style="2" customWidth="1"/>
    <col min="821" max="821" width="8.140625" style="2" customWidth="1"/>
    <col min="822" max="822" width="7.85546875" style="2" customWidth="1"/>
    <col min="823" max="823" width="8.5703125" style="2" customWidth="1"/>
    <col min="824" max="824" width="8.28515625" style="2" customWidth="1"/>
    <col min="825" max="825" width="11.42578125" style="2" customWidth="1"/>
    <col min="826" max="826" width="18" style="2" customWidth="1"/>
    <col min="827" max="827" width="21.42578125" style="2" customWidth="1"/>
    <col min="828" max="828" width="27.85546875" style="2" customWidth="1"/>
    <col min="829" max="1044" width="11.42578125" style="2"/>
    <col min="1045" max="1045" width="13.5703125" style="2" customWidth="1"/>
    <col min="1046" max="1046" width="19" style="2" customWidth="1"/>
    <col min="1047" max="1047" width="13.5703125" style="2" customWidth="1"/>
    <col min="1048" max="1048" width="19.7109375" style="2" customWidth="1"/>
    <col min="1049" max="1049" width="13.5703125" style="2" customWidth="1"/>
    <col min="1050" max="1051" width="14.7109375" style="2" customWidth="1"/>
    <col min="1052" max="1052" width="36.140625" style="2" customWidth="1"/>
    <col min="1053" max="1053" width="29.42578125" style="2" customWidth="1"/>
    <col min="1054" max="1054" width="16" style="2" customWidth="1"/>
    <col min="1055" max="1055" width="38.28515625" style="2" customWidth="1"/>
    <col min="1056" max="1056" width="12" style="2" customWidth="1"/>
    <col min="1057" max="1057" width="38.140625" style="2" customWidth="1"/>
    <col min="1058" max="1058" width="17.85546875" style="2" bestFit="1" customWidth="1"/>
    <col min="1059" max="1059" width="24.7109375" style="2" customWidth="1"/>
    <col min="1060" max="1060" width="36.42578125" style="2" customWidth="1"/>
    <col min="1061" max="1061" width="46.7109375" style="2" customWidth="1"/>
    <col min="1062" max="1062" width="43.7109375" style="2" customWidth="1"/>
    <col min="1063" max="1063" width="25.42578125" style="2" customWidth="1"/>
    <col min="1064" max="1064" width="12.42578125" style="2" customWidth="1"/>
    <col min="1065" max="1065" width="16.42578125" style="2" customWidth="1"/>
    <col min="1066" max="1066" width="13.42578125" style="2" customWidth="1"/>
    <col min="1067" max="1067" width="8.5703125" style="2" customWidth="1"/>
    <col min="1068" max="1071" width="11.42578125" style="2" customWidth="1"/>
    <col min="1072" max="1072" width="12.7109375" style="2" customWidth="1"/>
    <col min="1073" max="1073" width="11.85546875" style="2" customWidth="1"/>
    <col min="1074" max="1074" width="7.85546875" style="2" customWidth="1"/>
    <col min="1075" max="1075" width="7.5703125" style="2" customWidth="1"/>
    <col min="1076" max="1076" width="8.85546875" style="2" customWidth="1"/>
    <col min="1077" max="1077" width="8.140625" style="2" customWidth="1"/>
    <col min="1078" max="1078" width="7.85546875" style="2" customWidth="1"/>
    <col min="1079" max="1079" width="8.5703125" style="2" customWidth="1"/>
    <col min="1080" max="1080" width="8.28515625" style="2" customWidth="1"/>
    <col min="1081" max="1081" width="11.42578125" style="2" customWidth="1"/>
    <col min="1082" max="1082" width="18" style="2" customWidth="1"/>
    <col min="1083" max="1083" width="21.42578125" style="2" customWidth="1"/>
    <col min="1084" max="1084" width="27.85546875" style="2" customWidth="1"/>
    <col min="1085" max="1300" width="11.42578125" style="2"/>
    <col min="1301" max="1301" width="13.5703125" style="2" customWidth="1"/>
    <col min="1302" max="1302" width="19" style="2" customWidth="1"/>
    <col min="1303" max="1303" width="13.5703125" style="2" customWidth="1"/>
    <col min="1304" max="1304" width="19.7109375" style="2" customWidth="1"/>
    <col min="1305" max="1305" width="13.5703125" style="2" customWidth="1"/>
    <col min="1306" max="1307" width="14.7109375" style="2" customWidth="1"/>
    <col min="1308" max="1308" width="36.140625" style="2" customWidth="1"/>
    <col min="1309" max="1309" width="29.42578125" style="2" customWidth="1"/>
    <col min="1310" max="1310" width="16" style="2" customWidth="1"/>
    <col min="1311" max="1311" width="38.28515625" style="2" customWidth="1"/>
    <col min="1312" max="1312" width="12" style="2" customWidth="1"/>
    <col min="1313" max="1313" width="38.140625" style="2" customWidth="1"/>
    <col min="1314" max="1314" width="17.85546875" style="2" bestFit="1" customWidth="1"/>
    <col min="1315" max="1315" width="24.7109375" style="2" customWidth="1"/>
    <col min="1316" max="1316" width="36.42578125" style="2" customWidth="1"/>
    <col min="1317" max="1317" width="46.7109375" style="2" customWidth="1"/>
    <col min="1318" max="1318" width="43.7109375" style="2" customWidth="1"/>
    <col min="1319" max="1319" width="25.42578125" style="2" customWidth="1"/>
    <col min="1320" max="1320" width="12.42578125" style="2" customWidth="1"/>
    <col min="1321" max="1321" width="16.42578125" style="2" customWidth="1"/>
    <col min="1322" max="1322" width="13.42578125" style="2" customWidth="1"/>
    <col min="1323" max="1323" width="8.5703125" style="2" customWidth="1"/>
    <col min="1324" max="1327" width="11.42578125" style="2" customWidth="1"/>
    <col min="1328" max="1328" width="12.7109375" style="2" customWidth="1"/>
    <col min="1329" max="1329" width="11.85546875" style="2" customWidth="1"/>
    <col min="1330" max="1330" width="7.85546875" style="2" customWidth="1"/>
    <col min="1331" max="1331" width="7.5703125" style="2" customWidth="1"/>
    <col min="1332" max="1332" width="8.85546875" style="2" customWidth="1"/>
    <col min="1333" max="1333" width="8.140625" style="2" customWidth="1"/>
    <col min="1334" max="1334" width="7.85546875" style="2" customWidth="1"/>
    <col min="1335" max="1335" width="8.5703125" style="2" customWidth="1"/>
    <col min="1336" max="1336" width="8.28515625" style="2" customWidth="1"/>
    <col min="1337" max="1337" width="11.42578125" style="2" customWidth="1"/>
    <col min="1338" max="1338" width="18" style="2" customWidth="1"/>
    <col min="1339" max="1339" width="21.42578125" style="2" customWidth="1"/>
    <col min="1340" max="1340" width="27.85546875" style="2" customWidth="1"/>
    <col min="1341" max="1556" width="11.42578125" style="2"/>
    <col min="1557" max="1557" width="13.5703125" style="2" customWidth="1"/>
    <col min="1558" max="1558" width="19" style="2" customWidth="1"/>
    <col min="1559" max="1559" width="13.5703125" style="2" customWidth="1"/>
    <col min="1560" max="1560" width="19.7109375" style="2" customWidth="1"/>
    <col min="1561" max="1561" width="13.5703125" style="2" customWidth="1"/>
    <col min="1562" max="1563" width="14.7109375" style="2" customWidth="1"/>
    <col min="1564" max="1564" width="36.140625" style="2" customWidth="1"/>
    <col min="1565" max="1565" width="29.42578125" style="2" customWidth="1"/>
    <col min="1566" max="1566" width="16" style="2" customWidth="1"/>
    <col min="1567" max="1567" width="38.28515625" style="2" customWidth="1"/>
    <col min="1568" max="1568" width="12" style="2" customWidth="1"/>
    <col min="1569" max="1569" width="38.140625" style="2" customWidth="1"/>
    <col min="1570" max="1570" width="17.85546875" style="2" bestFit="1" customWidth="1"/>
    <col min="1571" max="1571" width="24.7109375" style="2" customWidth="1"/>
    <col min="1572" max="1572" width="36.42578125" style="2" customWidth="1"/>
    <col min="1573" max="1573" width="46.7109375" style="2" customWidth="1"/>
    <col min="1574" max="1574" width="43.7109375" style="2" customWidth="1"/>
    <col min="1575" max="1575" width="25.42578125" style="2" customWidth="1"/>
    <col min="1576" max="1576" width="12.42578125" style="2" customWidth="1"/>
    <col min="1577" max="1577" width="16.42578125" style="2" customWidth="1"/>
    <col min="1578" max="1578" width="13.42578125" style="2" customWidth="1"/>
    <col min="1579" max="1579" width="8.5703125" style="2" customWidth="1"/>
    <col min="1580" max="1583" width="11.42578125" style="2" customWidth="1"/>
    <col min="1584" max="1584" width="12.7109375" style="2" customWidth="1"/>
    <col min="1585" max="1585" width="11.85546875" style="2" customWidth="1"/>
    <col min="1586" max="1586" width="7.85546875" style="2" customWidth="1"/>
    <col min="1587" max="1587" width="7.5703125" style="2" customWidth="1"/>
    <col min="1588" max="1588" width="8.85546875" style="2" customWidth="1"/>
    <col min="1589" max="1589" width="8.140625" style="2" customWidth="1"/>
    <col min="1590" max="1590" width="7.85546875" style="2" customWidth="1"/>
    <col min="1591" max="1591" width="8.5703125" style="2" customWidth="1"/>
    <col min="1592" max="1592" width="8.28515625" style="2" customWidth="1"/>
    <col min="1593" max="1593" width="11.42578125" style="2" customWidth="1"/>
    <col min="1594" max="1594" width="18" style="2" customWidth="1"/>
    <col min="1595" max="1595" width="21.42578125" style="2" customWidth="1"/>
    <col min="1596" max="1596" width="27.85546875" style="2" customWidth="1"/>
    <col min="1597" max="1812" width="11.42578125" style="2"/>
    <col min="1813" max="1813" width="13.5703125" style="2" customWidth="1"/>
    <col min="1814" max="1814" width="19" style="2" customWidth="1"/>
    <col min="1815" max="1815" width="13.5703125" style="2" customWidth="1"/>
    <col min="1816" max="1816" width="19.7109375" style="2" customWidth="1"/>
    <col min="1817" max="1817" width="13.5703125" style="2" customWidth="1"/>
    <col min="1818" max="1819" width="14.7109375" style="2" customWidth="1"/>
    <col min="1820" max="1820" width="36.140625" style="2" customWidth="1"/>
    <col min="1821" max="1821" width="29.42578125" style="2" customWidth="1"/>
    <col min="1822" max="1822" width="16" style="2" customWidth="1"/>
    <col min="1823" max="1823" width="38.28515625" style="2" customWidth="1"/>
    <col min="1824" max="1824" width="12" style="2" customWidth="1"/>
    <col min="1825" max="1825" width="38.140625" style="2" customWidth="1"/>
    <col min="1826" max="1826" width="17.85546875" style="2" bestFit="1" customWidth="1"/>
    <col min="1827" max="1827" width="24.7109375" style="2" customWidth="1"/>
    <col min="1828" max="1828" width="36.42578125" style="2" customWidth="1"/>
    <col min="1829" max="1829" width="46.7109375" style="2" customWidth="1"/>
    <col min="1830" max="1830" width="43.7109375" style="2" customWidth="1"/>
    <col min="1831" max="1831" width="25.42578125" style="2" customWidth="1"/>
    <col min="1832" max="1832" width="12.42578125" style="2" customWidth="1"/>
    <col min="1833" max="1833" width="16.42578125" style="2" customWidth="1"/>
    <col min="1834" max="1834" width="13.42578125" style="2" customWidth="1"/>
    <col min="1835" max="1835" width="8.5703125" style="2" customWidth="1"/>
    <col min="1836" max="1839" width="11.42578125" style="2" customWidth="1"/>
    <col min="1840" max="1840" width="12.7109375" style="2" customWidth="1"/>
    <col min="1841" max="1841" width="11.85546875" style="2" customWidth="1"/>
    <col min="1842" max="1842" width="7.85546875" style="2" customWidth="1"/>
    <col min="1843" max="1843" width="7.5703125" style="2" customWidth="1"/>
    <col min="1844" max="1844" width="8.85546875" style="2" customWidth="1"/>
    <col min="1845" max="1845" width="8.140625" style="2" customWidth="1"/>
    <col min="1846" max="1846" width="7.85546875" style="2" customWidth="1"/>
    <col min="1847" max="1847" width="8.5703125" style="2" customWidth="1"/>
    <col min="1848" max="1848" width="8.28515625" style="2" customWidth="1"/>
    <col min="1849" max="1849" width="11.42578125" style="2" customWidth="1"/>
    <col min="1850" max="1850" width="18" style="2" customWidth="1"/>
    <col min="1851" max="1851" width="21.42578125" style="2" customWidth="1"/>
    <col min="1852" max="1852" width="27.85546875" style="2" customWidth="1"/>
    <col min="1853" max="2068" width="11.42578125" style="2"/>
    <col min="2069" max="2069" width="13.5703125" style="2" customWidth="1"/>
    <col min="2070" max="2070" width="19" style="2" customWidth="1"/>
    <col min="2071" max="2071" width="13.5703125" style="2" customWidth="1"/>
    <col min="2072" max="2072" width="19.7109375" style="2" customWidth="1"/>
    <col min="2073" max="2073" width="13.5703125" style="2" customWidth="1"/>
    <col min="2074" max="2075" width="14.7109375" style="2" customWidth="1"/>
    <col min="2076" max="2076" width="36.140625" style="2" customWidth="1"/>
    <col min="2077" max="2077" width="29.42578125" style="2" customWidth="1"/>
    <col min="2078" max="2078" width="16" style="2" customWidth="1"/>
    <col min="2079" max="2079" width="38.28515625" style="2" customWidth="1"/>
    <col min="2080" max="2080" width="12" style="2" customWidth="1"/>
    <col min="2081" max="2081" width="38.140625" style="2" customWidth="1"/>
    <col min="2082" max="2082" width="17.85546875" style="2" bestFit="1" customWidth="1"/>
    <col min="2083" max="2083" width="24.7109375" style="2" customWidth="1"/>
    <col min="2084" max="2084" width="36.42578125" style="2" customWidth="1"/>
    <col min="2085" max="2085" width="46.7109375" style="2" customWidth="1"/>
    <col min="2086" max="2086" width="43.7109375" style="2" customWidth="1"/>
    <col min="2087" max="2087" width="25.42578125" style="2" customWidth="1"/>
    <col min="2088" max="2088" width="12.42578125" style="2" customWidth="1"/>
    <col min="2089" max="2089" width="16.42578125" style="2" customWidth="1"/>
    <col min="2090" max="2090" width="13.42578125" style="2" customWidth="1"/>
    <col min="2091" max="2091" width="8.5703125" style="2" customWidth="1"/>
    <col min="2092" max="2095" width="11.42578125" style="2" customWidth="1"/>
    <col min="2096" max="2096" width="12.7109375" style="2" customWidth="1"/>
    <col min="2097" max="2097" width="11.85546875" style="2" customWidth="1"/>
    <col min="2098" max="2098" width="7.85546875" style="2" customWidth="1"/>
    <col min="2099" max="2099" width="7.5703125" style="2" customWidth="1"/>
    <col min="2100" max="2100" width="8.85546875" style="2" customWidth="1"/>
    <col min="2101" max="2101" width="8.140625" style="2" customWidth="1"/>
    <col min="2102" max="2102" width="7.85546875" style="2" customWidth="1"/>
    <col min="2103" max="2103" width="8.5703125" style="2" customWidth="1"/>
    <col min="2104" max="2104" width="8.28515625" style="2" customWidth="1"/>
    <col min="2105" max="2105" width="11.42578125" style="2" customWidth="1"/>
    <col min="2106" max="2106" width="18" style="2" customWidth="1"/>
    <col min="2107" max="2107" width="21.42578125" style="2" customWidth="1"/>
    <col min="2108" max="2108" width="27.85546875" style="2" customWidth="1"/>
    <col min="2109" max="2324" width="11.42578125" style="2"/>
    <col min="2325" max="2325" width="13.5703125" style="2" customWidth="1"/>
    <col min="2326" max="2326" width="19" style="2" customWidth="1"/>
    <col min="2327" max="2327" width="13.5703125" style="2" customWidth="1"/>
    <col min="2328" max="2328" width="19.7109375" style="2" customWidth="1"/>
    <col min="2329" max="2329" width="13.5703125" style="2" customWidth="1"/>
    <col min="2330" max="2331" width="14.7109375" style="2" customWidth="1"/>
    <col min="2332" max="2332" width="36.140625" style="2" customWidth="1"/>
    <col min="2333" max="2333" width="29.42578125" style="2" customWidth="1"/>
    <col min="2334" max="2334" width="16" style="2" customWidth="1"/>
    <col min="2335" max="2335" width="38.28515625" style="2" customWidth="1"/>
    <col min="2336" max="2336" width="12" style="2" customWidth="1"/>
    <col min="2337" max="2337" width="38.140625" style="2" customWidth="1"/>
    <col min="2338" max="2338" width="17.85546875" style="2" bestFit="1" customWidth="1"/>
    <col min="2339" max="2339" width="24.7109375" style="2" customWidth="1"/>
    <col min="2340" max="2340" width="36.42578125" style="2" customWidth="1"/>
    <col min="2341" max="2341" width="46.7109375" style="2" customWidth="1"/>
    <col min="2342" max="2342" width="43.7109375" style="2" customWidth="1"/>
    <col min="2343" max="2343" width="25.42578125" style="2" customWidth="1"/>
    <col min="2344" max="2344" width="12.42578125" style="2" customWidth="1"/>
    <col min="2345" max="2345" width="16.42578125" style="2" customWidth="1"/>
    <col min="2346" max="2346" width="13.42578125" style="2" customWidth="1"/>
    <col min="2347" max="2347" width="8.5703125" style="2" customWidth="1"/>
    <col min="2348" max="2351" width="11.42578125" style="2" customWidth="1"/>
    <col min="2352" max="2352" width="12.7109375" style="2" customWidth="1"/>
    <col min="2353" max="2353" width="11.85546875" style="2" customWidth="1"/>
    <col min="2354" max="2354" width="7.85546875" style="2" customWidth="1"/>
    <col min="2355" max="2355" width="7.5703125" style="2" customWidth="1"/>
    <col min="2356" max="2356" width="8.85546875" style="2" customWidth="1"/>
    <col min="2357" max="2357" width="8.140625" style="2" customWidth="1"/>
    <col min="2358" max="2358" width="7.85546875" style="2" customWidth="1"/>
    <col min="2359" max="2359" width="8.5703125" style="2" customWidth="1"/>
    <col min="2360" max="2360" width="8.28515625" style="2" customWidth="1"/>
    <col min="2361" max="2361" width="11.42578125" style="2" customWidth="1"/>
    <col min="2362" max="2362" width="18" style="2" customWidth="1"/>
    <col min="2363" max="2363" width="21.42578125" style="2" customWidth="1"/>
    <col min="2364" max="2364" width="27.85546875" style="2" customWidth="1"/>
    <col min="2365" max="2580" width="11.42578125" style="2"/>
    <col min="2581" max="2581" width="13.5703125" style="2" customWidth="1"/>
    <col min="2582" max="2582" width="19" style="2" customWidth="1"/>
    <col min="2583" max="2583" width="13.5703125" style="2" customWidth="1"/>
    <col min="2584" max="2584" width="19.7109375" style="2" customWidth="1"/>
    <col min="2585" max="2585" width="13.5703125" style="2" customWidth="1"/>
    <col min="2586" max="2587" width="14.7109375" style="2" customWidth="1"/>
    <col min="2588" max="2588" width="36.140625" style="2" customWidth="1"/>
    <col min="2589" max="2589" width="29.42578125" style="2" customWidth="1"/>
    <col min="2590" max="2590" width="16" style="2" customWidth="1"/>
    <col min="2591" max="2591" width="38.28515625" style="2" customWidth="1"/>
    <col min="2592" max="2592" width="12" style="2" customWidth="1"/>
    <col min="2593" max="2593" width="38.140625" style="2" customWidth="1"/>
    <col min="2594" max="2594" width="17.85546875" style="2" bestFit="1" customWidth="1"/>
    <col min="2595" max="2595" width="24.7109375" style="2" customWidth="1"/>
    <col min="2596" max="2596" width="36.42578125" style="2" customWidth="1"/>
    <col min="2597" max="2597" width="46.7109375" style="2" customWidth="1"/>
    <col min="2598" max="2598" width="43.7109375" style="2" customWidth="1"/>
    <col min="2599" max="2599" width="25.42578125" style="2" customWidth="1"/>
    <col min="2600" max="2600" width="12.42578125" style="2" customWidth="1"/>
    <col min="2601" max="2601" width="16.42578125" style="2" customWidth="1"/>
    <col min="2602" max="2602" width="13.42578125" style="2" customWidth="1"/>
    <col min="2603" max="2603" width="8.5703125" style="2" customWidth="1"/>
    <col min="2604" max="2607" width="11.42578125" style="2" customWidth="1"/>
    <col min="2608" max="2608" width="12.7109375" style="2" customWidth="1"/>
    <col min="2609" max="2609" width="11.85546875" style="2" customWidth="1"/>
    <col min="2610" max="2610" width="7.85546875" style="2" customWidth="1"/>
    <col min="2611" max="2611" width="7.5703125" style="2" customWidth="1"/>
    <col min="2612" max="2612" width="8.85546875" style="2" customWidth="1"/>
    <col min="2613" max="2613" width="8.140625" style="2" customWidth="1"/>
    <col min="2614" max="2614" width="7.85546875" style="2" customWidth="1"/>
    <col min="2615" max="2615" width="8.5703125" style="2" customWidth="1"/>
    <col min="2616" max="2616" width="8.28515625" style="2" customWidth="1"/>
    <col min="2617" max="2617" width="11.42578125" style="2" customWidth="1"/>
    <col min="2618" max="2618" width="18" style="2" customWidth="1"/>
    <col min="2619" max="2619" width="21.42578125" style="2" customWidth="1"/>
    <col min="2620" max="2620" width="27.85546875" style="2" customWidth="1"/>
    <col min="2621" max="2836" width="11.42578125" style="2"/>
    <col min="2837" max="2837" width="13.5703125" style="2" customWidth="1"/>
    <col min="2838" max="2838" width="19" style="2" customWidth="1"/>
    <col min="2839" max="2839" width="13.5703125" style="2" customWidth="1"/>
    <col min="2840" max="2840" width="19.7109375" style="2" customWidth="1"/>
    <col min="2841" max="2841" width="13.5703125" style="2" customWidth="1"/>
    <col min="2842" max="2843" width="14.7109375" style="2" customWidth="1"/>
    <col min="2844" max="2844" width="36.140625" style="2" customWidth="1"/>
    <col min="2845" max="2845" width="29.42578125" style="2" customWidth="1"/>
    <col min="2846" max="2846" width="16" style="2" customWidth="1"/>
    <col min="2847" max="2847" width="38.28515625" style="2" customWidth="1"/>
    <col min="2848" max="2848" width="12" style="2" customWidth="1"/>
    <col min="2849" max="2849" width="38.140625" style="2" customWidth="1"/>
    <col min="2850" max="2850" width="17.85546875" style="2" bestFit="1" customWidth="1"/>
    <col min="2851" max="2851" width="24.7109375" style="2" customWidth="1"/>
    <col min="2852" max="2852" width="36.42578125" style="2" customWidth="1"/>
    <col min="2853" max="2853" width="46.7109375" style="2" customWidth="1"/>
    <col min="2854" max="2854" width="43.7109375" style="2" customWidth="1"/>
    <col min="2855" max="2855" width="25.42578125" style="2" customWidth="1"/>
    <col min="2856" max="2856" width="12.42578125" style="2" customWidth="1"/>
    <col min="2857" max="2857" width="16.42578125" style="2" customWidth="1"/>
    <col min="2858" max="2858" width="13.42578125" style="2" customWidth="1"/>
    <col min="2859" max="2859" width="8.5703125" style="2" customWidth="1"/>
    <col min="2860" max="2863" width="11.42578125" style="2" customWidth="1"/>
    <col min="2864" max="2864" width="12.7109375" style="2" customWidth="1"/>
    <col min="2865" max="2865" width="11.85546875" style="2" customWidth="1"/>
    <col min="2866" max="2866" width="7.85546875" style="2" customWidth="1"/>
    <col min="2867" max="2867" width="7.5703125" style="2" customWidth="1"/>
    <col min="2868" max="2868" width="8.85546875" style="2" customWidth="1"/>
    <col min="2869" max="2869" width="8.140625" style="2" customWidth="1"/>
    <col min="2870" max="2870" width="7.85546875" style="2" customWidth="1"/>
    <col min="2871" max="2871" width="8.5703125" style="2" customWidth="1"/>
    <col min="2872" max="2872" width="8.28515625" style="2" customWidth="1"/>
    <col min="2873" max="2873" width="11.42578125" style="2" customWidth="1"/>
    <col min="2874" max="2874" width="18" style="2" customWidth="1"/>
    <col min="2875" max="2875" width="21.42578125" style="2" customWidth="1"/>
    <col min="2876" max="2876" width="27.85546875" style="2" customWidth="1"/>
    <col min="2877" max="3092" width="11.42578125" style="2"/>
    <col min="3093" max="3093" width="13.5703125" style="2" customWidth="1"/>
    <col min="3094" max="3094" width="19" style="2" customWidth="1"/>
    <col min="3095" max="3095" width="13.5703125" style="2" customWidth="1"/>
    <col min="3096" max="3096" width="19.7109375" style="2" customWidth="1"/>
    <col min="3097" max="3097" width="13.5703125" style="2" customWidth="1"/>
    <col min="3098" max="3099" width="14.7109375" style="2" customWidth="1"/>
    <col min="3100" max="3100" width="36.140625" style="2" customWidth="1"/>
    <col min="3101" max="3101" width="29.42578125" style="2" customWidth="1"/>
    <col min="3102" max="3102" width="16" style="2" customWidth="1"/>
    <col min="3103" max="3103" width="38.28515625" style="2" customWidth="1"/>
    <col min="3104" max="3104" width="12" style="2" customWidth="1"/>
    <col min="3105" max="3105" width="38.140625" style="2" customWidth="1"/>
    <col min="3106" max="3106" width="17.85546875" style="2" bestFit="1" customWidth="1"/>
    <col min="3107" max="3107" width="24.7109375" style="2" customWidth="1"/>
    <col min="3108" max="3108" width="36.42578125" style="2" customWidth="1"/>
    <col min="3109" max="3109" width="46.7109375" style="2" customWidth="1"/>
    <col min="3110" max="3110" width="43.7109375" style="2" customWidth="1"/>
    <col min="3111" max="3111" width="25.42578125" style="2" customWidth="1"/>
    <col min="3112" max="3112" width="12.42578125" style="2" customWidth="1"/>
    <col min="3113" max="3113" width="16.42578125" style="2" customWidth="1"/>
    <col min="3114" max="3114" width="13.42578125" style="2" customWidth="1"/>
    <col min="3115" max="3115" width="8.5703125" style="2" customWidth="1"/>
    <col min="3116" max="3119" width="11.42578125" style="2" customWidth="1"/>
    <col min="3120" max="3120" width="12.7109375" style="2" customWidth="1"/>
    <col min="3121" max="3121" width="11.85546875" style="2" customWidth="1"/>
    <col min="3122" max="3122" width="7.85546875" style="2" customWidth="1"/>
    <col min="3123" max="3123" width="7.5703125" style="2" customWidth="1"/>
    <col min="3124" max="3124" width="8.85546875" style="2" customWidth="1"/>
    <col min="3125" max="3125" width="8.140625" style="2" customWidth="1"/>
    <col min="3126" max="3126" width="7.85546875" style="2" customWidth="1"/>
    <col min="3127" max="3127" width="8.5703125" style="2" customWidth="1"/>
    <col min="3128" max="3128" width="8.28515625" style="2" customWidth="1"/>
    <col min="3129" max="3129" width="11.42578125" style="2" customWidth="1"/>
    <col min="3130" max="3130" width="18" style="2" customWidth="1"/>
    <col min="3131" max="3131" width="21.42578125" style="2" customWidth="1"/>
    <col min="3132" max="3132" width="27.85546875" style="2" customWidth="1"/>
    <col min="3133" max="3348" width="11.42578125" style="2"/>
    <col min="3349" max="3349" width="13.5703125" style="2" customWidth="1"/>
    <col min="3350" max="3350" width="19" style="2" customWidth="1"/>
    <col min="3351" max="3351" width="13.5703125" style="2" customWidth="1"/>
    <col min="3352" max="3352" width="19.7109375" style="2" customWidth="1"/>
    <col min="3353" max="3353" width="13.5703125" style="2" customWidth="1"/>
    <col min="3354" max="3355" width="14.7109375" style="2" customWidth="1"/>
    <col min="3356" max="3356" width="36.140625" style="2" customWidth="1"/>
    <col min="3357" max="3357" width="29.42578125" style="2" customWidth="1"/>
    <col min="3358" max="3358" width="16" style="2" customWidth="1"/>
    <col min="3359" max="3359" width="38.28515625" style="2" customWidth="1"/>
    <col min="3360" max="3360" width="12" style="2" customWidth="1"/>
    <col min="3361" max="3361" width="38.140625" style="2" customWidth="1"/>
    <col min="3362" max="3362" width="17.85546875" style="2" bestFit="1" customWidth="1"/>
    <col min="3363" max="3363" width="24.7109375" style="2" customWidth="1"/>
    <col min="3364" max="3364" width="36.42578125" style="2" customWidth="1"/>
    <col min="3365" max="3365" width="46.7109375" style="2" customWidth="1"/>
    <col min="3366" max="3366" width="43.7109375" style="2" customWidth="1"/>
    <col min="3367" max="3367" width="25.42578125" style="2" customWidth="1"/>
    <col min="3368" max="3368" width="12.42578125" style="2" customWidth="1"/>
    <col min="3369" max="3369" width="16.42578125" style="2" customWidth="1"/>
    <col min="3370" max="3370" width="13.42578125" style="2" customWidth="1"/>
    <col min="3371" max="3371" width="8.5703125" style="2" customWidth="1"/>
    <col min="3372" max="3375" width="11.42578125" style="2" customWidth="1"/>
    <col min="3376" max="3376" width="12.7109375" style="2" customWidth="1"/>
    <col min="3377" max="3377" width="11.85546875" style="2" customWidth="1"/>
    <col min="3378" max="3378" width="7.85546875" style="2" customWidth="1"/>
    <col min="3379" max="3379" width="7.5703125" style="2" customWidth="1"/>
    <col min="3380" max="3380" width="8.85546875" style="2" customWidth="1"/>
    <col min="3381" max="3381" width="8.140625" style="2" customWidth="1"/>
    <col min="3382" max="3382" width="7.85546875" style="2" customWidth="1"/>
    <col min="3383" max="3383" width="8.5703125" style="2" customWidth="1"/>
    <col min="3384" max="3384" width="8.28515625" style="2" customWidth="1"/>
    <col min="3385" max="3385" width="11.42578125" style="2" customWidth="1"/>
    <col min="3386" max="3386" width="18" style="2" customWidth="1"/>
    <col min="3387" max="3387" width="21.42578125" style="2" customWidth="1"/>
    <col min="3388" max="3388" width="27.85546875" style="2" customWidth="1"/>
    <col min="3389" max="3604" width="11.42578125" style="2"/>
    <col min="3605" max="3605" width="13.5703125" style="2" customWidth="1"/>
    <col min="3606" max="3606" width="19" style="2" customWidth="1"/>
    <col min="3607" max="3607" width="13.5703125" style="2" customWidth="1"/>
    <col min="3608" max="3608" width="19.7109375" style="2" customWidth="1"/>
    <col min="3609" max="3609" width="13.5703125" style="2" customWidth="1"/>
    <col min="3610" max="3611" width="14.7109375" style="2" customWidth="1"/>
    <col min="3612" max="3612" width="36.140625" style="2" customWidth="1"/>
    <col min="3613" max="3613" width="29.42578125" style="2" customWidth="1"/>
    <col min="3614" max="3614" width="16" style="2" customWidth="1"/>
    <col min="3615" max="3615" width="38.28515625" style="2" customWidth="1"/>
    <col min="3616" max="3616" width="12" style="2" customWidth="1"/>
    <col min="3617" max="3617" width="38.140625" style="2" customWidth="1"/>
    <col min="3618" max="3618" width="17.85546875" style="2" bestFit="1" customWidth="1"/>
    <col min="3619" max="3619" width="24.7109375" style="2" customWidth="1"/>
    <col min="3620" max="3620" width="36.42578125" style="2" customWidth="1"/>
    <col min="3621" max="3621" width="46.7109375" style="2" customWidth="1"/>
    <col min="3622" max="3622" width="43.7109375" style="2" customWidth="1"/>
    <col min="3623" max="3623" width="25.42578125" style="2" customWidth="1"/>
    <col min="3624" max="3624" width="12.42578125" style="2" customWidth="1"/>
    <col min="3625" max="3625" width="16.42578125" style="2" customWidth="1"/>
    <col min="3626" max="3626" width="13.42578125" style="2" customWidth="1"/>
    <col min="3627" max="3627" width="8.5703125" style="2" customWidth="1"/>
    <col min="3628" max="3631" width="11.42578125" style="2" customWidth="1"/>
    <col min="3632" max="3632" width="12.7109375" style="2" customWidth="1"/>
    <col min="3633" max="3633" width="11.85546875" style="2" customWidth="1"/>
    <col min="3634" max="3634" width="7.85546875" style="2" customWidth="1"/>
    <col min="3635" max="3635" width="7.5703125" style="2" customWidth="1"/>
    <col min="3636" max="3636" width="8.85546875" style="2" customWidth="1"/>
    <col min="3637" max="3637" width="8.140625" style="2" customWidth="1"/>
    <col min="3638" max="3638" width="7.85546875" style="2" customWidth="1"/>
    <col min="3639" max="3639" width="8.5703125" style="2" customWidth="1"/>
    <col min="3640" max="3640" width="8.28515625" style="2" customWidth="1"/>
    <col min="3641" max="3641" width="11.42578125" style="2" customWidth="1"/>
    <col min="3642" max="3642" width="18" style="2" customWidth="1"/>
    <col min="3643" max="3643" width="21.42578125" style="2" customWidth="1"/>
    <col min="3644" max="3644" width="27.85546875" style="2" customWidth="1"/>
    <col min="3645" max="3860" width="11.42578125" style="2"/>
    <col min="3861" max="3861" width="13.5703125" style="2" customWidth="1"/>
    <col min="3862" max="3862" width="19" style="2" customWidth="1"/>
    <col min="3863" max="3863" width="13.5703125" style="2" customWidth="1"/>
    <col min="3864" max="3864" width="19.7109375" style="2" customWidth="1"/>
    <col min="3865" max="3865" width="13.5703125" style="2" customWidth="1"/>
    <col min="3866" max="3867" width="14.7109375" style="2" customWidth="1"/>
    <col min="3868" max="3868" width="36.140625" style="2" customWidth="1"/>
    <col min="3869" max="3869" width="29.42578125" style="2" customWidth="1"/>
    <col min="3870" max="3870" width="16" style="2" customWidth="1"/>
    <col min="3871" max="3871" width="38.28515625" style="2" customWidth="1"/>
    <col min="3872" max="3872" width="12" style="2" customWidth="1"/>
    <col min="3873" max="3873" width="38.140625" style="2" customWidth="1"/>
    <col min="3874" max="3874" width="17.85546875" style="2" bestFit="1" customWidth="1"/>
    <col min="3875" max="3875" width="24.7109375" style="2" customWidth="1"/>
    <col min="3876" max="3876" width="36.42578125" style="2" customWidth="1"/>
    <col min="3877" max="3877" width="46.7109375" style="2" customWidth="1"/>
    <col min="3878" max="3878" width="43.7109375" style="2" customWidth="1"/>
    <col min="3879" max="3879" width="25.42578125" style="2" customWidth="1"/>
    <col min="3880" max="3880" width="12.42578125" style="2" customWidth="1"/>
    <col min="3881" max="3881" width="16.42578125" style="2" customWidth="1"/>
    <col min="3882" max="3882" width="13.42578125" style="2" customWidth="1"/>
    <col min="3883" max="3883" width="8.5703125" style="2" customWidth="1"/>
    <col min="3884" max="3887" width="11.42578125" style="2" customWidth="1"/>
    <col min="3888" max="3888" width="12.7109375" style="2" customWidth="1"/>
    <col min="3889" max="3889" width="11.85546875" style="2" customWidth="1"/>
    <col min="3890" max="3890" width="7.85546875" style="2" customWidth="1"/>
    <col min="3891" max="3891" width="7.5703125" style="2" customWidth="1"/>
    <col min="3892" max="3892" width="8.85546875" style="2" customWidth="1"/>
    <col min="3893" max="3893" width="8.140625" style="2" customWidth="1"/>
    <col min="3894" max="3894" width="7.85546875" style="2" customWidth="1"/>
    <col min="3895" max="3895" width="8.5703125" style="2" customWidth="1"/>
    <col min="3896" max="3896" width="8.28515625" style="2" customWidth="1"/>
    <col min="3897" max="3897" width="11.42578125" style="2" customWidth="1"/>
    <col min="3898" max="3898" width="18" style="2" customWidth="1"/>
    <col min="3899" max="3899" width="21.42578125" style="2" customWidth="1"/>
    <col min="3900" max="3900" width="27.85546875" style="2" customWidth="1"/>
    <col min="3901" max="4116" width="11.42578125" style="2"/>
    <col min="4117" max="4117" width="13.5703125" style="2" customWidth="1"/>
    <col min="4118" max="4118" width="19" style="2" customWidth="1"/>
    <col min="4119" max="4119" width="13.5703125" style="2" customWidth="1"/>
    <col min="4120" max="4120" width="19.7109375" style="2" customWidth="1"/>
    <col min="4121" max="4121" width="13.5703125" style="2" customWidth="1"/>
    <col min="4122" max="4123" width="14.7109375" style="2" customWidth="1"/>
    <col min="4124" max="4124" width="36.140625" style="2" customWidth="1"/>
    <col min="4125" max="4125" width="29.42578125" style="2" customWidth="1"/>
    <col min="4126" max="4126" width="16" style="2" customWidth="1"/>
    <col min="4127" max="4127" width="38.28515625" style="2" customWidth="1"/>
    <col min="4128" max="4128" width="12" style="2" customWidth="1"/>
    <col min="4129" max="4129" width="38.140625" style="2" customWidth="1"/>
    <col min="4130" max="4130" width="17.85546875" style="2" bestFit="1" customWidth="1"/>
    <col min="4131" max="4131" width="24.7109375" style="2" customWidth="1"/>
    <col min="4132" max="4132" width="36.42578125" style="2" customWidth="1"/>
    <col min="4133" max="4133" width="46.7109375" style="2" customWidth="1"/>
    <col min="4134" max="4134" width="43.7109375" style="2" customWidth="1"/>
    <col min="4135" max="4135" width="25.42578125" style="2" customWidth="1"/>
    <col min="4136" max="4136" width="12.42578125" style="2" customWidth="1"/>
    <col min="4137" max="4137" width="16.42578125" style="2" customWidth="1"/>
    <col min="4138" max="4138" width="13.42578125" style="2" customWidth="1"/>
    <col min="4139" max="4139" width="8.5703125" style="2" customWidth="1"/>
    <col min="4140" max="4143" width="11.42578125" style="2" customWidth="1"/>
    <col min="4144" max="4144" width="12.7109375" style="2" customWidth="1"/>
    <col min="4145" max="4145" width="11.85546875" style="2" customWidth="1"/>
    <col min="4146" max="4146" width="7.85546875" style="2" customWidth="1"/>
    <col min="4147" max="4147" width="7.5703125" style="2" customWidth="1"/>
    <col min="4148" max="4148" width="8.85546875" style="2" customWidth="1"/>
    <col min="4149" max="4149" width="8.140625" style="2" customWidth="1"/>
    <col min="4150" max="4150" width="7.85546875" style="2" customWidth="1"/>
    <col min="4151" max="4151" width="8.5703125" style="2" customWidth="1"/>
    <col min="4152" max="4152" width="8.28515625" style="2" customWidth="1"/>
    <col min="4153" max="4153" width="11.42578125" style="2" customWidth="1"/>
    <col min="4154" max="4154" width="18" style="2" customWidth="1"/>
    <col min="4155" max="4155" width="21.42578125" style="2" customWidth="1"/>
    <col min="4156" max="4156" width="27.85546875" style="2" customWidth="1"/>
    <col min="4157" max="4372" width="11.42578125" style="2"/>
    <col min="4373" max="4373" width="13.5703125" style="2" customWidth="1"/>
    <col min="4374" max="4374" width="19" style="2" customWidth="1"/>
    <col min="4375" max="4375" width="13.5703125" style="2" customWidth="1"/>
    <col min="4376" max="4376" width="19.7109375" style="2" customWidth="1"/>
    <col min="4377" max="4377" width="13.5703125" style="2" customWidth="1"/>
    <col min="4378" max="4379" width="14.7109375" style="2" customWidth="1"/>
    <col min="4380" max="4380" width="36.140625" style="2" customWidth="1"/>
    <col min="4381" max="4381" width="29.42578125" style="2" customWidth="1"/>
    <col min="4382" max="4382" width="16" style="2" customWidth="1"/>
    <col min="4383" max="4383" width="38.28515625" style="2" customWidth="1"/>
    <col min="4384" max="4384" width="12" style="2" customWidth="1"/>
    <col min="4385" max="4385" width="38.140625" style="2" customWidth="1"/>
    <col min="4386" max="4386" width="17.85546875" style="2" bestFit="1" customWidth="1"/>
    <col min="4387" max="4387" width="24.7109375" style="2" customWidth="1"/>
    <col min="4388" max="4388" width="36.42578125" style="2" customWidth="1"/>
    <col min="4389" max="4389" width="46.7109375" style="2" customWidth="1"/>
    <col min="4390" max="4390" width="43.7109375" style="2" customWidth="1"/>
    <col min="4391" max="4391" width="25.42578125" style="2" customWidth="1"/>
    <col min="4392" max="4392" width="12.42578125" style="2" customWidth="1"/>
    <col min="4393" max="4393" width="16.42578125" style="2" customWidth="1"/>
    <col min="4394" max="4394" width="13.42578125" style="2" customWidth="1"/>
    <col min="4395" max="4395" width="8.5703125" style="2" customWidth="1"/>
    <col min="4396" max="4399" width="11.42578125" style="2" customWidth="1"/>
    <col min="4400" max="4400" width="12.7109375" style="2" customWidth="1"/>
    <col min="4401" max="4401" width="11.85546875" style="2" customWidth="1"/>
    <col min="4402" max="4402" width="7.85546875" style="2" customWidth="1"/>
    <col min="4403" max="4403" width="7.5703125" style="2" customWidth="1"/>
    <col min="4404" max="4404" width="8.85546875" style="2" customWidth="1"/>
    <col min="4405" max="4405" width="8.140625" style="2" customWidth="1"/>
    <col min="4406" max="4406" width="7.85546875" style="2" customWidth="1"/>
    <col min="4407" max="4407" width="8.5703125" style="2" customWidth="1"/>
    <col min="4408" max="4408" width="8.28515625" style="2" customWidth="1"/>
    <col min="4409" max="4409" width="11.42578125" style="2" customWidth="1"/>
    <col min="4410" max="4410" width="18" style="2" customWidth="1"/>
    <col min="4411" max="4411" width="21.42578125" style="2" customWidth="1"/>
    <col min="4412" max="4412" width="27.85546875" style="2" customWidth="1"/>
    <col min="4413" max="4628" width="11.42578125" style="2"/>
    <col min="4629" max="4629" width="13.5703125" style="2" customWidth="1"/>
    <col min="4630" max="4630" width="19" style="2" customWidth="1"/>
    <col min="4631" max="4631" width="13.5703125" style="2" customWidth="1"/>
    <col min="4632" max="4632" width="19.7109375" style="2" customWidth="1"/>
    <col min="4633" max="4633" width="13.5703125" style="2" customWidth="1"/>
    <col min="4634" max="4635" width="14.7109375" style="2" customWidth="1"/>
    <col min="4636" max="4636" width="36.140625" style="2" customWidth="1"/>
    <col min="4637" max="4637" width="29.42578125" style="2" customWidth="1"/>
    <col min="4638" max="4638" width="16" style="2" customWidth="1"/>
    <col min="4639" max="4639" width="38.28515625" style="2" customWidth="1"/>
    <col min="4640" max="4640" width="12" style="2" customWidth="1"/>
    <col min="4641" max="4641" width="38.140625" style="2" customWidth="1"/>
    <col min="4642" max="4642" width="17.85546875" style="2" bestFit="1" customWidth="1"/>
    <col min="4643" max="4643" width="24.7109375" style="2" customWidth="1"/>
    <col min="4644" max="4644" width="36.42578125" style="2" customWidth="1"/>
    <col min="4645" max="4645" width="46.7109375" style="2" customWidth="1"/>
    <col min="4646" max="4646" width="43.7109375" style="2" customWidth="1"/>
    <col min="4647" max="4647" width="25.42578125" style="2" customWidth="1"/>
    <col min="4648" max="4648" width="12.42578125" style="2" customWidth="1"/>
    <col min="4649" max="4649" width="16.42578125" style="2" customWidth="1"/>
    <col min="4650" max="4650" width="13.42578125" style="2" customWidth="1"/>
    <col min="4651" max="4651" width="8.5703125" style="2" customWidth="1"/>
    <col min="4652" max="4655" width="11.42578125" style="2" customWidth="1"/>
    <col min="4656" max="4656" width="12.7109375" style="2" customWidth="1"/>
    <col min="4657" max="4657" width="11.85546875" style="2" customWidth="1"/>
    <col min="4658" max="4658" width="7.85546875" style="2" customWidth="1"/>
    <col min="4659" max="4659" width="7.5703125" style="2" customWidth="1"/>
    <col min="4660" max="4660" width="8.85546875" style="2" customWidth="1"/>
    <col min="4661" max="4661" width="8.140625" style="2" customWidth="1"/>
    <col min="4662" max="4662" width="7.85546875" style="2" customWidth="1"/>
    <col min="4663" max="4663" width="8.5703125" style="2" customWidth="1"/>
    <col min="4664" max="4664" width="8.28515625" style="2" customWidth="1"/>
    <col min="4665" max="4665" width="11.42578125" style="2" customWidth="1"/>
    <col min="4666" max="4666" width="18" style="2" customWidth="1"/>
    <col min="4667" max="4667" width="21.42578125" style="2" customWidth="1"/>
    <col min="4668" max="4668" width="27.85546875" style="2" customWidth="1"/>
    <col min="4669" max="4884" width="11.42578125" style="2"/>
    <col min="4885" max="4885" width="13.5703125" style="2" customWidth="1"/>
    <col min="4886" max="4886" width="19" style="2" customWidth="1"/>
    <col min="4887" max="4887" width="13.5703125" style="2" customWidth="1"/>
    <col min="4888" max="4888" width="19.7109375" style="2" customWidth="1"/>
    <col min="4889" max="4889" width="13.5703125" style="2" customWidth="1"/>
    <col min="4890" max="4891" width="14.7109375" style="2" customWidth="1"/>
    <col min="4892" max="4892" width="36.140625" style="2" customWidth="1"/>
    <col min="4893" max="4893" width="29.42578125" style="2" customWidth="1"/>
    <col min="4894" max="4894" width="16" style="2" customWidth="1"/>
    <col min="4895" max="4895" width="38.28515625" style="2" customWidth="1"/>
    <col min="4896" max="4896" width="12" style="2" customWidth="1"/>
    <col min="4897" max="4897" width="38.140625" style="2" customWidth="1"/>
    <col min="4898" max="4898" width="17.85546875" style="2" bestFit="1" customWidth="1"/>
    <col min="4899" max="4899" width="24.7109375" style="2" customWidth="1"/>
    <col min="4900" max="4900" width="36.42578125" style="2" customWidth="1"/>
    <col min="4901" max="4901" width="46.7109375" style="2" customWidth="1"/>
    <col min="4902" max="4902" width="43.7109375" style="2" customWidth="1"/>
    <col min="4903" max="4903" width="25.42578125" style="2" customWidth="1"/>
    <col min="4904" max="4904" width="12.42578125" style="2" customWidth="1"/>
    <col min="4905" max="4905" width="16.42578125" style="2" customWidth="1"/>
    <col min="4906" max="4906" width="13.42578125" style="2" customWidth="1"/>
    <col min="4907" max="4907" width="8.5703125" style="2" customWidth="1"/>
    <col min="4908" max="4911" width="11.42578125" style="2" customWidth="1"/>
    <col min="4912" max="4912" width="12.7109375" style="2" customWidth="1"/>
    <col min="4913" max="4913" width="11.85546875" style="2" customWidth="1"/>
    <col min="4914" max="4914" width="7.85546875" style="2" customWidth="1"/>
    <col min="4915" max="4915" width="7.5703125" style="2" customWidth="1"/>
    <col min="4916" max="4916" width="8.85546875" style="2" customWidth="1"/>
    <col min="4917" max="4917" width="8.140625" style="2" customWidth="1"/>
    <col min="4918" max="4918" width="7.85546875" style="2" customWidth="1"/>
    <col min="4919" max="4919" width="8.5703125" style="2" customWidth="1"/>
    <col min="4920" max="4920" width="8.28515625" style="2" customWidth="1"/>
    <col min="4921" max="4921" width="11.42578125" style="2" customWidth="1"/>
    <col min="4922" max="4922" width="18" style="2" customWidth="1"/>
    <col min="4923" max="4923" width="21.42578125" style="2" customWidth="1"/>
    <col min="4924" max="4924" width="27.85546875" style="2" customWidth="1"/>
    <col min="4925" max="5140" width="11.42578125" style="2"/>
    <col min="5141" max="5141" width="13.5703125" style="2" customWidth="1"/>
    <col min="5142" max="5142" width="19" style="2" customWidth="1"/>
    <col min="5143" max="5143" width="13.5703125" style="2" customWidth="1"/>
    <col min="5144" max="5144" width="19.7109375" style="2" customWidth="1"/>
    <col min="5145" max="5145" width="13.5703125" style="2" customWidth="1"/>
    <col min="5146" max="5147" width="14.7109375" style="2" customWidth="1"/>
    <col min="5148" max="5148" width="36.140625" style="2" customWidth="1"/>
    <col min="5149" max="5149" width="29.42578125" style="2" customWidth="1"/>
    <col min="5150" max="5150" width="16" style="2" customWidth="1"/>
    <col min="5151" max="5151" width="38.28515625" style="2" customWidth="1"/>
    <col min="5152" max="5152" width="12" style="2" customWidth="1"/>
    <col min="5153" max="5153" width="38.140625" style="2" customWidth="1"/>
    <col min="5154" max="5154" width="17.85546875" style="2" bestFit="1" customWidth="1"/>
    <col min="5155" max="5155" width="24.7109375" style="2" customWidth="1"/>
    <col min="5156" max="5156" width="36.42578125" style="2" customWidth="1"/>
    <col min="5157" max="5157" width="46.7109375" style="2" customWidth="1"/>
    <col min="5158" max="5158" width="43.7109375" style="2" customWidth="1"/>
    <col min="5159" max="5159" width="25.42578125" style="2" customWidth="1"/>
    <col min="5160" max="5160" width="12.42578125" style="2" customWidth="1"/>
    <col min="5161" max="5161" width="16.42578125" style="2" customWidth="1"/>
    <col min="5162" max="5162" width="13.42578125" style="2" customWidth="1"/>
    <col min="5163" max="5163" width="8.5703125" style="2" customWidth="1"/>
    <col min="5164" max="5167" width="11.42578125" style="2" customWidth="1"/>
    <col min="5168" max="5168" width="12.7109375" style="2" customWidth="1"/>
    <col min="5169" max="5169" width="11.85546875" style="2" customWidth="1"/>
    <col min="5170" max="5170" width="7.85546875" style="2" customWidth="1"/>
    <col min="5171" max="5171" width="7.5703125" style="2" customWidth="1"/>
    <col min="5172" max="5172" width="8.85546875" style="2" customWidth="1"/>
    <col min="5173" max="5173" width="8.140625" style="2" customWidth="1"/>
    <col min="5174" max="5174" width="7.85546875" style="2" customWidth="1"/>
    <col min="5175" max="5175" width="8.5703125" style="2" customWidth="1"/>
    <col min="5176" max="5176" width="8.28515625" style="2" customWidth="1"/>
    <col min="5177" max="5177" width="11.42578125" style="2" customWidth="1"/>
    <col min="5178" max="5178" width="18" style="2" customWidth="1"/>
    <col min="5179" max="5179" width="21.42578125" style="2" customWidth="1"/>
    <col min="5180" max="5180" width="27.85546875" style="2" customWidth="1"/>
    <col min="5181" max="5396" width="11.42578125" style="2"/>
    <col min="5397" max="5397" width="13.5703125" style="2" customWidth="1"/>
    <col min="5398" max="5398" width="19" style="2" customWidth="1"/>
    <col min="5399" max="5399" width="13.5703125" style="2" customWidth="1"/>
    <col min="5400" max="5400" width="19.7109375" style="2" customWidth="1"/>
    <col min="5401" max="5401" width="13.5703125" style="2" customWidth="1"/>
    <col min="5402" max="5403" width="14.7109375" style="2" customWidth="1"/>
    <col min="5404" max="5404" width="36.140625" style="2" customWidth="1"/>
    <col min="5405" max="5405" width="29.42578125" style="2" customWidth="1"/>
    <col min="5406" max="5406" width="16" style="2" customWidth="1"/>
    <col min="5407" max="5407" width="38.28515625" style="2" customWidth="1"/>
    <col min="5408" max="5408" width="12" style="2" customWidth="1"/>
    <col min="5409" max="5409" width="38.140625" style="2" customWidth="1"/>
    <col min="5410" max="5410" width="17.85546875" style="2" bestFit="1" customWidth="1"/>
    <col min="5411" max="5411" width="24.7109375" style="2" customWidth="1"/>
    <col min="5412" max="5412" width="36.42578125" style="2" customWidth="1"/>
    <col min="5413" max="5413" width="46.7109375" style="2" customWidth="1"/>
    <col min="5414" max="5414" width="43.7109375" style="2" customWidth="1"/>
    <col min="5415" max="5415" width="25.42578125" style="2" customWidth="1"/>
    <col min="5416" max="5416" width="12.42578125" style="2" customWidth="1"/>
    <col min="5417" max="5417" width="16.42578125" style="2" customWidth="1"/>
    <col min="5418" max="5418" width="13.42578125" style="2" customWidth="1"/>
    <col min="5419" max="5419" width="8.5703125" style="2" customWidth="1"/>
    <col min="5420" max="5423" width="11.42578125" style="2" customWidth="1"/>
    <col min="5424" max="5424" width="12.7109375" style="2" customWidth="1"/>
    <col min="5425" max="5425" width="11.85546875" style="2" customWidth="1"/>
    <col min="5426" max="5426" width="7.85546875" style="2" customWidth="1"/>
    <col min="5427" max="5427" width="7.5703125" style="2" customWidth="1"/>
    <col min="5428" max="5428" width="8.85546875" style="2" customWidth="1"/>
    <col min="5429" max="5429" width="8.140625" style="2" customWidth="1"/>
    <col min="5430" max="5430" width="7.85546875" style="2" customWidth="1"/>
    <col min="5431" max="5431" width="8.5703125" style="2" customWidth="1"/>
    <col min="5432" max="5432" width="8.28515625" style="2" customWidth="1"/>
    <col min="5433" max="5433" width="11.42578125" style="2" customWidth="1"/>
    <col min="5434" max="5434" width="18" style="2" customWidth="1"/>
    <col min="5435" max="5435" width="21.42578125" style="2" customWidth="1"/>
    <col min="5436" max="5436" width="27.85546875" style="2" customWidth="1"/>
    <col min="5437" max="5652" width="11.42578125" style="2"/>
    <col min="5653" max="5653" width="13.5703125" style="2" customWidth="1"/>
    <col min="5654" max="5654" width="19" style="2" customWidth="1"/>
    <col min="5655" max="5655" width="13.5703125" style="2" customWidth="1"/>
    <col min="5656" max="5656" width="19.7109375" style="2" customWidth="1"/>
    <col min="5657" max="5657" width="13.5703125" style="2" customWidth="1"/>
    <col min="5658" max="5659" width="14.7109375" style="2" customWidth="1"/>
    <col min="5660" max="5660" width="36.140625" style="2" customWidth="1"/>
    <col min="5661" max="5661" width="29.42578125" style="2" customWidth="1"/>
    <col min="5662" max="5662" width="16" style="2" customWidth="1"/>
    <col min="5663" max="5663" width="38.28515625" style="2" customWidth="1"/>
    <col min="5664" max="5664" width="12" style="2" customWidth="1"/>
    <col min="5665" max="5665" width="38.140625" style="2" customWidth="1"/>
    <col min="5666" max="5666" width="17.85546875" style="2" bestFit="1" customWidth="1"/>
    <col min="5667" max="5667" width="24.7109375" style="2" customWidth="1"/>
    <col min="5668" max="5668" width="36.42578125" style="2" customWidth="1"/>
    <col min="5669" max="5669" width="46.7109375" style="2" customWidth="1"/>
    <col min="5670" max="5670" width="43.7109375" style="2" customWidth="1"/>
    <col min="5671" max="5671" width="25.42578125" style="2" customWidth="1"/>
    <col min="5672" max="5672" width="12.42578125" style="2" customWidth="1"/>
    <col min="5673" max="5673" width="16.42578125" style="2" customWidth="1"/>
    <col min="5674" max="5674" width="13.42578125" style="2" customWidth="1"/>
    <col min="5675" max="5675" width="8.5703125" style="2" customWidth="1"/>
    <col min="5676" max="5679" width="11.42578125" style="2" customWidth="1"/>
    <col min="5680" max="5680" width="12.7109375" style="2" customWidth="1"/>
    <col min="5681" max="5681" width="11.85546875" style="2" customWidth="1"/>
    <col min="5682" max="5682" width="7.85546875" style="2" customWidth="1"/>
    <col min="5683" max="5683" width="7.5703125" style="2" customWidth="1"/>
    <col min="5684" max="5684" width="8.85546875" style="2" customWidth="1"/>
    <col min="5685" max="5685" width="8.140625" style="2" customWidth="1"/>
    <col min="5686" max="5686" width="7.85546875" style="2" customWidth="1"/>
    <col min="5687" max="5687" width="8.5703125" style="2" customWidth="1"/>
    <col min="5688" max="5688" width="8.28515625" style="2" customWidth="1"/>
    <col min="5689" max="5689" width="11.42578125" style="2" customWidth="1"/>
    <col min="5690" max="5690" width="18" style="2" customWidth="1"/>
    <col min="5691" max="5691" width="21.42578125" style="2" customWidth="1"/>
    <col min="5692" max="5692" width="27.85546875" style="2" customWidth="1"/>
    <col min="5693" max="5908" width="11.42578125" style="2"/>
    <col min="5909" max="5909" width="13.5703125" style="2" customWidth="1"/>
    <col min="5910" max="5910" width="19" style="2" customWidth="1"/>
    <col min="5911" max="5911" width="13.5703125" style="2" customWidth="1"/>
    <col min="5912" max="5912" width="19.7109375" style="2" customWidth="1"/>
    <col min="5913" max="5913" width="13.5703125" style="2" customWidth="1"/>
    <col min="5914" max="5915" width="14.7109375" style="2" customWidth="1"/>
    <col min="5916" max="5916" width="36.140625" style="2" customWidth="1"/>
    <col min="5917" max="5917" width="29.42578125" style="2" customWidth="1"/>
    <col min="5918" max="5918" width="16" style="2" customWidth="1"/>
    <col min="5919" max="5919" width="38.28515625" style="2" customWidth="1"/>
    <col min="5920" max="5920" width="12" style="2" customWidth="1"/>
    <col min="5921" max="5921" width="38.140625" style="2" customWidth="1"/>
    <col min="5922" max="5922" width="17.85546875" style="2" bestFit="1" customWidth="1"/>
    <col min="5923" max="5923" width="24.7109375" style="2" customWidth="1"/>
    <col min="5924" max="5924" width="36.42578125" style="2" customWidth="1"/>
    <col min="5925" max="5925" width="46.7109375" style="2" customWidth="1"/>
    <col min="5926" max="5926" width="43.7109375" style="2" customWidth="1"/>
    <col min="5927" max="5927" width="25.42578125" style="2" customWidth="1"/>
    <col min="5928" max="5928" width="12.42578125" style="2" customWidth="1"/>
    <col min="5929" max="5929" width="16.42578125" style="2" customWidth="1"/>
    <col min="5930" max="5930" width="13.42578125" style="2" customWidth="1"/>
    <col min="5931" max="5931" width="8.5703125" style="2" customWidth="1"/>
    <col min="5932" max="5935" width="11.42578125" style="2" customWidth="1"/>
    <col min="5936" max="5936" width="12.7109375" style="2" customWidth="1"/>
    <col min="5937" max="5937" width="11.85546875" style="2" customWidth="1"/>
    <col min="5938" max="5938" width="7.85546875" style="2" customWidth="1"/>
    <col min="5939" max="5939" width="7.5703125" style="2" customWidth="1"/>
    <col min="5940" max="5940" width="8.85546875" style="2" customWidth="1"/>
    <col min="5941" max="5941" width="8.140625" style="2" customWidth="1"/>
    <col min="5942" max="5942" width="7.85546875" style="2" customWidth="1"/>
    <col min="5943" max="5943" width="8.5703125" style="2" customWidth="1"/>
    <col min="5944" max="5944" width="8.28515625" style="2" customWidth="1"/>
    <col min="5945" max="5945" width="11.42578125" style="2" customWidth="1"/>
    <col min="5946" max="5946" width="18" style="2" customWidth="1"/>
    <col min="5947" max="5947" width="21.42578125" style="2" customWidth="1"/>
    <col min="5948" max="5948" width="27.85546875" style="2" customWidth="1"/>
    <col min="5949" max="6164" width="11.42578125" style="2"/>
    <col min="6165" max="6165" width="13.5703125" style="2" customWidth="1"/>
    <col min="6166" max="6166" width="19" style="2" customWidth="1"/>
    <col min="6167" max="6167" width="13.5703125" style="2" customWidth="1"/>
    <col min="6168" max="6168" width="19.7109375" style="2" customWidth="1"/>
    <col min="6169" max="6169" width="13.5703125" style="2" customWidth="1"/>
    <col min="6170" max="6171" width="14.7109375" style="2" customWidth="1"/>
    <col min="6172" max="6172" width="36.140625" style="2" customWidth="1"/>
    <col min="6173" max="6173" width="29.42578125" style="2" customWidth="1"/>
    <col min="6174" max="6174" width="16" style="2" customWidth="1"/>
    <col min="6175" max="6175" width="38.28515625" style="2" customWidth="1"/>
    <col min="6176" max="6176" width="12" style="2" customWidth="1"/>
    <col min="6177" max="6177" width="38.140625" style="2" customWidth="1"/>
    <col min="6178" max="6178" width="17.85546875" style="2" bestFit="1" customWidth="1"/>
    <col min="6179" max="6179" width="24.7109375" style="2" customWidth="1"/>
    <col min="6180" max="6180" width="36.42578125" style="2" customWidth="1"/>
    <col min="6181" max="6181" width="46.7109375" style="2" customWidth="1"/>
    <col min="6182" max="6182" width="43.7109375" style="2" customWidth="1"/>
    <col min="6183" max="6183" width="25.42578125" style="2" customWidth="1"/>
    <col min="6184" max="6184" width="12.42578125" style="2" customWidth="1"/>
    <col min="6185" max="6185" width="16.42578125" style="2" customWidth="1"/>
    <col min="6186" max="6186" width="13.42578125" style="2" customWidth="1"/>
    <col min="6187" max="6187" width="8.5703125" style="2" customWidth="1"/>
    <col min="6188" max="6191" width="11.42578125" style="2" customWidth="1"/>
    <col min="6192" max="6192" width="12.7109375" style="2" customWidth="1"/>
    <col min="6193" max="6193" width="11.85546875" style="2" customWidth="1"/>
    <col min="6194" max="6194" width="7.85546875" style="2" customWidth="1"/>
    <col min="6195" max="6195" width="7.5703125" style="2" customWidth="1"/>
    <col min="6196" max="6196" width="8.85546875" style="2" customWidth="1"/>
    <col min="6197" max="6197" width="8.140625" style="2" customWidth="1"/>
    <col min="6198" max="6198" width="7.85546875" style="2" customWidth="1"/>
    <col min="6199" max="6199" width="8.5703125" style="2" customWidth="1"/>
    <col min="6200" max="6200" width="8.28515625" style="2" customWidth="1"/>
    <col min="6201" max="6201" width="11.42578125" style="2" customWidth="1"/>
    <col min="6202" max="6202" width="18" style="2" customWidth="1"/>
    <col min="6203" max="6203" width="21.42578125" style="2" customWidth="1"/>
    <col min="6204" max="6204" width="27.85546875" style="2" customWidth="1"/>
    <col min="6205" max="6420" width="11.42578125" style="2"/>
    <col min="6421" max="6421" width="13.5703125" style="2" customWidth="1"/>
    <col min="6422" max="6422" width="19" style="2" customWidth="1"/>
    <col min="6423" max="6423" width="13.5703125" style="2" customWidth="1"/>
    <col min="6424" max="6424" width="19.7109375" style="2" customWidth="1"/>
    <col min="6425" max="6425" width="13.5703125" style="2" customWidth="1"/>
    <col min="6426" max="6427" width="14.7109375" style="2" customWidth="1"/>
    <col min="6428" max="6428" width="36.140625" style="2" customWidth="1"/>
    <col min="6429" max="6429" width="29.42578125" style="2" customWidth="1"/>
    <col min="6430" max="6430" width="16" style="2" customWidth="1"/>
    <col min="6431" max="6431" width="38.28515625" style="2" customWidth="1"/>
    <col min="6432" max="6432" width="12" style="2" customWidth="1"/>
    <col min="6433" max="6433" width="38.140625" style="2" customWidth="1"/>
    <col min="6434" max="6434" width="17.85546875" style="2" bestFit="1" customWidth="1"/>
    <col min="6435" max="6435" width="24.7109375" style="2" customWidth="1"/>
    <col min="6436" max="6436" width="36.42578125" style="2" customWidth="1"/>
    <col min="6437" max="6437" width="46.7109375" style="2" customWidth="1"/>
    <col min="6438" max="6438" width="43.7109375" style="2" customWidth="1"/>
    <col min="6439" max="6439" width="25.42578125" style="2" customWidth="1"/>
    <col min="6440" max="6440" width="12.42578125" style="2" customWidth="1"/>
    <col min="6441" max="6441" width="16.42578125" style="2" customWidth="1"/>
    <col min="6442" max="6442" width="13.42578125" style="2" customWidth="1"/>
    <col min="6443" max="6443" width="8.5703125" style="2" customWidth="1"/>
    <col min="6444" max="6447" width="11.42578125" style="2" customWidth="1"/>
    <col min="6448" max="6448" width="12.7109375" style="2" customWidth="1"/>
    <col min="6449" max="6449" width="11.85546875" style="2" customWidth="1"/>
    <col min="6450" max="6450" width="7.85546875" style="2" customWidth="1"/>
    <col min="6451" max="6451" width="7.5703125" style="2" customWidth="1"/>
    <col min="6452" max="6452" width="8.85546875" style="2" customWidth="1"/>
    <col min="6453" max="6453" width="8.140625" style="2" customWidth="1"/>
    <col min="6454" max="6454" width="7.85546875" style="2" customWidth="1"/>
    <col min="6455" max="6455" width="8.5703125" style="2" customWidth="1"/>
    <col min="6456" max="6456" width="8.28515625" style="2" customWidth="1"/>
    <col min="6457" max="6457" width="11.42578125" style="2" customWidth="1"/>
    <col min="6458" max="6458" width="18" style="2" customWidth="1"/>
    <col min="6459" max="6459" width="21.42578125" style="2" customWidth="1"/>
    <col min="6460" max="6460" width="27.85546875" style="2" customWidth="1"/>
    <col min="6461" max="6676" width="11.42578125" style="2"/>
    <col min="6677" max="6677" width="13.5703125" style="2" customWidth="1"/>
    <col min="6678" max="6678" width="19" style="2" customWidth="1"/>
    <col min="6679" max="6679" width="13.5703125" style="2" customWidth="1"/>
    <col min="6680" max="6680" width="19.7109375" style="2" customWidth="1"/>
    <col min="6681" max="6681" width="13.5703125" style="2" customWidth="1"/>
    <col min="6682" max="6683" width="14.7109375" style="2" customWidth="1"/>
    <col min="6684" max="6684" width="36.140625" style="2" customWidth="1"/>
    <col min="6685" max="6685" width="29.42578125" style="2" customWidth="1"/>
    <col min="6686" max="6686" width="16" style="2" customWidth="1"/>
    <col min="6687" max="6687" width="38.28515625" style="2" customWidth="1"/>
    <col min="6688" max="6688" width="12" style="2" customWidth="1"/>
    <col min="6689" max="6689" width="38.140625" style="2" customWidth="1"/>
    <col min="6690" max="6690" width="17.85546875" style="2" bestFit="1" customWidth="1"/>
    <col min="6691" max="6691" width="24.7109375" style="2" customWidth="1"/>
    <col min="6692" max="6692" width="36.42578125" style="2" customWidth="1"/>
    <col min="6693" max="6693" width="46.7109375" style="2" customWidth="1"/>
    <col min="6694" max="6694" width="43.7109375" style="2" customWidth="1"/>
    <col min="6695" max="6695" width="25.42578125" style="2" customWidth="1"/>
    <col min="6696" max="6696" width="12.42578125" style="2" customWidth="1"/>
    <col min="6697" max="6697" width="16.42578125" style="2" customWidth="1"/>
    <col min="6698" max="6698" width="13.42578125" style="2" customWidth="1"/>
    <col min="6699" max="6699" width="8.5703125" style="2" customWidth="1"/>
    <col min="6700" max="6703" width="11.42578125" style="2" customWidth="1"/>
    <col min="6704" max="6704" width="12.7109375" style="2" customWidth="1"/>
    <col min="6705" max="6705" width="11.85546875" style="2" customWidth="1"/>
    <col min="6706" max="6706" width="7.85546875" style="2" customWidth="1"/>
    <col min="6707" max="6707" width="7.5703125" style="2" customWidth="1"/>
    <col min="6708" max="6708" width="8.85546875" style="2" customWidth="1"/>
    <col min="6709" max="6709" width="8.140625" style="2" customWidth="1"/>
    <col min="6710" max="6710" width="7.85546875" style="2" customWidth="1"/>
    <col min="6711" max="6711" width="8.5703125" style="2" customWidth="1"/>
    <col min="6712" max="6712" width="8.28515625" style="2" customWidth="1"/>
    <col min="6713" max="6713" width="11.42578125" style="2" customWidth="1"/>
    <col min="6714" max="6714" width="18" style="2" customWidth="1"/>
    <col min="6715" max="6715" width="21.42578125" style="2" customWidth="1"/>
    <col min="6716" max="6716" width="27.85546875" style="2" customWidth="1"/>
    <col min="6717" max="6932" width="11.42578125" style="2"/>
    <col min="6933" max="6933" width="13.5703125" style="2" customWidth="1"/>
    <col min="6934" max="6934" width="19" style="2" customWidth="1"/>
    <col min="6935" max="6935" width="13.5703125" style="2" customWidth="1"/>
    <col min="6936" max="6936" width="19.7109375" style="2" customWidth="1"/>
    <col min="6937" max="6937" width="13.5703125" style="2" customWidth="1"/>
    <col min="6938" max="6939" width="14.7109375" style="2" customWidth="1"/>
    <col min="6940" max="6940" width="36.140625" style="2" customWidth="1"/>
    <col min="6941" max="6941" width="29.42578125" style="2" customWidth="1"/>
    <col min="6942" max="6942" width="16" style="2" customWidth="1"/>
    <col min="6943" max="6943" width="38.28515625" style="2" customWidth="1"/>
    <col min="6944" max="6944" width="12" style="2" customWidth="1"/>
    <col min="6945" max="6945" width="38.140625" style="2" customWidth="1"/>
    <col min="6946" max="6946" width="17.85546875" style="2" bestFit="1" customWidth="1"/>
    <col min="6947" max="6947" width="24.7109375" style="2" customWidth="1"/>
    <col min="6948" max="6948" width="36.42578125" style="2" customWidth="1"/>
    <col min="6949" max="6949" width="46.7109375" style="2" customWidth="1"/>
    <col min="6950" max="6950" width="43.7109375" style="2" customWidth="1"/>
    <col min="6951" max="6951" width="25.42578125" style="2" customWidth="1"/>
    <col min="6952" max="6952" width="12.42578125" style="2" customWidth="1"/>
    <col min="6953" max="6953" width="16.42578125" style="2" customWidth="1"/>
    <col min="6954" max="6954" width="13.42578125" style="2" customWidth="1"/>
    <col min="6955" max="6955" width="8.5703125" style="2" customWidth="1"/>
    <col min="6956" max="6959" width="11.42578125" style="2" customWidth="1"/>
    <col min="6960" max="6960" width="12.7109375" style="2" customWidth="1"/>
    <col min="6961" max="6961" width="11.85546875" style="2" customWidth="1"/>
    <col min="6962" max="6962" width="7.85546875" style="2" customWidth="1"/>
    <col min="6963" max="6963" width="7.5703125" style="2" customWidth="1"/>
    <col min="6964" max="6964" width="8.85546875" style="2" customWidth="1"/>
    <col min="6965" max="6965" width="8.140625" style="2" customWidth="1"/>
    <col min="6966" max="6966" width="7.85546875" style="2" customWidth="1"/>
    <col min="6967" max="6967" width="8.5703125" style="2" customWidth="1"/>
    <col min="6968" max="6968" width="8.28515625" style="2" customWidth="1"/>
    <col min="6969" max="6969" width="11.42578125" style="2" customWidth="1"/>
    <col min="6970" max="6970" width="18" style="2" customWidth="1"/>
    <col min="6971" max="6971" width="21.42578125" style="2" customWidth="1"/>
    <col min="6972" max="6972" width="27.85546875" style="2" customWidth="1"/>
    <col min="6973" max="7188" width="11.42578125" style="2"/>
    <col min="7189" max="7189" width="13.5703125" style="2" customWidth="1"/>
    <col min="7190" max="7190" width="19" style="2" customWidth="1"/>
    <col min="7191" max="7191" width="13.5703125" style="2" customWidth="1"/>
    <col min="7192" max="7192" width="19.7109375" style="2" customWidth="1"/>
    <col min="7193" max="7193" width="13.5703125" style="2" customWidth="1"/>
    <col min="7194" max="7195" width="14.7109375" style="2" customWidth="1"/>
    <col min="7196" max="7196" width="36.140625" style="2" customWidth="1"/>
    <col min="7197" max="7197" width="29.42578125" style="2" customWidth="1"/>
    <col min="7198" max="7198" width="16" style="2" customWidth="1"/>
    <col min="7199" max="7199" width="38.28515625" style="2" customWidth="1"/>
    <col min="7200" max="7200" width="12" style="2" customWidth="1"/>
    <col min="7201" max="7201" width="38.140625" style="2" customWidth="1"/>
    <col min="7202" max="7202" width="17.85546875" style="2" bestFit="1" customWidth="1"/>
    <col min="7203" max="7203" width="24.7109375" style="2" customWidth="1"/>
    <col min="7204" max="7204" width="36.42578125" style="2" customWidth="1"/>
    <col min="7205" max="7205" width="46.7109375" style="2" customWidth="1"/>
    <col min="7206" max="7206" width="43.7109375" style="2" customWidth="1"/>
    <col min="7207" max="7207" width="25.42578125" style="2" customWidth="1"/>
    <col min="7208" max="7208" width="12.42578125" style="2" customWidth="1"/>
    <col min="7209" max="7209" width="16.42578125" style="2" customWidth="1"/>
    <col min="7210" max="7210" width="13.42578125" style="2" customWidth="1"/>
    <col min="7211" max="7211" width="8.5703125" style="2" customWidth="1"/>
    <col min="7212" max="7215" width="11.42578125" style="2" customWidth="1"/>
    <col min="7216" max="7216" width="12.7109375" style="2" customWidth="1"/>
    <col min="7217" max="7217" width="11.85546875" style="2" customWidth="1"/>
    <col min="7218" max="7218" width="7.85546875" style="2" customWidth="1"/>
    <col min="7219" max="7219" width="7.5703125" style="2" customWidth="1"/>
    <col min="7220" max="7220" width="8.85546875" style="2" customWidth="1"/>
    <col min="7221" max="7221" width="8.140625" style="2" customWidth="1"/>
    <col min="7222" max="7222" width="7.85546875" style="2" customWidth="1"/>
    <col min="7223" max="7223" width="8.5703125" style="2" customWidth="1"/>
    <col min="7224" max="7224" width="8.28515625" style="2" customWidth="1"/>
    <col min="7225" max="7225" width="11.42578125" style="2" customWidth="1"/>
    <col min="7226" max="7226" width="18" style="2" customWidth="1"/>
    <col min="7227" max="7227" width="21.42578125" style="2" customWidth="1"/>
    <col min="7228" max="7228" width="27.85546875" style="2" customWidth="1"/>
    <col min="7229" max="7444" width="11.42578125" style="2"/>
    <col min="7445" max="7445" width="13.5703125" style="2" customWidth="1"/>
    <col min="7446" max="7446" width="19" style="2" customWidth="1"/>
    <col min="7447" max="7447" width="13.5703125" style="2" customWidth="1"/>
    <col min="7448" max="7448" width="19.7109375" style="2" customWidth="1"/>
    <col min="7449" max="7449" width="13.5703125" style="2" customWidth="1"/>
    <col min="7450" max="7451" width="14.7109375" style="2" customWidth="1"/>
    <col min="7452" max="7452" width="36.140625" style="2" customWidth="1"/>
    <col min="7453" max="7453" width="29.42578125" style="2" customWidth="1"/>
    <col min="7454" max="7454" width="16" style="2" customWidth="1"/>
    <col min="7455" max="7455" width="38.28515625" style="2" customWidth="1"/>
    <col min="7456" max="7456" width="12" style="2" customWidth="1"/>
    <col min="7457" max="7457" width="38.140625" style="2" customWidth="1"/>
    <col min="7458" max="7458" width="17.85546875" style="2" bestFit="1" customWidth="1"/>
    <col min="7459" max="7459" width="24.7109375" style="2" customWidth="1"/>
    <col min="7460" max="7460" width="36.42578125" style="2" customWidth="1"/>
    <col min="7461" max="7461" width="46.7109375" style="2" customWidth="1"/>
    <col min="7462" max="7462" width="43.7109375" style="2" customWidth="1"/>
    <col min="7463" max="7463" width="25.42578125" style="2" customWidth="1"/>
    <col min="7464" max="7464" width="12.42578125" style="2" customWidth="1"/>
    <col min="7465" max="7465" width="16.42578125" style="2" customWidth="1"/>
    <col min="7466" max="7466" width="13.42578125" style="2" customWidth="1"/>
    <col min="7467" max="7467" width="8.5703125" style="2" customWidth="1"/>
    <col min="7468" max="7471" width="11.42578125" style="2" customWidth="1"/>
    <col min="7472" max="7472" width="12.7109375" style="2" customWidth="1"/>
    <col min="7473" max="7473" width="11.85546875" style="2" customWidth="1"/>
    <col min="7474" max="7474" width="7.85546875" style="2" customWidth="1"/>
    <col min="7475" max="7475" width="7.5703125" style="2" customWidth="1"/>
    <col min="7476" max="7476" width="8.85546875" style="2" customWidth="1"/>
    <col min="7477" max="7477" width="8.140625" style="2" customWidth="1"/>
    <col min="7478" max="7478" width="7.85546875" style="2" customWidth="1"/>
    <col min="7479" max="7479" width="8.5703125" style="2" customWidth="1"/>
    <col min="7480" max="7480" width="8.28515625" style="2" customWidth="1"/>
    <col min="7481" max="7481" width="11.42578125" style="2" customWidth="1"/>
    <col min="7482" max="7482" width="18" style="2" customWidth="1"/>
    <col min="7483" max="7483" width="21.42578125" style="2" customWidth="1"/>
    <col min="7484" max="7484" width="27.85546875" style="2" customWidth="1"/>
    <col min="7485" max="7700" width="11.42578125" style="2"/>
    <col min="7701" max="7701" width="13.5703125" style="2" customWidth="1"/>
    <col min="7702" max="7702" width="19" style="2" customWidth="1"/>
    <col min="7703" max="7703" width="13.5703125" style="2" customWidth="1"/>
    <col min="7704" max="7704" width="19.7109375" style="2" customWidth="1"/>
    <col min="7705" max="7705" width="13.5703125" style="2" customWidth="1"/>
    <col min="7706" max="7707" width="14.7109375" style="2" customWidth="1"/>
    <col min="7708" max="7708" width="36.140625" style="2" customWidth="1"/>
    <col min="7709" max="7709" width="29.42578125" style="2" customWidth="1"/>
    <col min="7710" max="7710" width="16" style="2" customWidth="1"/>
    <col min="7711" max="7711" width="38.28515625" style="2" customWidth="1"/>
    <col min="7712" max="7712" width="12" style="2" customWidth="1"/>
    <col min="7713" max="7713" width="38.140625" style="2" customWidth="1"/>
    <col min="7714" max="7714" width="17.85546875" style="2" bestFit="1" customWidth="1"/>
    <col min="7715" max="7715" width="24.7109375" style="2" customWidth="1"/>
    <col min="7716" max="7716" width="36.42578125" style="2" customWidth="1"/>
    <col min="7717" max="7717" width="46.7109375" style="2" customWidth="1"/>
    <col min="7718" max="7718" width="43.7109375" style="2" customWidth="1"/>
    <col min="7719" max="7719" width="25.42578125" style="2" customWidth="1"/>
    <col min="7720" max="7720" width="12.42578125" style="2" customWidth="1"/>
    <col min="7721" max="7721" width="16.42578125" style="2" customWidth="1"/>
    <col min="7722" max="7722" width="13.42578125" style="2" customWidth="1"/>
    <col min="7723" max="7723" width="8.5703125" style="2" customWidth="1"/>
    <col min="7724" max="7727" width="11.42578125" style="2" customWidth="1"/>
    <col min="7728" max="7728" width="12.7109375" style="2" customWidth="1"/>
    <col min="7729" max="7729" width="11.85546875" style="2" customWidth="1"/>
    <col min="7730" max="7730" width="7.85546875" style="2" customWidth="1"/>
    <col min="7731" max="7731" width="7.5703125" style="2" customWidth="1"/>
    <col min="7732" max="7732" width="8.85546875" style="2" customWidth="1"/>
    <col min="7733" max="7733" width="8.140625" style="2" customWidth="1"/>
    <col min="7734" max="7734" width="7.85546875" style="2" customWidth="1"/>
    <col min="7735" max="7735" width="8.5703125" style="2" customWidth="1"/>
    <col min="7736" max="7736" width="8.28515625" style="2" customWidth="1"/>
    <col min="7737" max="7737" width="11.42578125" style="2" customWidth="1"/>
    <col min="7738" max="7738" width="18" style="2" customWidth="1"/>
    <col min="7739" max="7739" width="21.42578125" style="2" customWidth="1"/>
    <col min="7740" max="7740" width="27.85546875" style="2" customWidth="1"/>
    <col min="7741" max="7956" width="11.42578125" style="2"/>
    <col min="7957" max="7957" width="13.5703125" style="2" customWidth="1"/>
    <col min="7958" max="7958" width="19" style="2" customWidth="1"/>
    <col min="7959" max="7959" width="13.5703125" style="2" customWidth="1"/>
    <col min="7960" max="7960" width="19.7109375" style="2" customWidth="1"/>
    <col min="7961" max="7961" width="13.5703125" style="2" customWidth="1"/>
    <col min="7962" max="7963" width="14.7109375" style="2" customWidth="1"/>
    <col min="7964" max="7964" width="36.140625" style="2" customWidth="1"/>
    <col min="7965" max="7965" width="29.42578125" style="2" customWidth="1"/>
    <col min="7966" max="7966" width="16" style="2" customWidth="1"/>
    <col min="7967" max="7967" width="38.28515625" style="2" customWidth="1"/>
    <col min="7968" max="7968" width="12" style="2" customWidth="1"/>
    <col min="7969" max="7969" width="38.140625" style="2" customWidth="1"/>
    <col min="7970" max="7970" width="17.85546875" style="2" bestFit="1" customWidth="1"/>
    <col min="7971" max="7971" width="24.7109375" style="2" customWidth="1"/>
    <col min="7972" max="7972" width="36.42578125" style="2" customWidth="1"/>
    <col min="7973" max="7973" width="46.7109375" style="2" customWidth="1"/>
    <col min="7974" max="7974" width="43.7109375" style="2" customWidth="1"/>
    <col min="7975" max="7975" width="25.42578125" style="2" customWidth="1"/>
    <col min="7976" max="7976" width="12.42578125" style="2" customWidth="1"/>
    <col min="7977" max="7977" width="16.42578125" style="2" customWidth="1"/>
    <col min="7978" max="7978" width="13.42578125" style="2" customWidth="1"/>
    <col min="7979" max="7979" width="8.5703125" style="2" customWidth="1"/>
    <col min="7980" max="7983" width="11.42578125" style="2" customWidth="1"/>
    <col min="7984" max="7984" width="12.7109375" style="2" customWidth="1"/>
    <col min="7985" max="7985" width="11.85546875" style="2" customWidth="1"/>
    <col min="7986" max="7986" width="7.85546875" style="2" customWidth="1"/>
    <col min="7987" max="7987" width="7.5703125" style="2" customWidth="1"/>
    <col min="7988" max="7988" width="8.85546875" style="2" customWidth="1"/>
    <col min="7989" max="7989" width="8.140625" style="2" customWidth="1"/>
    <col min="7990" max="7990" width="7.85546875" style="2" customWidth="1"/>
    <col min="7991" max="7991" width="8.5703125" style="2" customWidth="1"/>
    <col min="7992" max="7992" width="8.28515625" style="2" customWidth="1"/>
    <col min="7993" max="7993" width="11.42578125" style="2" customWidth="1"/>
    <col min="7994" max="7994" width="18" style="2" customWidth="1"/>
    <col min="7995" max="7995" width="21.42578125" style="2" customWidth="1"/>
    <col min="7996" max="7996" width="27.85546875" style="2" customWidth="1"/>
    <col min="7997" max="8212" width="11.42578125" style="2"/>
    <col min="8213" max="8213" width="13.5703125" style="2" customWidth="1"/>
    <col min="8214" max="8214" width="19" style="2" customWidth="1"/>
    <col min="8215" max="8215" width="13.5703125" style="2" customWidth="1"/>
    <col min="8216" max="8216" width="19.7109375" style="2" customWidth="1"/>
    <col min="8217" max="8217" width="13.5703125" style="2" customWidth="1"/>
    <col min="8218" max="8219" width="14.7109375" style="2" customWidth="1"/>
    <col min="8220" max="8220" width="36.140625" style="2" customWidth="1"/>
    <col min="8221" max="8221" width="29.42578125" style="2" customWidth="1"/>
    <col min="8222" max="8222" width="16" style="2" customWidth="1"/>
    <col min="8223" max="8223" width="38.28515625" style="2" customWidth="1"/>
    <col min="8224" max="8224" width="12" style="2" customWidth="1"/>
    <col min="8225" max="8225" width="38.140625" style="2" customWidth="1"/>
    <col min="8226" max="8226" width="17.85546875" style="2" bestFit="1" customWidth="1"/>
    <col min="8227" max="8227" width="24.7109375" style="2" customWidth="1"/>
    <col min="8228" max="8228" width="36.42578125" style="2" customWidth="1"/>
    <col min="8229" max="8229" width="46.7109375" style="2" customWidth="1"/>
    <col min="8230" max="8230" width="43.7109375" style="2" customWidth="1"/>
    <col min="8231" max="8231" width="25.42578125" style="2" customWidth="1"/>
    <col min="8232" max="8232" width="12.42578125" style="2" customWidth="1"/>
    <col min="8233" max="8233" width="16.42578125" style="2" customWidth="1"/>
    <col min="8234" max="8234" width="13.42578125" style="2" customWidth="1"/>
    <col min="8235" max="8235" width="8.5703125" style="2" customWidth="1"/>
    <col min="8236" max="8239" width="11.42578125" style="2" customWidth="1"/>
    <col min="8240" max="8240" width="12.7109375" style="2" customWidth="1"/>
    <col min="8241" max="8241" width="11.85546875" style="2" customWidth="1"/>
    <col min="8242" max="8242" width="7.85546875" style="2" customWidth="1"/>
    <col min="8243" max="8243" width="7.5703125" style="2" customWidth="1"/>
    <col min="8244" max="8244" width="8.85546875" style="2" customWidth="1"/>
    <col min="8245" max="8245" width="8.140625" style="2" customWidth="1"/>
    <col min="8246" max="8246" width="7.85546875" style="2" customWidth="1"/>
    <col min="8247" max="8247" width="8.5703125" style="2" customWidth="1"/>
    <col min="8248" max="8248" width="8.28515625" style="2" customWidth="1"/>
    <col min="8249" max="8249" width="11.42578125" style="2" customWidth="1"/>
    <col min="8250" max="8250" width="18" style="2" customWidth="1"/>
    <col min="8251" max="8251" width="21.42578125" style="2" customWidth="1"/>
    <col min="8252" max="8252" width="27.85546875" style="2" customWidth="1"/>
    <col min="8253" max="8468" width="11.42578125" style="2"/>
    <col min="8469" max="8469" width="13.5703125" style="2" customWidth="1"/>
    <col min="8470" max="8470" width="19" style="2" customWidth="1"/>
    <col min="8471" max="8471" width="13.5703125" style="2" customWidth="1"/>
    <col min="8472" max="8472" width="19.7109375" style="2" customWidth="1"/>
    <col min="8473" max="8473" width="13.5703125" style="2" customWidth="1"/>
    <col min="8474" max="8475" width="14.7109375" style="2" customWidth="1"/>
    <col min="8476" max="8476" width="36.140625" style="2" customWidth="1"/>
    <col min="8477" max="8477" width="29.42578125" style="2" customWidth="1"/>
    <col min="8478" max="8478" width="16" style="2" customWidth="1"/>
    <col min="8479" max="8479" width="38.28515625" style="2" customWidth="1"/>
    <col min="8480" max="8480" width="12" style="2" customWidth="1"/>
    <col min="8481" max="8481" width="38.140625" style="2" customWidth="1"/>
    <col min="8482" max="8482" width="17.85546875" style="2" bestFit="1" customWidth="1"/>
    <col min="8483" max="8483" width="24.7109375" style="2" customWidth="1"/>
    <col min="8484" max="8484" width="36.42578125" style="2" customWidth="1"/>
    <col min="8485" max="8485" width="46.7109375" style="2" customWidth="1"/>
    <col min="8486" max="8486" width="43.7109375" style="2" customWidth="1"/>
    <col min="8487" max="8487" width="25.42578125" style="2" customWidth="1"/>
    <col min="8488" max="8488" width="12.42578125" style="2" customWidth="1"/>
    <col min="8489" max="8489" width="16.42578125" style="2" customWidth="1"/>
    <col min="8490" max="8490" width="13.42578125" style="2" customWidth="1"/>
    <col min="8491" max="8491" width="8.5703125" style="2" customWidth="1"/>
    <col min="8492" max="8495" width="11.42578125" style="2" customWidth="1"/>
    <col min="8496" max="8496" width="12.7109375" style="2" customWidth="1"/>
    <col min="8497" max="8497" width="11.85546875" style="2" customWidth="1"/>
    <col min="8498" max="8498" width="7.85546875" style="2" customWidth="1"/>
    <col min="8499" max="8499" width="7.5703125" style="2" customWidth="1"/>
    <col min="8500" max="8500" width="8.85546875" style="2" customWidth="1"/>
    <col min="8501" max="8501" width="8.140625" style="2" customWidth="1"/>
    <col min="8502" max="8502" width="7.85546875" style="2" customWidth="1"/>
    <col min="8503" max="8503" width="8.5703125" style="2" customWidth="1"/>
    <col min="8504" max="8504" width="8.28515625" style="2" customWidth="1"/>
    <col min="8505" max="8505" width="11.42578125" style="2" customWidth="1"/>
    <col min="8506" max="8506" width="18" style="2" customWidth="1"/>
    <col min="8507" max="8507" width="21.42578125" style="2" customWidth="1"/>
    <col min="8508" max="8508" width="27.85546875" style="2" customWidth="1"/>
    <col min="8509" max="8724" width="11.42578125" style="2"/>
    <col min="8725" max="8725" width="13.5703125" style="2" customWidth="1"/>
    <col min="8726" max="8726" width="19" style="2" customWidth="1"/>
    <col min="8727" max="8727" width="13.5703125" style="2" customWidth="1"/>
    <col min="8728" max="8728" width="19.7109375" style="2" customWidth="1"/>
    <col min="8729" max="8729" width="13.5703125" style="2" customWidth="1"/>
    <col min="8730" max="8731" width="14.7109375" style="2" customWidth="1"/>
    <col min="8732" max="8732" width="36.140625" style="2" customWidth="1"/>
    <col min="8733" max="8733" width="29.42578125" style="2" customWidth="1"/>
    <col min="8734" max="8734" width="16" style="2" customWidth="1"/>
    <col min="8735" max="8735" width="38.28515625" style="2" customWidth="1"/>
    <col min="8736" max="8736" width="12" style="2" customWidth="1"/>
    <col min="8737" max="8737" width="38.140625" style="2" customWidth="1"/>
    <col min="8738" max="8738" width="17.85546875" style="2" bestFit="1" customWidth="1"/>
    <col min="8739" max="8739" width="24.7109375" style="2" customWidth="1"/>
    <col min="8740" max="8740" width="36.42578125" style="2" customWidth="1"/>
    <col min="8741" max="8741" width="46.7109375" style="2" customWidth="1"/>
    <col min="8742" max="8742" width="43.7109375" style="2" customWidth="1"/>
    <col min="8743" max="8743" width="25.42578125" style="2" customWidth="1"/>
    <col min="8744" max="8744" width="12.42578125" style="2" customWidth="1"/>
    <col min="8745" max="8745" width="16.42578125" style="2" customWidth="1"/>
    <col min="8746" max="8746" width="13.42578125" style="2" customWidth="1"/>
    <col min="8747" max="8747" width="8.5703125" style="2" customWidth="1"/>
    <col min="8748" max="8751" width="11.42578125" style="2" customWidth="1"/>
    <col min="8752" max="8752" width="12.7109375" style="2" customWidth="1"/>
    <col min="8753" max="8753" width="11.85546875" style="2" customWidth="1"/>
    <col min="8754" max="8754" width="7.85546875" style="2" customWidth="1"/>
    <col min="8755" max="8755" width="7.5703125" style="2" customWidth="1"/>
    <col min="8756" max="8756" width="8.85546875" style="2" customWidth="1"/>
    <col min="8757" max="8757" width="8.140625" style="2" customWidth="1"/>
    <col min="8758" max="8758" width="7.85546875" style="2" customWidth="1"/>
    <col min="8759" max="8759" width="8.5703125" style="2" customWidth="1"/>
    <col min="8760" max="8760" width="8.28515625" style="2" customWidth="1"/>
    <col min="8761" max="8761" width="11.42578125" style="2" customWidth="1"/>
    <col min="8762" max="8762" width="18" style="2" customWidth="1"/>
    <col min="8763" max="8763" width="21.42578125" style="2" customWidth="1"/>
    <col min="8764" max="8764" width="27.85546875" style="2" customWidth="1"/>
    <col min="8765" max="8980" width="11.42578125" style="2"/>
    <col min="8981" max="8981" width="13.5703125" style="2" customWidth="1"/>
    <col min="8982" max="8982" width="19" style="2" customWidth="1"/>
    <col min="8983" max="8983" width="13.5703125" style="2" customWidth="1"/>
    <col min="8984" max="8984" width="19.7109375" style="2" customWidth="1"/>
    <col min="8985" max="8985" width="13.5703125" style="2" customWidth="1"/>
    <col min="8986" max="8987" width="14.7109375" style="2" customWidth="1"/>
    <col min="8988" max="8988" width="36.140625" style="2" customWidth="1"/>
    <col min="8989" max="8989" width="29.42578125" style="2" customWidth="1"/>
    <col min="8990" max="8990" width="16" style="2" customWidth="1"/>
    <col min="8991" max="8991" width="38.28515625" style="2" customWidth="1"/>
    <col min="8992" max="8992" width="12" style="2" customWidth="1"/>
    <col min="8993" max="8993" width="38.140625" style="2" customWidth="1"/>
    <col min="8994" max="8994" width="17.85546875" style="2" bestFit="1" customWidth="1"/>
    <col min="8995" max="8995" width="24.7109375" style="2" customWidth="1"/>
    <col min="8996" max="8996" width="36.42578125" style="2" customWidth="1"/>
    <col min="8997" max="8997" width="46.7109375" style="2" customWidth="1"/>
    <col min="8998" max="8998" width="43.7109375" style="2" customWidth="1"/>
    <col min="8999" max="8999" width="25.42578125" style="2" customWidth="1"/>
    <col min="9000" max="9000" width="12.42578125" style="2" customWidth="1"/>
    <col min="9001" max="9001" width="16.42578125" style="2" customWidth="1"/>
    <col min="9002" max="9002" width="13.42578125" style="2" customWidth="1"/>
    <col min="9003" max="9003" width="8.5703125" style="2" customWidth="1"/>
    <col min="9004" max="9007" width="11.42578125" style="2" customWidth="1"/>
    <col min="9008" max="9008" width="12.7109375" style="2" customWidth="1"/>
    <col min="9009" max="9009" width="11.85546875" style="2" customWidth="1"/>
    <col min="9010" max="9010" width="7.85546875" style="2" customWidth="1"/>
    <col min="9011" max="9011" width="7.5703125" style="2" customWidth="1"/>
    <col min="9012" max="9012" width="8.85546875" style="2" customWidth="1"/>
    <col min="9013" max="9013" width="8.140625" style="2" customWidth="1"/>
    <col min="9014" max="9014" width="7.85546875" style="2" customWidth="1"/>
    <col min="9015" max="9015" width="8.5703125" style="2" customWidth="1"/>
    <col min="9016" max="9016" width="8.28515625" style="2" customWidth="1"/>
    <col min="9017" max="9017" width="11.42578125" style="2" customWidth="1"/>
    <col min="9018" max="9018" width="18" style="2" customWidth="1"/>
    <col min="9019" max="9019" width="21.42578125" style="2" customWidth="1"/>
    <col min="9020" max="9020" width="27.85546875" style="2" customWidth="1"/>
    <col min="9021" max="9236" width="11.42578125" style="2"/>
    <col min="9237" max="9237" width="13.5703125" style="2" customWidth="1"/>
    <col min="9238" max="9238" width="19" style="2" customWidth="1"/>
    <col min="9239" max="9239" width="13.5703125" style="2" customWidth="1"/>
    <col min="9240" max="9240" width="19.7109375" style="2" customWidth="1"/>
    <col min="9241" max="9241" width="13.5703125" style="2" customWidth="1"/>
    <col min="9242" max="9243" width="14.7109375" style="2" customWidth="1"/>
    <col min="9244" max="9244" width="36.140625" style="2" customWidth="1"/>
    <col min="9245" max="9245" width="29.42578125" style="2" customWidth="1"/>
    <col min="9246" max="9246" width="16" style="2" customWidth="1"/>
    <col min="9247" max="9247" width="38.28515625" style="2" customWidth="1"/>
    <col min="9248" max="9248" width="12" style="2" customWidth="1"/>
    <col min="9249" max="9249" width="38.140625" style="2" customWidth="1"/>
    <col min="9250" max="9250" width="17.85546875" style="2" bestFit="1" customWidth="1"/>
    <col min="9251" max="9251" width="24.7109375" style="2" customWidth="1"/>
    <col min="9252" max="9252" width="36.42578125" style="2" customWidth="1"/>
    <col min="9253" max="9253" width="46.7109375" style="2" customWidth="1"/>
    <col min="9254" max="9254" width="43.7109375" style="2" customWidth="1"/>
    <col min="9255" max="9255" width="25.42578125" style="2" customWidth="1"/>
    <col min="9256" max="9256" width="12.42578125" style="2" customWidth="1"/>
    <col min="9257" max="9257" width="16.42578125" style="2" customWidth="1"/>
    <col min="9258" max="9258" width="13.42578125" style="2" customWidth="1"/>
    <col min="9259" max="9259" width="8.5703125" style="2" customWidth="1"/>
    <col min="9260" max="9263" width="11.42578125" style="2" customWidth="1"/>
    <col min="9264" max="9264" width="12.7109375" style="2" customWidth="1"/>
    <col min="9265" max="9265" width="11.85546875" style="2" customWidth="1"/>
    <col min="9266" max="9266" width="7.85546875" style="2" customWidth="1"/>
    <col min="9267" max="9267" width="7.5703125" style="2" customWidth="1"/>
    <col min="9268" max="9268" width="8.85546875" style="2" customWidth="1"/>
    <col min="9269" max="9269" width="8.140625" style="2" customWidth="1"/>
    <col min="9270" max="9270" width="7.85546875" style="2" customWidth="1"/>
    <col min="9271" max="9271" width="8.5703125" style="2" customWidth="1"/>
    <col min="9272" max="9272" width="8.28515625" style="2" customWidth="1"/>
    <col min="9273" max="9273" width="11.42578125" style="2" customWidth="1"/>
    <col min="9274" max="9274" width="18" style="2" customWidth="1"/>
    <col min="9275" max="9275" width="21.42578125" style="2" customWidth="1"/>
    <col min="9276" max="9276" width="27.85546875" style="2" customWidth="1"/>
    <col min="9277" max="9492" width="11.42578125" style="2"/>
    <col min="9493" max="9493" width="13.5703125" style="2" customWidth="1"/>
    <col min="9494" max="9494" width="19" style="2" customWidth="1"/>
    <col min="9495" max="9495" width="13.5703125" style="2" customWidth="1"/>
    <col min="9496" max="9496" width="19.7109375" style="2" customWidth="1"/>
    <col min="9497" max="9497" width="13.5703125" style="2" customWidth="1"/>
    <col min="9498" max="9499" width="14.7109375" style="2" customWidth="1"/>
    <col min="9500" max="9500" width="36.140625" style="2" customWidth="1"/>
    <col min="9501" max="9501" width="29.42578125" style="2" customWidth="1"/>
    <col min="9502" max="9502" width="16" style="2" customWidth="1"/>
    <col min="9503" max="9503" width="38.28515625" style="2" customWidth="1"/>
    <col min="9504" max="9504" width="12" style="2" customWidth="1"/>
    <col min="9505" max="9505" width="38.140625" style="2" customWidth="1"/>
    <col min="9506" max="9506" width="17.85546875" style="2" bestFit="1" customWidth="1"/>
    <col min="9507" max="9507" width="24.7109375" style="2" customWidth="1"/>
    <col min="9508" max="9508" width="36.42578125" style="2" customWidth="1"/>
    <col min="9509" max="9509" width="46.7109375" style="2" customWidth="1"/>
    <col min="9510" max="9510" width="43.7109375" style="2" customWidth="1"/>
    <col min="9511" max="9511" width="25.42578125" style="2" customWidth="1"/>
    <col min="9512" max="9512" width="12.42578125" style="2" customWidth="1"/>
    <col min="9513" max="9513" width="16.42578125" style="2" customWidth="1"/>
    <col min="9514" max="9514" width="13.42578125" style="2" customWidth="1"/>
    <col min="9515" max="9515" width="8.5703125" style="2" customWidth="1"/>
    <col min="9516" max="9519" width="11.42578125" style="2" customWidth="1"/>
    <col min="9520" max="9520" width="12.7109375" style="2" customWidth="1"/>
    <col min="9521" max="9521" width="11.85546875" style="2" customWidth="1"/>
    <col min="9522" max="9522" width="7.85546875" style="2" customWidth="1"/>
    <col min="9523" max="9523" width="7.5703125" style="2" customWidth="1"/>
    <col min="9524" max="9524" width="8.85546875" style="2" customWidth="1"/>
    <col min="9525" max="9525" width="8.140625" style="2" customWidth="1"/>
    <col min="9526" max="9526" width="7.85546875" style="2" customWidth="1"/>
    <col min="9527" max="9527" width="8.5703125" style="2" customWidth="1"/>
    <col min="9528" max="9528" width="8.28515625" style="2" customWidth="1"/>
    <col min="9529" max="9529" width="11.42578125" style="2" customWidth="1"/>
    <col min="9530" max="9530" width="18" style="2" customWidth="1"/>
    <col min="9531" max="9531" width="21.42578125" style="2" customWidth="1"/>
    <col min="9532" max="9532" width="27.85546875" style="2" customWidth="1"/>
    <col min="9533" max="9748" width="11.42578125" style="2"/>
    <col min="9749" max="9749" width="13.5703125" style="2" customWidth="1"/>
    <col min="9750" max="9750" width="19" style="2" customWidth="1"/>
    <col min="9751" max="9751" width="13.5703125" style="2" customWidth="1"/>
    <col min="9752" max="9752" width="19.7109375" style="2" customWidth="1"/>
    <col min="9753" max="9753" width="13.5703125" style="2" customWidth="1"/>
    <col min="9754" max="9755" width="14.7109375" style="2" customWidth="1"/>
    <col min="9756" max="9756" width="36.140625" style="2" customWidth="1"/>
    <col min="9757" max="9757" width="29.42578125" style="2" customWidth="1"/>
    <col min="9758" max="9758" width="16" style="2" customWidth="1"/>
    <col min="9759" max="9759" width="38.28515625" style="2" customWidth="1"/>
    <col min="9760" max="9760" width="12" style="2" customWidth="1"/>
    <col min="9761" max="9761" width="38.140625" style="2" customWidth="1"/>
    <col min="9762" max="9762" width="17.85546875" style="2" bestFit="1" customWidth="1"/>
    <col min="9763" max="9763" width="24.7109375" style="2" customWidth="1"/>
    <col min="9764" max="9764" width="36.42578125" style="2" customWidth="1"/>
    <col min="9765" max="9765" width="46.7109375" style="2" customWidth="1"/>
    <col min="9766" max="9766" width="43.7109375" style="2" customWidth="1"/>
    <col min="9767" max="9767" width="25.42578125" style="2" customWidth="1"/>
    <col min="9768" max="9768" width="12.42578125" style="2" customWidth="1"/>
    <col min="9769" max="9769" width="16.42578125" style="2" customWidth="1"/>
    <col min="9770" max="9770" width="13.42578125" style="2" customWidth="1"/>
    <col min="9771" max="9771" width="8.5703125" style="2" customWidth="1"/>
    <col min="9772" max="9775" width="11.42578125" style="2" customWidth="1"/>
    <col min="9776" max="9776" width="12.7109375" style="2" customWidth="1"/>
    <col min="9777" max="9777" width="11.85546875" style="2" customWidth="1"/>
    <col min="9778" max="9778" width="7.85546875" style="2" customWidth="1"/>
    <col min="9779" max="9779" width="7.5703125" style="2" customWidth="1"/>
    <col min="9780" max="9780" width="8.85546875" style="2" customWidth="1"/>
    <col min="9781" max="9781" width="8.140625" style="2" customWidth="1"/>
    <col min="9782" max="9782" width="7.85546875" style="2" customWidth="1"/>
    <col min="9783" max="9783" width="8.5703125" style="2" customWidth="1"/>
    <col min="9784" max="9784" width="8.28515625" style="2" customWidth="1"/>
    <col min="9785" max="9785" width="11.42578125" style="2" customWidth="1"/>
    <col min="9786" max="9786" width="18" style="2" customWidth="1"/>
    <col min="9787" max="9787" width="21.42578125" style="2" customWidth="1"/>
    <col min="9788" max="9788" width="27.85546875" style="2" customWidth="1"/>
    <col min="9789" max="10004" width="11.42578125" style="2"/>
    <col min="10005" max="10005" width="13.5703125" style="2" customWidth="1"/>
    <col min="10006" max="10006" width="19" style="2" customWidth="1"/>
    <col min="10007" max="10007" width="13.5703125" style="2" customWidth="1"/>
    <col min="10008" max="10008" width="19.7109375" style="2" customWidth="1"/>
    <col min="10009" max="10009" width="13.5703125" style="2" customWidth="1"/>
    <col min="10010" max="10011" width="14.7109375" style="2" customWidth="1"/>
    <col min="10012" max="10012" width="36.140625" style="2" customWidth="1"/>
    <col min="10013" max="10013" width="29.42578125" style="2" customWidth="1"/>
    <col min="10014" max="10014" width="16" style="2" customWidth="1"/>
    <col min="10015" max="10015" width="38.28515625" style="2" customWidth="1"/>
    <col min="10016" max="10016" width="12" style="2" customWidth="1"/>
    <col min="10017" max="10017" width="38.140625" style="2" customWidth="1"/>
    <col min="10018" max="10018" width="17.85546875" style="2" bestFit="1" customWidth="1"/>
    <col min="10019" max="10019" width="24.7109375" style="2" customWidth="1"/>
    <col min="10020" max="10020" width="36.42578125" style="2" customWidth="1"/>
    <col min="10021" max="10021" width="46.7109375" style="2" customWidth="1"/>
    <col min="10022" max="10022" width="43.7109375" style="2" customWidth="1"/>
    <col min="10023" max="10023" width="25.42578125" style="2" customWidth="1"/>
    <col min="10024" max="10024" width="12.42578125" style="2" customWidth="1"/>
    <col min="10025" max="10025" width="16.42578125" style="2" customWidth="1"/>
    <col min="10026" max="10026" width="13.42578125" style="2" customWidth="1"/>
    <col min="10027" max="10027" width="8.5703125" style="2" customWidth="1"/>
    <col min="10028" max="10031" width="11.42578125" style="2" customWidth="1"/>
    <col min="10032" max="10032" width="12.7109375" style="2" customWidth="1"/>
    <col min="10033" max="10033" width="11.85546875" style="2" customWidth="1"/>
    <col min="10034" max="10034" width="7.85546875" style="2" customWidth="1"/>
    <col min="10035" max="10035" width="7.5703125" style="2" customWidth="1"/>
    <col min="10036" max="10036" width="8.85546875" style="2" customWidth="1"/>
    <col min="10037" max="10037" width="8.140625" style="2" customWidth="1"/>
    <col min="10038" max="10038" width="7.85546875" style="2" customWidth="1"/>
    <col min="10039" max="10039" width="8.5703125" style="2" customWidth="1"/>
    <col min="10040" max="10040" width="8.28515625" style="2" customWidth="1"/>
    <col min="10041" max="10041" width="11.42578125" style="2" customWidth="1"/>
    <col min="10042" max="10042" width="18" style="2" customWidth="1"/>
    <col min="10043" max="10043" width="21.42578125" style="2" customWidth="1"/>
    <col min="10044" max="10044" width="27.85546875" style="2" customWidth="1"/>
    <col min="10045" max="10260" width="11.42578125" style="2"/>
    <col min="10261" max="10261" width="13.5703125" style="2" customWidth="1"/>
    <col min="10262" max="10262" width="19" style="2" customWidth="1"/>
    <col min="10263" max="10263" width="13.5703125" style="2" customWidth="1"/>
    <col min="10264" max="10264" width="19.7109375" style="2" customWidth="1"/>
    <col min="10265" max="10265" width="13.5703125" style="2" customWidth="1"/>
    <col min="10266" max="10267" width="14.7109375" style="2" customWidth="1"/>
    <col min="10268" max="10268" width="36.140625" style="2" customWidth="1"/>
    <col min="10269" max="10269" width="29.42578125" style="2" customWidth="1"/>
    <col min="10270" max="10270" width="16" style="2" customWidth="1"/>
    <col min="10271" max="10271" width="38.28515625" style="2" customWidth="1"/>
    <col min="10272" max="10272" width="12" style="2" customWidth="1"/>
    <col min="10273" max="10273" width="38.140625" style="2" customWidth="1"/>
    <col min="10274" max="10274" width="17.85546875" style="2" bestFit="1" customWidth="1"/>
    <col min="10275" max="10275" width="24.7109375" style="2" customWidth="1"/>
    <col min="10276" max="10276" width="36.42578125" style="2" customWidth="1"/>
    <col min="10277" max="10277" width="46.7109375" style="2" customWidth="1"/>
    <col min="10278" max="10278" width="43.7109375" style="2" customWidth="1"/>
    <col min="10279" max="10279" width="25.42578125" style="2" customWidth="1"/>
    <col min="10280" max="10280" width="12.42578125" style="2" customWidth="1"/>
    <col min="10281" max="10281" width="16.42578125" style="2" customWidth="1"/>
    <col min="10282" max="10282" width="13.42578125" style="2" customWidth="1"/>
    <col min="10283" max="10283" width="8.5703125" style="2" customWidth="1"/>
    <col min="10284" max="10287" width="11.42578125" style="2" customWidth="1"/>
    <col min="10288" max="10288" width="12.7109375" style="2" customWidth="1"/>
    <col min="10289" max="10289" width="11.85546875" style="2" customWidth="1"/>
    <col min="10290" max="10290" width="7.85546875" style="2" customWidth="1"/>
    <col min="10291" max="10291" width="7.5703125" style="2" customWidth="1"/>
    <col min="10292" max="10292" width="8.85546875" style="2" customWidth="1"/>
    <col min="10293" max="10293" width="8.140625" style="2" customWidth="1"/>
    <col min="10294" max="10294" width="7.85546875" style="2" customWidth="1"/>
    <col min="10295" max="10295" width="8.5703125" style="2" customWidth="1"/>
    <col min="10296" max="10296" width="8.28515625" style="2" customWidth="1"/>
    <col min="10297" max="10297" width="11.42578125" style="2" customWidth="1"/>
    <col min="10298" max="10298" width="18" style="2" customWidth="1"/>
    <col min="10299" max="10299" width="21.42578125" style="2" customWidth="1"/>
    <col min="10300" max="10300" width="27.85546875" style="2" customWidth="1"/>
    <col min="10301" max="10516" width="11.42578125" style="2"/>
    <col min="10517" max="10517" width="13.5703125" style="2" customWidth="1"/>
    <col min="10518" max="10518" width="19" style="2" customWidth="1"/>
    <col min="10519" max="10519" width="13.5703125" style="2" customWidth="1"/>
    <col min="10520" max="10520" width="19.7109375" style="2" customWidth="1"/>
    <col min="10521" max="10521" width="13.5703125" style="2" customWidth="1"/>
    <col min="10522" max="10523" width="14.7109375" style="2" customWidth="1"/>
    <col min="10524" max="10524" width="36.140625" style="2" customWidth="1"/>
    <col min="10525" max="10525" width="29.42578125" style="2" customWidth="1"/>
    <col min="10526" max="10526" width="16" style="2" customWidth="1"/>
    <col min="10527" max="10527" width="38.28515625" style="2" customWidth="1"/>
    <col min="10528" max="10528" width="12" style="2" customWidth="1"/>
    <col min="10529" max="10529" width="38.140625" style="2" customWidth="1"/>
    <col min="10530" max="10530" width="17.85546875" style="2" bestFit="1" customWidth="1"/>
    <col min="10531" max="10531" width="24.7109375" style="2" customWidth="1"/>
    <col min="10532" max="10532" width="36.42578125" style="2" customWidth="1"/>
    <col min="10533" max="10533" width="46.7109375" style="2" customWidth="1"/>
    <col min="10534" max="10534" width="43.7109375" style="2" customWidth="1"/>
    <col min="10535" max="10535" width="25.42578125" style="2" customWidth="1"/>
    <col min="10536" max="10536" width="12.42578125" style="2" customWidth="1"/>
    <col min="10537" max="10537" width="16.42578125" style="2" customWidth="1"/>
    <col min="10538" max="10538" width="13.42578125" style="2" customWidth="1"/>
    <col min="10539" max="10539" width="8.5703125" style="2" customWidth="1"/>
    <col min="10540" max="10543" width="11.42578125" style="2" customWidth="1"/>
    <col min="10544" max="10544" width="12.7109375" style="2" customWidth="1"/>
    <col min="10545" max="10545" width="11.85546875" style="2" customWidth="1"/>
    <col min="10546" max="10546" width="7.85546875" style="2" customWidth="1"/>
    <col min="10547" max="10547" width="7.5703125" style="2" customWidth="1"/>
    <col min="10548" max="10548" width="8.85546875" style="2" customWidth="1"/>
    <col min="10549" max="10549" width="8.140625" style="2" customWidth="1"/>
    <col min="10550" max="10550" width="7.85546875" style="2" customWidth="1"/>
    <col min="10551" max="10551" width="8.5703125" style="2" customWidth="1"/>
    <col min="10552" max="10552" width="8.28515625" style="2" customWidth="1"/>
    <col min="10553" max="10553" width="11.42578125" style="2" customWidth="1"/>
    <col min="10554" max="10554" width="18" style="2" customWidth="1"/>
    <col min="10555" max="10555" width="21.42578125" style="2" customWidth="1"/>
    <col min="10556" max="10556" width="27.85546875" style="2" customWidth="1"/>
    <col min="10557" max="10772" width="11.42578125" style="2"/>
    <col min="10773" max="10773" width="13.5703125" style="2" customWidth="1"/>
    <col min="10774" max="10774" width="19" style="2" customWidth="1"/>
    <col min="10775" max="10775" width="13.5703125" style="2" customWidth="1"/>
    <col min="10776" max="10776" width="19.7109375" style="2" customWidth="1"/>
    <col min="10777" max="10777" width="13.5703125" style="2" customWidth="1"/>
    <col min="10778" max="10779" width="14.7109375" style="2" customWidth="1"/>
    <col min="10780" max="10780" width="36.140625" style="2" customWidth="1"/>
    <col min="10781" max="10781" width="29.42578125" style="2" customWidth="1"/>
    <col min="10782" max="10782" width="16" style="2" customWidth="1"/>
    <col min="10783" max="10783" width="38.28515625" style="2" customWidth="1"/>
    <col min="10784" max="10784" width="12" style="2" customWidth="1"/>
    <col min="10785" max="10785" width="38.140625" style="2" customWidth="1"/>
    <col min="10786" max="10786" width="17.85546875" style="2" bestFit="1" customWidth="1"/>
    <col min="10787" max="10787" width="24.7109375" style="2" customWidth="1"/>
    <col min="10788" max="10788" width="36.42578125" style="2" customWidth="1"/>
    <col min="10789" max="10789" width="46.7109375" style="2" customWidth="1"/>
    <col min="10790" max="10790" width="43.7109375" style="2" customWidth="1"/>
    <col min="10791" max="10791" width="25.42578125" style="2" customWidth="1"/>
    <col min="10792" max="10792" width="12.42578125" style="2" customWidth="1"/>
    <col min="10793" max="10793" width="16.42578125" style="2" customWidth="1"/>
    <col min="10794" max="10794" width="13.42578125" style="2" customWidth="1"/>
    <col min="10795" max="10795" width="8.5703125" style="2" customWidth="1"/>
    <col min="10796" max="10799" width="11.42578125" style="2" customWidth="1"/>
    <col min="10800" max="10800" width="12.7109375" style="2" customWidth="1"/>
    <col min="10801" max="10801" width="11.85546875" style="2" customWidth="1"/>
    <col min="10802" max="10802" width="7.85546875" style="2" customWidth="1"/>
    <col min="10803" max="10803" width="7.5703125" style="2" customWidth="1"/>
    <col min="10804" max="10804" width="8.85546875" style="2" customWidth="1"/>
    <col min="10805" max="10805" width="8.140625" style="2" customWidth="1"/>
    <col min="10806" max="10806" width="7.85546875" style="2" customWidth="1"/>
    <col min="10807" max="10807" width="8.5703125" style="2" customWidth="1"/>
    <col min="10808" max="10808" width="8.28515625" style="2" customWidth="1"/>
    <col min="10809" max="10809" width="11.42578125" style="2" customWidth="1"/>
    <col min="10810" max="10810" width="18" style="2" customWidth="1"/>
    <col min="10811" max="10811" width="21.42578125" style="2" customWidth="1"/>
    <col min="10812" max="10812" width="27.85546875" style="2" customWidth="1"/>
    <col min="10813" max="11028" width="11.42578125" style="2"/>
    <col min="11029" max="11029" width="13.5703125" style="2" customWidth="1"/>
    <col min="11030" max="11030" width="19" style="2" customWidth="1"/>
    <col min="11031" max="11031" width="13.5703125" style="2" customWidth="1"/>
    <col min="11032" max="11032" width="19.7109375" style="2" customWidth="1"/>
    <col min="11033" max="11033" width="13.5703125" style="2" customWidth="1"/>
    <col min="11034" max="11035" width="14.7109375" style="2" customWidth="1"/>
    <col min="11036" max="11036" width="36.140625" style="2" customWidth="1"/>
    <col min="11037" max="11037" width="29.42578125" style="2" customWidth="1"/>
    <col min="11038" max="11038" width="16" style="2" customWidth="1"/>
    <col min="11039" max="11039" width="38.28515625" style="2" customWidth="1"/>
    <col min="11040" max="11040" width="12" style="2" customWidth="1"/>
    <col min="11041" max="11041" width="38.140625" style="2" customWidth="1"/>
    <col min="11042" max="11042" width="17.85546875" style="2" bestFit="1" customWidth="1"/>
    <col min="11043" max="11043" width="24.7109375" style="2" customWidth="1"/>
    <col min="11044" max="11044" width="36.42578125" style="2" customWidth="1"/>
    <col min="11045" max="11045" width="46.7109375" style="2" customWidth="1"/>
    <col min="11046" max="11046" width="43.7109375" style="2" customWidth="1"/>
    <col min="11047" max="11047" width="25.42578125" style="2" customWidth="1"/>
    <col min="11048" max="11048" width="12.42578125" style="2" customWidth="1"/>
    <col min="11049" max="11049" width="16.42578125" style="2" customWidth="1"/>
    <col min="11050" max="11050" width="13.42578125" style="2" customWidth="1"/>
    <col min="11051" max="11051" width="8.5703125" style="2" customWidth="1"/>
    <col min="11052" max="11055" width="11.42578125" style="2" customWidth="1"/>
    <col min="11056" max="11056" width="12.7109375" style="2" customWidth="1"/>
    <col min="11057" max="11057" width="11.85546875" style="2" customWidth="1"/>
    <col min="11058" max="11058" width="7.85546875" style="2" customWidth="1"/>
    <col min="11059" max="11059" width="7.5703125" style="2" customWidth="1"/>
    <col min="11060" max="11060" width="8.85546875" style="2" customWidth="1"/>
    <col min="11061" max="11061" width="8.140625" style="2" customWidth="1"/>
    <col min="11062" max="11062" width="7.85546875" style="2" customWidth="1"/>
    <col min="11063" max="11063" width="8.5703125" style="2" customWidth="1"/>
    <col min="11064" max="11064" width="8.28515625" style="2" customWidth="1"/>
    <col min="11065" max="11065" width="11.42578125" style="2" customWidth="1"/>
    <col min="11066" max="11066" width="18" style="2" customWidth="1"/>
    <col min="11067" max="11067" width="21.42578125" style="2" customWidth="1"/>
    <col min="11068" max="11068" width="27.85546875" style="2" customWidth="1"/>
    <col min="11069" max="11284" width="11.42578125" style="2"/>
    <col min="11285" max="11285" width="13.5703125" style="2" customWidth="1"/>
    <col min="11286" max="11286" width="19" style="2" customWidth="1"/>
    <col min="11287" max="11287" width="13.5703125" style="2" customWidth="1"/>
    <col min="11288" max="11288" width="19.7109375" style="2" customWidth="1"/>
    <col min="11289" max="11289" width="13.5703125" style="2" customWidth="1"/>
    <col min="11290" max="11291" width="14.7109375" style="2" customWidth="1"/>
    <col min="11292" max="11292" width="36.140625" style="2" customWidth="1"/>
    <col min="11293" max="11293" width="29.42578125" style="2" customWidth="1"/>
    <col min="11294" max="11294" width="16" style="2" customWidth="1"/>
    <col min="11295" max="11295" width="38.28515625" style="2" customWidth="1"/>
    <col min="11296" max="11296" width="12" style="2" customWidth="1"/>
    <col min="11297" max="11297" width="38.140625" style="2" customWidth="1"/>
    <col min="11298" max="11298" width="17.85546875" style="2" bestFit="1" customWidth="1"/>
    <col min="11299" max="11299" width="24.7109375" style="2" customWidth="1"/>
    <col min="11300" max="11300" width="36.42578125" style="2" customWidth="1"/>
    <col min="11301" max="11301" width="46.7109375" style="2" customWidth="1"/>
    <col min="11302" max="11302" width="43.7109375" style="2" customWidth="1"/>
    <col min="11303" max="11303" width="25.42578125" style="2" customWidth="1"/>
    <col min="11304" max="11304" width="12.42578125" style="2" customWidth="1"/>
    <col min="11305" max="11305" width="16.42578125" style="2" customWidth="1"/>
    <col min="11306" max="11306" width="13.42578125" style="2" customWidth="1"/>
    <col min="11307" max="11307" width="8.5703125" style="2" customWidth="1"/>
    <col min="11308" max="11311" width="11.42578125" style="2" customWidth="1"/>
    <col min="11312" max="11312" width="12.7109375" style="2" customWidth="1"/>
    <col min="11313" max="11313" width="11.85546875" style="2" customWidth="1"/>
    <col min="11314" max="11314" width="7.85546875" style="2" customWidth="1"/>
    <col min="11315" max="11315" width="7.5703125" style="2" customWidth="1"/>
    <col min="11316" max="11316" width="8.85546875" style="2" customWidth="1"/>
    <col min="11317" max="11317" width="8.140625" style="2" customWidth="1"/>
    <col min="11318" max="11318" width="7.85546875" style="2" customWidth="1"/>
    <col min="11319" max="11319" width="8.5703125" style="2" customWidth="1"/>
    <col min="11320" max="11320" width="8.28515625" style="2" customWidth="1"/>
    <col min="11321" max="11321" width="11.42578125" style="2" customWidth="1"/>
    <col min="11322" max="11322" width="18" style="2" customWidth="1"/>
    <col min="11323" max="11323" width="21.42578125" style="2" customWidth="1"/>
    <col min="11324" max="11324" width="27.85546875" style="2" customWidth="1"/>
    <col min="11325" max="11540" width="11.42578125" style="2"/>
    <col min="11541" max="11541" width="13.5703125" style="2" customWidth="1"/>
    <col min="11542" max="11542" width="19" style="2" customWidth="1"/>
    <col min="11543" max="11543" width="13.5703125" style="2" customWidth="1"/>
    <col min="11544" max="11544" width="19.7109375" style="2" customWidth="1"/>
    <col min="11545" max="11545" width="13.5703125" style="2" customWidth="1"/>
    <col min="11546" max="11547" width="14.7109375" style="2" customWidth="1"/>
    <col min="11548" max="11548" width="36.140625" style="2" customWidth="1"/>
    <col min="11549" max="11549" width="29.42578125" style="2" customWidth="1"/>
    <col min="11550" max="11550" width="16" style="2" customWidth="1"/>
    <col min="11551" max="11551" width="38.28515625" style="2" customWidth="1"/>
    <col min="11552" max="11552" width="12" style="2" customWidth="1"/>
    <col min="11553" max="11553" width="38.140625" style="2" customWidth="1"/>
    <col min="11554" max="11554" width="17.85546875" style="2" bestFit="1" customWidth="1"/>
    <col min="11555" max="11555" width="24.7109375" style="2" customWidth="1"/>
    <col min="11556" max="11556" width="36.42578125" style="2" customWidth="1"/>
    <col min="11557" max="11557" width="46.7109375" style="2" customWidth="1"/>
    <col min="11558" max="11558" width="43.7109375" style="2" customWidth="1"/>
    <col min="11559" max="11559" width="25.42578125" style="2" customWidth="1"/>
    <col min="11560" max="11560" width="12.42578125" style="2" customWidth="1"/>
    <col min="11561" max="11561" width="16.42578125" style="2" customWidth="1"/>
    <col min="11562" max="11562" width="13.42578125" style="2" customWidth="1"/>
    <col min="11563" max="11563" width="8.5703125" style="2" customWidth="1"/>
    <col min="11564" max="11567" width="11.42578125" style="2" customWidth="1"/>
    <col min="11568" max="11568" width="12.7109375" style="2" customWidth="1"/>
    <col min="11569" max="11569" width="11.85546875" style="2" customWidth="1"/>
    <col min="11570" max="11570" width="7.85546875" style="2" customWidth="1"/>
    <col min="11571" max="11571" width="7.5703125" style="2" customWidth="1"/>
    <col min="11572" max="11572" width="8.85546875" style="2" customWidth="1"/>
    <col min="11573" max="11573" width="8.140625" style="2" customWidth="1"/>
    <col min="11574" max="11574" width="7.85546875" style="2" customWidth="1"/>
    <col min="11575" max="11575" width="8.5703125" style="2" customWidth="1"/>
    <col min="11576" max="11576" width="8.28515625" style="2" customWidth="1"/>
    <col min="11577" max="11577" width="11.42578125" style="2" customWidth="1"/>
    <col min="11578" max="11578" width="18" style="2" customWidth="1"/>
    <col min="11579" max="11579" width="21.42578125" style="2" customWidth="1"/>
    <col min="11580" max="11580" width="27.85546875" style="2" customWidth="1"/>
    <col min="11581" max="11796" width="11.42578125" style="2"/>
    <col min="11797" max="11797" width="13.5703125" style="2" customWidth="1"/>
    <col min="11798" max="11798" width="19" style="2" customWidth="1"/>
    <col min="11799" max="11799" width="13.5703125" style="2" customWidth="1"/>
    <col min="11800" max="11800" width="19.7109375" style="2" customWidth="1"/>
    <col min="11801" max="11801" width="13.5703125" style="2" customWidth="1"/>
    <col min="11802" max="11803" width="14.7109375" style="2" customWidth="1"/>
    <col min="11804" max="11804" width="36.140625" style="2" customWidth="1"/>
    <col min="11805" max="11805" width="29.42578125" style="2" customWidth="1"/>
    <col min="11806" max="11806" width="16" style="2" customWidth="1"/>
    <col min="11807" max="11807" width="38.28515625" style="2" customWidth="1"/>
    <col min="11808" max="11808" width="12" style="2" customWidth="1"/>
    <col min="11809" max="11809" width="38.140625" style="2" customWidth="1"/>
    <col min="11810" max="11810" width="17.85546875" style="2" bestFit="1" customWidth="1"/>
    <col min="11811" max="11811" width="24.7109375" style="2" customWidth="1"/>
    <col min="11812" max="11812" width="36.42578125" style="2" customWidth="1"/>
    <col min="11813" max="11813" width="46.7109375" style="2" customWidth="1"/>
    <col min="11814" max="11814" width="43.7109375" style="2" customWidth="1"/>
    <col min="11815" max="11815" width="25.42578125" style="2" customWidth="1"/>
    <col min="11816" max="11816" width="12.42578125" style="2" customWidth="1"/>
    <col min="11817" max="11817" width="16.42578125" style="2" customWidth="1"/>
    <col min="11818" max="11818" width="13.42578125" style="2" customWidth="1"/>
    <col min="11819" max="11819" width="8.5703125" style="2" customWidth="1"/>
    <col min="11820" max="11823" width="11.42578125" style="2" customWidth="1"/>
    <col min="11824" max="11824" width="12.7109375" style="2" customWidth="1"/>
    <col min="11825" max="11825" width="11.85546875" style="2" customWidth="1"/>
    <col min="11826" max="11826" width="7.85546875" style="2" customWidth="1"/>
    <col min="11827" max="11827" width="7.5703125" style="2" customWidth="1"/>
    <col min="11828" max="11828" width="8.85546875" style="2" customWidth="1"/>
    <col min="11829" max="11829" width="8.140625" style="2" customWidth="1"/>
    <col min="11830" max="11830" width="7.85546875" style="2" customWidth="1"/>
    <col min="11831" max="11831" width="8.5703125" style="2" customWidth="1"/>
    <col min="11832" max="11832" width="8.28515625" style="2" customWidth="1"/>
    <col min="11833" max="11833" width="11.42578125" style="2" customWidth="1"/>
    <col min="11834" max="11834" width="18" style="2" customWidth="1"/>
    <col min="11835" max="11835" width="21.42578125" style="2" customWidth="1"/>
    <col min="11836" max="11836" width="27.85546875" style="2" customWidth="1"/>
    <col min="11837" max="12052" width="11.42578125" style="2"/>
    <col min="12053" max="12053" width="13.5703125" style="2" customWidth="1"/>
    <col min="12054" max="12054" width="19" style="2" customWidth="1"/>
    <col min="12055" max="12055" width="13.5703125" style="2" customWidth="1"/>
    <col min="12056" max="12056" width="19.7109375" style="2" customWidth="1"/>
    <col min="12057" max="12057" width="13.5703125" style="2" customWidth="1"/>
    <col min="12058" max="12059" width="14.7109375" style="2" customWidth="1"/>
    <col min="12060" max="12060" width="36.140625" style="2" customWidth="1"/>
    <col min="12061" max="12061" width="29.42578125" style="2" customWidth="1"/>
    <col min="12062" max="12062" width="16" style="2" customWidth="1"/>
    <col min="12063" max="12063" width="38.28515625" style="2" customWidth="1"/>
    <col min="12064" max="12064" width="12" style="2" customWidth="1"/>
    <col min="12065" max="12065" width="38.140625" style="2" customWidth="1"/>
    <col min="12066" max="12066" width="17.85546875" style="2" bestFit="1" customWidth="1"/>
    <col min="12067" max="12067" width="24.7109375" style="2" customWidth="1"/>
    <col min="12068" max="12068" width="36.42578125" style="2" customWidth="1"/>
    <col min="12069" max="12069" width="46.7109375" style="2" customWidth="1"/>
    <col min="12070" max="12070" width="43.7109375" style="2" customWidth="1"/>
    <col min="12071" max="12071" width="25.42578125" style="2" customWidth="1"/>
    <col min="12072" max="12072" width="12.42578125" style="2" customWidth="1"/>
    <col min="12073" max="12073" width="16.42578125" style="2" customWidth="1"/>
    <col min="12074" max="12074" width="13.42578125" style="2" customWidth="1"/>
    <col min="12075" max="12075" width="8.5703125" style="2" customWidth="1"/>
    <col min="12076" max="12079" width="11.42578125" style="2" customWidth="1"/>
    <col min="12080" max="12080" width="12.7109375" style="2" customWidth="1"/>
    <col min="12081" max="12081" width="11.85546875" style="2" customWidth="1"/>
    <col min="12082" max="12082" width="7.85546875" style="2" customWidth="1"/>
    <col min="12083" max="12083" width="7.5703125" style="2" customWidth="1"/>
    <col min="12084" max="12084" width="8.85546875" style="2" customWidth="1"/>
    <col min="12085" max="12085" width="8.140625" style="2" customWidth="1"/>
    <col min="12086" max="12086" width="7.85546875" style="2" customWidth="1"/>
    <col min="12087" max="12087" width="8.5703125" style="2" customWidth="1"/>
    <col min="12088" max="12088" width="8.28515625" style="2" customWidth="1"/>
    <col min="12089" max="12089" width="11.42578125" style="2" customWidth="1"/>
    <col min="12090" max="12090" width="18" style="2" customWidth="1"/>
    <col min="12091" max="12091" width="21.42578125" style="2" customWidth="1"/>
    <col min="12092" max="12092" width="27.85546875" style="2" customWidth="1"/>
    <col min="12093" max="12308" width="11.42578125" style="2"/>
    <col min="12309" max="12309" width="13.5703125" style="2" customWidth="1"/>
    <col min="12310" max="12310" width="19" style="2" customWidth="1"/>
    <col min="12311" max="12311" width="13.5703125" style="2" customWidth="1"/>
    <col min="12312" max="12312" width="19.7109375" style="2" customWidth="1"/>
    <col min="12313" max="12313" width="13.5703125" style="2" customWidth="1"/>
    <col min="12314" max="12315" width="14.7109375" style="2" customWidth="1"/>
    <col min="12316" max="12316" width="36.140625" style="2" customWidth="1"/>
    <col min="12317" max="12317" width="29.42578125" style="2" customWidth="1"/>
    <col min="12318" max="12318" width="16" style="2" customWidth="1"/>
    <col min="12319" max="12319" width="38.28515625" style="2" customWidth="1"/>
    <col min="12320" max="12320" width="12" style="2" customWidth="1"/>
    <col min="12321" max="12321" width="38.140625" style="2" customWidth="1"/>
    <col min="12322" max="12322" width="17.85546875" style="2" bestFit="1" customWidth="1"/>
    <col min="12323" max="12323" width="24.7109375" style="2" customWidth="1"/>
    <col min="12324" max="12324" width="36.42578125" style="2" customWidth="1"/>
    <col min="12325" max="12325" width="46.7109375" style="2" customWidth="1"/>
    <col min="12326" max="12326" width="43.7109375" style="2" customWidth="1"/>
    <col min="12327" max="12327" width="25.42578125" style="2" customWidth="1"/>
    <col min="12328" max="12328" width="12.42578125" style="2" customWidth="1"/>
    <col min="12329" max="12329" width="16.42578125" style="2" customWidth="1"/>
    <col min="12330" max="12330" width="13.42578125" style="2" customWidth="1"/>
    <col min="12331" max="12331" width="8.5703125" style="2" customWidth="1"/>
    <col min="12332" max="12335" width="11.42578125" style="2" customWidth="1"/>
    <col min="12336" max="12336" width="12.7109375" style="2" customWidth="1"/>
    <col min="12337" max="12337" width="11.85546875" style="2" customWidth="1"/>
    <col min="12338" max="12338" width="7.85546875" style="2" customWidth="1"/>
    <col min="12339" max="12339" width="7.5703125" style="2" customWidth="1"/>
    <col min="12340" max="12340" width="8.85546875" style="2" customWidth="1"/>
    <col min="12341" max="12341" width="8.140625" style="2" customWidth="1"/>
    <col min="12342" max="12342" width="7.85546875" style="2" customWidth="1"/>
    <col min="12343" max="12343" width="8.5703125" style="2" customWidth="1"/>
    <col min="12344" max="12344" width="8.28515625" style="2" customWidth="1"/>
    <col min="12345" max="12345" width="11.42578125" style="2" customWidth="1"/>
    <col min="12346" max="12346" width="18" style="2" customWidth="1"/>
    <col min="12347" max="12347" width="21.42578125" style="2" customWidth="1"/>
    <col min="12348" max="12348" width="27.85546875" style="2" customWidth="1"/>
    <col min="12349" max="12564" width="11.42578125" style="2"/>
    <col min="12565" max="12565" width="13.5703125" style="2" customWidth="1"/>
    <col min="12566" max="12566" width="19" style="2" customWidth="1"/>
    <col min="12567" max="12567" width="13.5703125" style="2" customWidth="1"/>
    <col min="12568" max="12568" width="19.7109375" style="2" customWidth="1"/>
    <col min="12569" max="12569" width="13.5703125" style="2" customWidth="1"/>
    <col min="12570" max="12571" width="14.7109375" style="2" customWidth="1"/>
    <col min="12572" max="12572" width="36.140625" style="2" customWidth="1"/>
    <col min="12573" max="12573" width="29.42578125" style="2" customWidth="1"/>
    <col min="12574" max="12574" width="16" style="2" customWidth="1"/>
    <col min="12575" max="12575" width="38.28515625" style="2" customWidth="1"/>
    <col min="12576" max="12576" width="12" style="2" customWidth="1"/>
    <col min="12577" max="12577" width="38.140625" style="2" customWidth="1"/>
    <col min="12578" max="12578" width="17.85546875" style="2" bestFit="1" customWidth="1"/>
    <col min="12579" max="12579" width="24.7109375" style="2" customWidth="1"/>
    <col min="12580" max="12580" width="36.42578125" style="2" customWidth="1"/>
    <col min="12581" max="12581" width="46.7109375" style="2" customWidth="1"/>
    <col min="12582" max="12582" width="43.7109375" style="2" customWidth="1"/>
    <col min="12583" max="12583" width="25.42578125" style="2" customWidth="1"/>
    <col min="12584" max="12584" width="12.42578125" style="2" customWidth="1"/>
    <col min="12585" max="12585" width="16.42578125" style="2" customWidth="1"/>
    <col min="12586" max="12586" width="13.42578125" style="2" customWidth="1"/>
    <col min="12587" max="12587" width="8.5703125" style="2" customWidth="1"/>
    <col min="12588" max="12591" width="11.42578125" style="2" customWidth="1"/>
    <col min="12592" max="12592" width="12.7109375" style="2" customWidth="1"/>
    <col min="12593" max="12593" width="11.85546875" style="2" customWidth="1"/>
    <col min="12594" max="12594" width="7.85546875" style="2" customWidth="1"/>
    <col min="12595" max="12595" width="7.5703125" style="2" customWidth="1"/>
    <col min="12596" max="12596" width="8.85546875" style="2" customWidth="1"/>
    <col min="12597" max="12597" width="8.140625" style="2" customWidth="1"/>
    <col min="12598" max="12598" width="7.85546875" style="2" customWidth="1"/>
    <col min="12599" max="12599" width="8.5703125" style="2" customWidth="1"/>
    <col min="12600" max="12600" width="8.28515625" style="2" customWidth="1"/>
    <col min="12601" max="12601" width="11.42578125" style="2" customWidth="1"/>
    <col min="12602" max="12602" width="18" style="2" customWidth="1"/>
    <col min="12603" max="12603" width="21.42578125" style="2" customWidth="1"/>
    <col min="12604" max="12604" width="27.85546875" style="2" customWidth="1"/>
    <col min="12605" max="12820" width="11.42578125" style="2"/>
    <col min="12821" max="12821" width="13.5703125" style="2" customWidth="1"/>
    <col min="12822" max="12822" width="19" style="2" customWidth="1"/>
    <col min="12823" max="12823" width="13.5703125" style="2" customWidth="1"/>
    <col min="12824" max="12824" width="19.7109375" style="2" customWidth="1"/>
    <col min="12825" max="12825" width="13.5703125" style="2" customWidth="1"/>
    <col min="12826" max="12827" width="14.7109375" style="2" customWidth="1"/>
    <col min="12828" max="12828" width="36.140625" style="2" customWidth="1"/>
    <col min="12829" max="12829" width="29.42578125" style="2" customWidth="1"/>
    <col min="12830" max="12830" width="16" style="2" customWidth="1"/>
    <col min="12831" max="12831" width="38.28515625" style="2" customWidth="1"/>
    <col min="12832" max="12832" width="12" style="2" customWidth="1"/>
    <col min="12833" max="12833" width="38.140625" style="2" customWidth="1"/>
    <col min="12834" max="12834" width="17.85546875" style="2" bestFit="1" customWidth="1"/>
    <col min="12835" max="12835" width="24.7109375" style="2" customWidth="1"/>
    <col min="12836" max="12836" width="36.42578125" style="2" customWidth="1"/>
    <col min="12837" max="12837" width="46.7109375" style="2" customWidth="1"/>
    <col min="12838" max="12838" width="43.7109375" style="2" customWidth="1"/>
    <col min="12839" max="12839" width="25.42578125" style="2" customWidth="1"/>
    <col min="12840" max="12840" width="12.42578125" style="2" customWidth="1"/>
    <col min="12841" max="12841" width="16.42578125" style="2" customWidth="1"/>
    <col min="12842" max="12842" width="13.42578125" style="2" customWidth="1"/>
    <col min="12843" max="12843" width="8.5703125" style="2" customWidth="1"/>
    <col min="12844" max="12847" width="11.42578125" style="2" customWidth="1"/>
    <col min="12848" max="12848" width="12.7109375" style="2" customWidth="1"/>
    <col min="12849" max="12849" width="11.85546875" style="2" customWidth="1"/>
    <col min="12850" max="12850" width="7.85546875" style="2" customWidth="1"/>
    <col min="12851" max="12851" width="7.5703125" style="2" customWidth="1"/>
    <col min="12852" max="12852" width="8.85546875" style="2" customWidth="1"/>
    <col min="12853" max="12853" width="8.140625" style="2" customWidth="1"/>
    <col min="12854" max="12854" width="7.85546875" style="2" customWidth="1"/>
    <col min="12855" max="12855" width="8.5703125" style="2" customWidth="1"/>
    <col min="12856" max="12856" width="8.28515625" style="2" customWidth="1"/>
    <col min="12857" max="12857" width="11.42578125" style="2" customWidth="1"/>
    <col min="12858" max="12858" width="18" style="2" customWidth="1"/>
    <col min="12859" max="12859" width="21.42578125" style="2" customWidth="1"/>
    <col min="12860" max="12860" width="27.85546875" style="2" customWidth="1"/>
    <col min="12861" max="13076" width="11.42578125" style="2"/>
    <col min="13077" max="13077" width="13.5703125" style="2" customWidth="1"/>
    <col min="13078" max="13078" width="19" style="2" customWidth="1"/>
    <col min="13079" max="13079" width="13.5703125" style="2" customWidth="1"/>
    <col min="13080" max="13080" width="19.7109375" style="2" customWidth="1"/>
    <col min="13081" max="13081" width="13.5703125" style="2" customWidth="1"/>
    <col min="13082" max="13083" width="14.7109375" style="2" customWidth="1"/>
    <col min="13084" max="13084" width="36.140625" style="2" customWidth="1"/>
    <col min="13085" max="13085" width="29.42578125" style="2" customWidth="1"/>
    <col min="13086" max="13086" width="16" style="2" customWidth="1"/>
    <col min="13087" max="13087" width="38.28515625" style="2" customWidth="1"/>
    <col min="13088" max="13088" width="12" style="2" customWidth="1"/>
    <col min="13089" max="13089" width="38.140625" style="2" customWidth="1"/>
    <col min="13090" max="13090" width="17.85546875" style="2" bestFit="1" customWidth="1"/>
    <col min="13091" max="13091" width="24.7109375" style="2" customWidth="1"/>
    <col min="13092" max="13092" width="36.42578125" style="2" customWidth="1"/>
    <col min="13093" max="13093" width="46.7109375" style="2" customWidth="1"/>
    <col min="13094" max="13094" width="43.7109375" style="2" customWidth="1"/>
    <col min="13095" max="13095" width="25.42578125" style="2" customWidth="1"/>
    <col min="13096" max="13096" width="12.42578125" style="2" customWidth="1"/>
    <col min="13097" max="13097" width="16.42578125" style="2" customWidth="1"/>
    <col min="13098" max="13098" width="13.42578125" style="2" customWidth="1"/>
    <col min="13099" max="13099" width="8.5703125" style="2" customWidth="1"/>
    <col min="13100" max="13103" width="11.42578125" style="2" customWidth="1"/>
    <col min="13104" max="13104" width="12.7109375" style="2" customWidth="1"/>
    <col min="13105" max="13105" width="11.85546875" style="2" customWidth="1"/>
    <col min="13106" max="13106" width="7.85546875" style="2" customWidth="1"/>
    <col min="13107" max="13107" width="7.5703125" style="2" customWidth="1"/>
    <col min="13108" max="13108" width="8.85546875" style="2" customWidth="1"/>
    <col min="13109" max="13109" width="8.140625" style="2" customWidth="1"/>
    <col min="13110" max="13110" width="7.85546875" style="2" customWidth="1"/>
    <col min="13111" max="13111" width="8.5703125" style="2" customWidth="1"/>
    <col min="13112" max="13112" width="8.28515625" style="2" customWidth="1"/>
    <col min="13113" max="13113" width="11.42578125" style="2" customWidth="1"/>
    <col min="13114" max="13114" width="18" style="2" customWidth="1"/>
    <col min="13115" max="13115" width="21.42578125" style="2" customWidth="1"/>
    <col min="13116" max="13116" width="27.85546875" style="2" customWidth="1"/>
    <col min="13117" max="13332" width="11.42578125" style="2"/>
    <col min="13333" max="13333" width="13.5703125" style="2" customWidth="1"/>
    <col min="13334" max="13334" width="19" style="2" customWidth="1"/>
    <col min="13335" max="13335" width="13.5703125" style="2" customWidth="1"/>
    <col min="13336" max="13336" width="19.7109375" style="2" customWidth="1"/>
    <col min="13337" max="13337" width="13.5703125" style="2" customWidth="1"/>
    <col min="13338" max="13339" width="14.7109375" style="2" customWidth="1"/>
    <col min="13340" max="13340" width="36.140625" style="2" customWidth="1"/>
    <col min="13341" max="13341" width="29.42578125" style="2" customWidth="1"/>
    <col min="13342" max="13342" width="16" style="2" customWidth="1"/>
    <col min="13343" max="13343" width="38.28515625" style="2" customWidth="1"/>
    <col min="13344" max="13344" width="12" style="2" customWidth="1"/>
    <col min="13345" max="13345" width="38.140625" style="2" customWidth="1"/>
    <col min="13346" max="13346" width="17.85546875" style="2" bestFit="1" customWidth="1"/>
    <col min="13347" max="13347" width="24.7109375" style="2" customWidth="1"/>
    <col min="13348" max="13348" width="36.42578125" style="2" customWidth="1"/>
    <col min="13349" max="13349" width="46.7109375" style="2" customWidth="1"/>
    <col min="13350" max="13350" width="43.7109375" style="2" customWidth="1"/>
    <col min="13351" max="13351" width="25.42578125" style="2" customWidth="1"/>
    <col min="13352" max="13352" width="12.42578125" style="2" customWidth="1"/>
    <col min="13353" max="13353" width="16.42578125" style="2" customWidth="1"/>
    <col min="13354" max="13354" width="13.42578125" style="2" customWidth="1"/>
    <col min="13355" max="13355" width="8.5703125" style="2" customWidth="1"/>
    <col min="13356" max="13359" width="11.42578125" style="2" customWidth="1"/>
    <col min="13360" max="13360" width="12.7109375" style="2" customWidth="1"/>
    <col min="13361" max="13361" width="11.85546875" style="2" customWidth="1"/>
    <col min="13362" max="13362" width="7.85546875" style="2" customWidth="1"/>
    <col min="13363" max="13363" width="7.5703125" style="2" customWidth="1"/>
    <col min="13364" max="13364" width="8.85546875" style="2" customWidth="1"/>
    <col min="13365" max="13365" width="8.140625" style="2" customWidth="1"/>
    <col min="13366" max="13366" width="7.85546875" style="2" customWidth="1"/>
    <col min="13367" max="13367" width="8.5703125" style="2" customWidth="1"/>
    <col min="13368" max="13368" width="8.28515625" style="2" customWidth="1"/>
    <col min="13369" max="13369" width="11.42578125" style="2" customWidth="1"/>
    <col min="13370" max="13370" width="18" style="2" customWidth="1"/>
    <col min="13371" max="13371" width="21.42578125" style="2" customWidth="1"/>
    <col min="13372" max="13372" width="27.85546875" style="2" customWidth="1"/>
    <col min="13373" max="13588" width="11.42578125" style="2"/>
    <col min="13589" max="13589" width="13.5703125" style="2" customWidth="1"/>
    <col min="13590" max="13590" width="19" style="2" customWidth="1"/>
    <col min="13591" max="13591" width="13.5703125" style="2" customWidth="1"/>
    <col min="13592" max="13592" width="19.7109375" style="2" customWidth="1"/>
    <col min="13593" max="13593" width="13.5703125" style="2" customWidth="1"/>
    <col min="13594" max="13595" width="14.7109375" style="2" customWidth="1"/>
    <col min="13596" max="13596" width="36.140625" style="2" customWidth="1"/>
    <col min="13597" max="13597" width="29.42578125" style="2" customWidth="1"/>
    <col min="13598" max="13598" width="16" style="2" customWidth="1"/>
    <col min="13599" max="13599" width="38.28515625" style="2" customWidth="1"/>
    <col min="13600" max="13600" width="12" style="2" customWidth="1"/>
    <col min="13601" max="13601" width="38.140625" style="2" customWidth="1"/>
    <col min="13602" max="13602" width="17.85546875" style="2" bestFit="1" customWidth="1"/>
    <col min="13603" max="13603" width="24.7109375" style="2" customWidth="1"/>
    <col min="13604" max="13604" width="36.42578125" style="2" customWidth="1"/>
    <col min="13605" max="13605" width="46.7109375" style="2" customWidth="1"/>
    <col min="13606" max="13606" width="43.7109375" style="2" customWidth="1"/>
    <col min="13607" max="13607" width="25.42578125" style="2" customWidth="1"/>
    <col min="13608" max="13608" width="12.42578125" style="2" customWidth="1"/>
    <col min="13609" max="13609" width="16.42578125" style="2" customWidth="1"/>
    <col min="13610" max="13610" width="13.42578125" style="2" customWidth="1"/>
    <col min="13611" max="13611" width="8.5703125" style="2" customWidth="1"/>
    <col min="13612" max="13615" width="11.42578125" style="2" customWidth="1"/>
    <col min="13616" max="13616" width="12.7109375" style="2" customWidth="1"/>
    <col min="13617" max="13617" width="11.85546875" style="2" customWidth="1"/>
    <col min="13618" max="13618" width="7.85546875" style="2" customWidth="1"/>
    <col min="13619" max="13619" width="7.5703125" style="2" customWidth="1"/>
    <col min="13620" max="13620" width="8.85546875" style="2" customWidth="1"/>
    <col min="13621" max="13621" width="8.140625" style="2" customWidth="1"/>
    <col min="13622" max="13622" width="7.85546875" style="2" customWidth="1"/>
    <col min="13623" max="13623" width="8.5703125" style="2" customWidth="1"/>
    <col min="13624" max="13624" width="8.28515625" style="2" customWidth="1"/>
    <col min="13625" max="13625" width="11.42578125" style="2" customWidth="1"/>
    <col min="13626" max="13626" width="18" style="2" customWidth="1"/>
    <col min="13627" max="13627" width="21.42578125" style="2" customWidth="1"/>
    <col min="13628" max="13628" width="27.85546875" style="2" customWidth="1"/>
    <col min="13629" max="13844" width="11.42578125" style="2"/>
    <col min="13845" max="13845" width="13.5703125" style="2" customWidth="1"/>
    <col min="13846" max="13846" width="19" style="2" customWidth="1"/>
    <col min="13847" max="13847" width="13.5703125" style="2" customWidth="1"/>
    <col min="13848" max="13848" width="19.7109375" style="2" customWidth="1"/>
    <col min="13849" max="13849" width="13.5703125" style="2" customWidth="1"/>
    <col min="13850" max="13851" width="14.7109375" style="2" customWidth="1"/>
    <col min="13852" max="13852" width="36.140625" style="2" customWidth="1"/>
    <col min="13853" max="13853" width="29.42578125" style="2" customWidth="1"/>
    <col min="13854" max="13854" width="16" style="2" customWidth="1"/>
    <col min="13855" max="13855" width="38.28515625" style="2" customWidth="1"/>
    <col min="13856" max="13856" width="12" style="2" customWidth="1"/>
    <col min="13857" max="13857" width="38.140625" style="2" customWidth="1"/>
    <col min="13858" max="13858" width="17.85546875" style="2" bestFit="1" customWidth="1"/>
    <col min="13859" max="13859" width="24.7109375" style="2" customWidth="1"/>
    <col min="13860" max="13860" width="36.42578125" style="2" customWidth="1"/>
    <col min="13861" max="13861" width="46.7109375" style="2" customWidth="1"/>
    <col min="13862" max="13862" width="43.7109375" style="2" customWidth="1"/>
    <col min="13863" max="13863" width="25.42578125" style="2" customWidth="1"/>
    <col min="13864" max="13864" width="12.42578125" style="2" customWidth="1"/>
    <col min="13865" max="13865" width="16.42578125" style="2" customWidth="1"/>
    <col min="13866" max="13866" width="13.42578125" style="2" customWidth="1"/>
    <col min="13867" max="13867" width="8.5703125" style="2" customWidth="1"/>
    <col min="13868" max="13871" width="11.42578125" style="2" customWidth="1"/>
    <col min="13872" max="13872" width="12.7109375" style="2" customWidth="1"/>
    <col min="13873" max="13873" width="11.85546875" style="2" customWidth="1"/>
    <col min="13874" max="13874" width="7.85546875" style="2" customWidth="1"/>
    <col min="13875" max="13875" width="7.5703125" style="2" customWidth="1"/>
    <col min="13876" max="13876" width="8.85546875" style="2" customWidth="1"/>
    <col min="13877" max="13877" width="8.140625" style="2" customWidth="1"/>
    <col min="13878" max="13878" width="7.85546875" style="2" customWidth="1"/>
    <col min="13879" max="13879" width="8.5703125" style="2" customWidth="1"/>
    <col min="13880" max="13880" width="8.28515625" style="2" customWidth="1"/>
    <col min="13881" max="13881" width="11.42578125" style="2" customWidth="1"/>
    <col min="13882" max="13882" width="18" style="2" customWidth="1"/>
    <col min="13883" max="13883" width="21.42578125" style="2" customWidth="1"/>
    <col min="13884" max="13884" width="27.85546875" style="2" customWidth="1"/>
    <col min="13885" max="14100" width="11.42578125" style="2"/>
    <col min="14101" max="14101" width="13.5703125" style="2" customWidth="1"/>
    <col min="14102" max="14102" width="19" style="2" customWidth="1"/>
    <col min="14103" max="14103" width="13.5703125" style="2" customWidth="1"/>
    <col min="14104" max="14104" width="19.7109375" style="2" customWidth="1"/>
    <col min="14105" max="14105" width="13.5703125" style="2" customWidth="1"/>
    <col min="14106" max="14107" width="14.7109375" style="2" customWidth="1"/>
    <col min="14108" max="14108" width="36.140625" style="2" customWidth="1"/>
    <col min="14109" max="14109" width="29.42578125" style="2" customWidth="1"/>
    <col min="14110" max="14110" width="16" style="2" customWidth="1"/>
    <col min="14111" max="14111" width="38.28515625" style="2" customWidth="1"/>
    <col min="14112" max="14112" width="12" style="2" customWidth="1"/>
    <col min="14113" max="14113" width="38.140625" style="2" customWidth="1"/>
    <col min="14114" max="14114" width="17.85546875" style="2" bestFit="1" customWidth="1"/>
    <col min="14115" max="14115" width="24.7109375" style="2" customWidth="1"/>
    <col min="14116" max="14116" width="36.42578125" style="2" customWidth="1"/>
    <col min="14117" max="14117" width="46.7109375" style="2" customWidth="1"/>
    <col min="14118" max="14118" width="43.7109375" style="2" customWidth="1"/>
    <col min="14119" max="14119" width="25.42578125" style="2" customWidth="1"/>
    <col min="14120" max="14120" width="12.42578125" style="2" customWidth="1"/>
    <col min="14121" max="14121" width="16.42578125" style="2" customWidth="1"/>
    <col min="14122" max="14122" width="13.42578125" style="2" customWidth="1"/>
    <col min="14123" max="14123" width="8.5703125" style="2" customWidth="1"/>
    <col min="14124" max="14127" width="11.42578125" style="2" customWidth="1"/>
    <col min="14128" max="14128" width="12.7109375" style="2" customWidth="1"/>
    <col min="14129" max="14129" width="11.85546875" style="2" customWidth="1"/>
    <col min="14130" max="14130" width="7.85546875" style="2" customWidth="1"/>
    <col min="14131" max="14131" width="7.5703125" style="2" customWidth="1"/>
    <col min="14132" max="14132" width="8.85546875" style="2" customWidth="1"/>
    <col min="14133" max="14133" width="8.140625" style="2" customWidth="1"/>
    <col min="14134" max="14134" width="7.85546875" style="2" customWidth="1"/>
    <col min="14135" max="14135" width="8.5703125" style="2" customWidth="1"/>
    <col min="14136" max="14136" width="8.28515625" style="2" customWidth="1"/>
    <col min="14137" max="14137" width="11.42578125" style="2" customWidth="1"/>
    <col min="14138" max="14138" width="18" style="2" customWidth="1"/>
    <col min="14139" max="14139" width="21.42578125" style="2" customWidth="1"/>
    <col min="14140" max="14140" width="27.85546875" style="2" customWidth="1"/>
    <col min="14141" max="14356" width="11.42578125" style="2"/>
    <col min="14357" max="14357" width="13.5703125" style="2" customWidth="1"/>
    <col min="14358" max="14358" width="19" style="2" customWidth="1"/>
    <col min="14359" max="14359" width="13.5703125" style="2" customWidth="1"/>
    <col min="14360" max="14360" width="19.7109375" style="2" customWidth="1"/>
    <col min="14361" max="14361" width="13.5703125" style="2" customWidth="1"/>
    <col min="14362" max="14363" width="14.7109375" style="2" customWidth="1"/>
    <col min="14364" max="14364" width="36.140625" style="2" customWidth="1"/>
    <col min="14365" max="14365" width="29.42578125" style="2" customWidth="1"/>
    <col min="14366" max="14366" width="16" style="2" customWidth="1"/>
    <col min="14367" max="14367" width="38.28515625" style="2" customWidth="1"/>
    <col min="14368" max="14368" width="12" style="2" customWidth="1"/>
    <col min="14369" max="14369" width="38.140625" style="2" customWidth="1"/>
    <col min="14370" max="14370" width="17.85546875" style="2" bestFit="1" customWidth="1"/>
    <col min="14371" max="14371" width="24.7109375" style="2" customWidth="1"/>
    <col min="14372" max="14372" width="36.42578125" style="2" customWidth="1"/>
    <col min="14373" max="14373" width="46.7109375" style="2" customWidth="1"/>
    <col min="14374" max="14374" width="43.7109375" style="2" customWidth="1"/>
    <col min="14375" max="14375" width="25.42578125" style="2" customWidth="1"/>
    <col min="14376" max="14376" width="12.42578125" style="2" customWidth="1"/>
    <col min="14377" max="14377" width="16.42578125" style="2" customWidth="1"/>
    <col min="14378" max="14378" width="13.42578125" style="2" customWidth="1"/>
    <col min="14379" max="14379" width="8.5703125" style="2" customWidth="1"/>
    <col min="14380" max="14383" width="11.42578125" style="2" customWidth="1"/>
    <col min="14384" max="14384" width="12.7109375" style="2" customWidth="1"/>
    <col min="14385" max="14385" width="11.85546875" style="2" customWidth="1"/>
    <col min="14386" max="14386" width="7.85546875" style="2" customWidth="1"/>
    <col min="14387" max="14387" width="7.5703125" style="2" customWidth="1"/>
    <col min="14388" max="14388" width="8.85546875" style="2" customWidth="1"/>
    <col min="14389" max="14389" width="8.140625" style="2" customWidth="1"/>
    <col min="14390" max="14390" width="7.85546875" style="2" customWidth="1"/>
    <col min="14391" max="14391" width="8.5703125" style="2" customWidth="1"/>
    <col min="14392" max="14392" width="8.28515625" style="2" customWidth="1"/>
    <col min="14393" max="14393" width="11.42578125" style="2" customWidth="1"/>
    <col min="14394" max="14394" width="18" style="2" customWidth="1"/>
    <col min="14395" max="14395" width="21.42578125" style="2" customWidth="1"/>
    <col min="14396" max="14396" width="27.85546875" style="2" customWidth="1"/>
    <col min="14397" max="14612" width="11.42578125" style="2"/>
    <col min="14613" max="14613" width="13.5703125" style="2" customWidth="1"/>
    <col min="14614" max="14614" width="19" style="2" customWidth="1"/>
    <col min="14615" max="14615" width="13.5703125" style="2" customWidth="1"/>
    <col min="14616" max="14616" width="19.7109375" style="2" customWidth="1"/>
    <col min="14617" max="14617" width="13.5703125" style="2" customWidth="1"/>
    <col min="14618" max="14619" width="14.7109375" style="2" customWidth="1"/>
    <col min="14620" max="14620" width="36.140625" style="2" customWidth="1"/>
    <col min="14621" max="14621" width="29.42578125" style="2" customWidth="1"/>
    <col min="14622" max="14622" width="16" style="2" customWidth="1"/>
    <col min="14623" max="14623" width="38.28515625" style="2" customWidth="1"/>
    <col min="14624" max="14624" width="12" style="2" customWidth="1"/>
    <col min="14625" max="14625" width="38.140625" style="2" customWidth="1"/>
    <col min="14626" max="14626" width="17.85546875" style="2" bestFit="1" customWidth="1"/>
    <col min="14627" max="14627" width="24.7109375" style="2" customWidth="1"/>
    <col min="14628" max="14628" width="36.42578125" style="2" customWidth="1"/>
    <col min="14629" max="14629" width="46.7109375" style="2" customWidth="1"/>
    <col min="14630" max="14630" width="43.7109375" style="2" customWidth="1"/>
    <col min="14631" max="14631" width="25.42578125" style="2" customWidth="1"/>
    <col min="14632" max="14632" width="12.42578125" style="2" customWidth="1"/>
    <col min="14633" max="14633" width="16.42578125" style="2" customWidth="1"/>
    <col min="14634" max="14634" width="13.42578125" style="2" customWidth="1"/>
    <col min="14635" max="14635" width="8.5703125" style="2" customWidth="1"/>
    <col min="14636" max="14639" width="11.42578125" style="2" customWidth="1"/>
    <col min="14640" max="14640" width="12.7109375" style="2" customWidth="1"/>
    <col min="14641" max="14641" width="11.85546875" style="2" customWidth="1"/>
    <col min="14642" max="14642" width="7.85546875" style="2" customWidth="1"/>
    <col min="14643" max="14643" width="7.5703125" style="2" customWidth="1"/>
    <col min="14644" max="14644" width="8.85546875" style="2" customWidth="1"/>
    <col min="14645" max="14645" width="8.140625" style="2" customWidth="1"/>
    <col min="14646" max="14646" width="7.85546875" style="2" customWidth="1"/>
    <col min="14647" max="14647" width="8.5703125" style="2" customWidth="1"/>
    <col min="14648" max="14648" width="8.28515625" style="2" customWidth="1"/>
    <col min="14649" max="14649" width="11.42578125" style="2" customWidth="1"/>
    <col min="14650" max="14650" width="18" style="2" customWidth="1"/>
    <col min="14651" max="14651" width="21.42578125" style="2" customWidth="1"/>
    <col min="14652" max="14652" width="27.85546875" style="2" customWidth="1"/>
    <col min="14653" max="14868" width="11.42578125" style="2"/>
    <col min="14869" max="14869" width="13.5703125" style="2" customWidth="1"/>
    <col min="14870" max="14870" width="19" style="2" customWidth="1"/>
    <col min="14871" max="14871" width="13.5703125" style="2" customWidth="1"/>
    <col min="14872" max="14872" width="19.7109375" style="2" customWidth="1"/>
    <col min="14873" max="14873" width="13.5703125" style="2" customWidth="1"/>
    <col min="14874" max="14875" width="14.7109375" style="2" customWidth="1"/>
    <col min="14876" max="14876" width="36.140625" style="2" customWidth="1"/>
    <col min="14877" max="14877" width="29.42578125" style="2" customWidth="1"/>
    <col min="14878" max="14878" width="16" style="2" customWidth="1"/>
    <col min="14879" max="14879" width="38.28515625" style="2" customWidth="1"/>
    <col min="14880" max="14880" width="12" style="2" customWidth="1"/>
    <col min="14881" max="14881" width="38.140625" style="2" customWidth="1"/>
    <col min="14882" max="14882" width="17.85546875" style="2" bestFit="1" customWidth="1"/>
    <col min="14883" max="14883" width="24.7109375" style="2" customWidth="1"/>
    <col min="14884" max="14884" width="36.42578125" style="2" customWidth="1"/>
    <col min="14885" max="14885" width="46.7109375" style="2" customWidth="1"/>
    <col min="14886" max="14886" width="43.7109375" style="2" customWidth="1"/>
    <col min="14887" max="14887" width="25.42578125" style="2" customWidth="1"/>
    <col min="14888" max="14888" width="12.42578125" style="2" customWidth="1"/>
    <col min="14889" max="14889" width="16.42578125" style="2" customWidth="1"/>
    <col min="14890" max="14890" width="13.42578125" style="2" customWidth="1"/>
    <col min="14891" max="14891" width="8.5703125" style="2" customWidth="1"/>
    <col min="14892" max="14895" width="11.42578125" style="2" customWidth="1"/>
    <col min="14896" max="14896" width="12.7109375" style="2" customWidth="1"/>
    <col min="14897" max="14897" width="11.85546875" style="2" customWidth="1"/>
    <col min="14898" max="14898" width="7.85546875" style="2" customWidth="1"/>
    <col min="14899" max="14899" width="7.5703125" style="2" customWidth="1"/>
    <col min="14900" max="14900" width="8.85546875" style="2" customWidth="1"/>
    <col min="14901" max="14901" width="8.140625" style="2" customWidth="1"/>
    <col min="14902" max="14902" width="7.85546875" style="2" customWidth="1"/>
    <col min="14903" max="14903" width="8.5703125" style="2" customWidth="1"/>
    <col min="14904" max="14904" width="8.28515625" style="2" customWidth="1"/>
    <col min="14905" max="14905" width="11.42578125" style="2" customWidth="1"/>
    <col min="14906" max="14906" width="18" style="2" customWidth="1"/>
    <col min="14907" max="14907" width="21.42578125" style="2" customWidth="1"/>
    <col min="14908" max="14908" width="27.85546875" style="2" customWidth="1"/>
    <col min="14909" max="15124" width="11.42578125" style="2"/>
    <col min="15125" max="15125" width="13.5703125" style="2" customWidth="1"/>
    <col min="15126" max="15126" width="19" style="2" customWidth="1"/>
    <col min="15127" max="15127" width="13.5703125" style="2" customWidth="1"/>
    <col min="15128" max="15128" width="19.7109375" style="2" customWidth="1"/>
    <col min="15129" max="15129" width="13.5703125" style="2" customWidth="1"/>
    <col min="15130" max="15131" width="14.7109375" style="2" customWidth="1"/>
    <col min="15132" max="15132" width="36.140625" style="2" customWidth="1"/>
    <col min="15133" max="15133" width="29.42578125" style="2" customWidth="1"/>
    <col min="15134" max="15134" width="16" style="2" customWidth="1"/>
    <col min="15135" max="15135" width="38.28515625" style="2" customWidth="1"/>
    <col min="15136" max="15136" width="12" style="2" customWidth="1"/>
    <col min="15137" max="15137" width="38.140625" style="2" customWidth="1"/>
    <col min="15138" max="15138" width="17.85546875" style="2" bestFit="1" customWidth="1"/>
    <col min="15139" max="15139" width="24.7109375" style="2" customWidth="1"/>
    <col min="15140" max="15140" width="36.42578125" style="2" customWidth="1"/>
    <col min="15141" max="15141" width="46.7109375" style="2" customWidth="1"/>
    <col min="15142" max="15142" width="43.7109375" style="2" customWidth="1"/>
    <col min="15143" max="15143" width="25.42578125" style="2" customWidth="1"/>
    <col min="15144" max="15144" width="12.42578125" style="2" customWidth="1"/>
    <col min="15145" max="15145" width="16.42578125" style="2" customWidth="1"/>
    <col min="15146" max="15146" width="13.42578125" style="2" customWidth="1"/>
    <col min="15147" max="15147" width="8.5703125" style="2" customWidth="1"/>
    <col min="15148" max="15151" width="11.42578125" style="2" customWidth="1"/>
    <col min="15152" max="15152" width="12.7109375" style="2" customWidth="1"/>
    <col min="15153" max="15153" width="11.85546875" style="2" customWidth="1"/>
    <col min="15154" max="15154" width="7.85546875" style="2" customWidth="1"/>
    <col min="15155" max="15155" width="7.5703125" style="2" customWidth="1"/>
    <col min="15156" max="15156" width="8.85546875" style="2" customWidth="1"/>
    <col min="15157" max="15157" width="8.140625" style="2" customWidth="1"/>
    <col min="15158" max="15158" width="7.85546875" style="2" customWidth="1"/>
    <col min="15159" max="15159" width="8.5703125" style="2" customWidth="1"/>
    <col min="15160" max="15160" width="8.28515625" style="2" customWidth="1"/>
    <col min="15161" max="15161" width="11.42578125" style="2" customWidth="1"/>
    <col min="15162" max="15162" width="18" style="2" customWidth="1"/>
    <col min="15163" max="15163" width="21.42578125" style="2" customWidth="1"/>
    <col min="15164" max="15164" width="27.85546875" style="2" customWidth="1"/>
    <col min="15165" max="15380" width="11.42578125" style="2"/>
    <col min="15381" max="15381" width="13.5703125" style="2" customWidth="1"/>
    <col min="15382" max="15382" width="19" style="2" customWidth="1"/>
    <col min="15383" max="15383" width="13.5703125" style="2" customWidth="1"/>
    <col min="15384" max="15384" width="19.7109375" style="2" customWidth="1"/>
    <col min="15385" max="15385" width="13.5703125" style="2" customWidth="1"/>
    <col min="15386" max="15387" width="14.7109375" style="2" customWidth="1"/>
    <col min="15388" max="15388" width="36.140625" style="2" customWidth="1"/>
    <col min="15389" max="15389" width="29.42578125" style="2" customWidth="1"/>
    <col min="15390" max="15390" width="16" style="2" customWidth="1"/>
    <col min="15391" max="15391" width="38.28515625" style="2" customWidth="1"/>
    <col min="15392" max="15392" width="12" style="2" customWidth="1"/>
    <col min="15393" max="15393" width="38.140625" style="2" customWidth="1"/>
    <col min="15394" max="15394" width="17.85546875" style="2" bestFit="1" customWidth="1"/>
    <col min="15395" max="15395" width="24.7109375" style="2" customWidth="1"/>
    <col min="15396" max="15396" width="36.42578125" style="2" customWidth="1"/>
    <col min="15397" max="15397" width="46.7109375" style="2" customWidth="1"/>
    <col min="15398" max="15398" width="43.7109375" style="2" customWidth="1"/>
    <col min="15399" max="15399" width="25.42578125" style="2" customWidth="1"/>
    <col min="15400" max="15400" width="12.42578125" style="2" customWidth="1"/>
    <col min="15401" max="15401" width="16.42578125" style="2" customWidth="1"/>
    <col min="15402" max="15402" width="13.42578125" style="2" customWidth="1"/>
    <col min="15403" max="15403" width="8.5703125" style="2" customWidth="1"/>
    <col min="15404" max="15407" width="11.42578125" style="2" customWidth="1"/>
    <col min="15408" max="15408" width="12.7109375" style="2" customWidth="1"/>
    <col min="15409" max="15409" width="11.85546875" style="2" customWidth="1"/>
    <col min="15410" max="15410" width="7.85546875" style="2" customWidth="1"/>
    <col min="15411" max="15411" width="7.5703125" style="2" customWidth="1"/>
    <col min="15412" max="15412" width="8.85546875" style="2" customWidth="1"/>
    <col min="15413" max="15413" width="8.140625" style="2" customWidth="1"/>
    <col min="15414" max="15414" width="7.85546875" style="2" customWidth="1"/>
    <col min="15415" max="15415" width="8.5703125" style="2" customWidth="1"/>
    <col min="15416" max="15416" width="8.28515625" style="2" customWidth="1"/>
    <col min="15417" max="15417" width="11.42578125" style="2" customWidth="1"/>
    <col min="15418" max="15418" width="18" style="2" customWidth="1"/>
    <col min="15419" max="15419" width="21.42578125" style="2" customWidth="1"/>
    <col min="15420" max="15420" width="27.85546875" style="2" customWidth="1"/>
    <col min="15421" max="15636" width="11.42578125" style="2"/>
    <col min="15637" max="15637" width="13.5703125" style="2" customWidth="1"/>
    <col min="15638" max="15638" width="19" style="2" customWidth="1"/>
    <col min="15639" max="15639" width="13.5703125" style="2" customWidth="1"/>
    <col min="15640" max="15640" width="19.7109375" style="2" customWidth="1"/>
    <col min="15641" max="15641" width="13.5703125" style="2" customWidth="1"/>
    <col min="15642" max="15643" width="14.7109375" style="2" customWidth="1"/>
    <col min="15644" max="15644" width="36.140625" style="2" customWidth="1"/>
    <col min="15645" max="15645" width="29.42578125" style="2" customWidth="1"/>
    <col min="15646" max="15646" width="16" style="2" customWidth="1"/>
    <col min="15647" max="15647" width="38.28515625" style="2" customWidth="1"/>
    <col min="15648" max="15648" width="12" style="2" customWidth="1"/>
    <col min="15649" max="15649" width="38.140625" style="2" customWidth="1"/>
    <col min="15650" max="15650" width="17.85546875" style="2" bestFit="1" customWidth="1"/>
    <col min="15651" max="15651" width="24.7109375" style="2" customWidth="1"/>
    <col min="15652" max="15652" width="36.42578125" style="2" customWidth="1"/>
    <col min="15653" max="15653" width="46.7109375" style="2" customWidth="1"/>
    <col min="15654" max="15654" width="43.7109375" style="2" customWidth="1"/>
    <col min="15655" max="15655" width="25.42578125" style="2" customWidth="1"/>
    <col min="15656" max="15656" width="12.42578125" style="2" customWidth="1"/>
    <col min="15657" max="15657" width="16.42578125" style="2" customWidth="1"/>
    <col min="15658" max="15658" width="13.42578125" style="2" customWidth="1"/>
    <col min="15659" max="15659" width="8.5703125" style="2" customWidth="1"/>
    <col min="15660" max="15663" width="11.42578125" style="2" customWidth="1"/>
    <col min="15664" max="15664" width="12.7109375" style="2" customWidth="1"/>
    <col min="15665" max="15665" width="11.85546875" style="2" customWidth="1"/>
    <col min="15666" max="15666" width="7.85546875" style="2" customWidth="1"/>
    <col min="15667" max="15667" width="7.5703125" style="2" customWidth="1"/>
    <col min="15668" max="15668" width="8.85546875" style="2" customWidth="1"/>
    <col min="15669" max="15669" width="8.140625" style="2" customWidth="1"/>
    <col min="15670" max="15670" width="7.85546875" style="2" customWidth="1"/>
    <col min="15671" max="15671" width="8.5703125" style="2" customWidth="1"/>
    <col min="15672" max="15672" width="8.28515625" style="2" customWidth="1"/>
    <col min="15673" max="15673" width="11.42578125" style="2" customWidth="1"/>
    <col min="15674" max="15674" width="18" style="2" customWidth="1"/>
    <col min="15675" max="15675" width="21.42578125" style="2" customWidth="1"/>
    <col min="15676" max="15676" width="27.85546875" style="2" customWidth="1"/>
    <col min="15677" max="15892" width="11.42578125" style="2"/>
    <col min="15893" max="15893" width="13.5703125" style="2" customWidth="1"/>
    <col min="15894" max="15894" width="19" style="2" customWidth="1"/>
    <col min="15895" max="15895" width="13.5703125" style="2" customWidth="1"/>
    <col min="15896" max="15896" width="19.7109375" style="2" customWidth="1"/>
    <col min="15897" max="15897" width="13.5703125" style="2" customWidth="1"/>
    <col min="15898" max="15899" width="14.7109375" style="2" customWidth="1"/>
    <col min="15900" max="15900" width="36.140625" style="2" customWidth="1"/>
    <col min="15901" max="15901" width="29.42578125" style="2" customWidth="1"/>
    <col min="15902" max="15902" width="16" style="2" customWidth="1"/>
    <col min="15903" max="15903" width="38.28515625" style="2" customWidth="1"/>
    <col min="15904" max="15904" width="12" style="2" customWidth="1"/>
    <col min="15905" max="15905" width="38.140625" style="2" customWidth="1"/>
    <col min="15906" max="15906" width="17.85546875" style="2" bestFit="1" customWidth="1"/>
    <col min="15907" max="15907" width="24.7109375" style="2" customWidth="1"/>
    <col min="15908" max="15908" width="36.42578125" style="2" customWidth="1"/>
    <col min="15909" max="15909" width="46.7109375" style="2" customWidth="1"/>
    <col min="15910" max="15910" width="43.7109375" style="2" customWidth="1"/>
    <col min="15911" max="15911" width="25.42578125" style="2" customWidth="1"/>
    <col min="15912" max="15912" width="12.42578125" style="2" customWidth="1"/>
    <col min="15913" max="15913" width="16.42578125" style="2" customWidth="1"/>
    <col min="15914" max="15914" width="13.42578125" style="2" customWidth="1"/>
    <col min="15915" max="15915" width="8.5703125" style="2" customWidth="1"/>
    <col min="15916" max="15919" width="11.42578125" style="2" customWidth="1"/>
    <col min="15920" max="15920" width="12.7109375" style="2" customWidth="1"/>
    <col min="15921" max="15921" width="11.85546875" style="2" customWidth="1"/>
    <col min="15922" max="15922" width="7.85546875" style="2" customWidth="1"/>
    <col min="15923" max="15923" width="7.5703125" style="2" customWidth="1"/>
    <col min="15924" max="15924" width="8.85546875" style="2" customWidth="1"/>
    <col min="15925" max="15925" width="8.140625" style="2" customWidth="1"/>
    <col min="15926" max="15926" width="7.85546875" style="2" customWidth="1"/>
    <col min="15927" max="15927" width="8.5703125" style="2" customWidth="1"/>
    <col min="15928" max="15928" width="8.28515625" style="2" customWidth="1"/>
    <col min="15929" max="15929" width="11.42578125" style="2" customWidth="1"/>
    <col min="15930" max="15930" width="18" style="2" customWidth="1"/>
    <col min="15931" max="15931" width="21.42578125" style="2" customWidth="1"/>
    <col min="15932" max="15932" width="27.85546875" style="2" customWidth="1"/>
    <col min="15933" max="16148" width="11.42578125" style="2"/>
    <col min="16149" max="16149" width="13.5703125" style="2" customWidth="1"/>
    <col min="16150" max="16150" width="19" style="2" customWidth="1"/>
    <col min="16151" max="16151" width="13.5703125" style="2" customWidth="1"/>
    <col min="16152" max="16152" width="19.7109375" style="2" customWidth="1"/>
    <col min="16153" max="16153" width="13.5703125" style="2" customWidth="1"/>
    <col min="16154" max="16155" width="14.7109375" style="2" customWidth="1"/>
    <col min="16156" max="16156" width="36.140625" style="2" customWidth="1"/>
    <col min="16157" max="16157" width="29.42578125" style="2" customWidth="1"/>
    <col min="16158" max="16158" width="16" style="2" customWidth="1"/>
    <col min="16159" max="16159" width="38.28515625" style="2" customWidth="1"/>
    <col min="16160" max="16160" width="12" style="2" customWidth="1"/>
    <col min="16161" max="16161" width="38.140625" style="2" customWidth="1"/>
    <col min="16162" max="16162" width="17.85546875" style="2" bestFit="1" customWidth="1"/>
    <col min="16163" max="16163" width="24.7109375" style="2" customWidth="1"/>
    <col min="16164" max="16164" width="36.42578125" style="2" customWidth="1"/>
    <col min="16165" max="16165" width="46.7109375" style="2" customWidth="1"/>
    <col min="16166" max="16166" width="43.7109375" style="2" customWidth="1"/>
    <col min="16167" max="16167" width="25.42578125" style="2" customWidth="1"/>
    <col min="16168" max="16168" width="12.42578125" style="2" customWidth="1"/>
    <col min="16169" max="16169" width="16.42578125" style="2" customWidth="1"/>
    <col min="16170" max="16170" width="13.42578125" style="2" customWidth="1"/>
    <col min="16171" max="16171" width="8.5703125" style="2" customWidth="1"/>
    <col min="16172" max="16175" width="11.42578125" style="2" customWidth="1"/>
    <col min="16176" max="16176" width="12.7109375" style="2" customWidth="1"/>
    <col min="16177" max="16177" width="11.85546875" style="2" customWidth="1"/>
    <col min="16178" max="16178" width="7.85546875" style="2" customWidth="1"/>
    <col min="16179" max="16179" width="7.5703125" style="2" customWidth="1"/>
    <col min="16180" max="16180" width="8.85546875" style="2" customWidth="1"/>
    <col min="16181" max="16181" width="8.140625" style="2" customWidth="1"/>
    <col min="16182" max="16182" width="7.85546875" style="2" customWidth="1"/>
    <col min="16183" max="16183" width="8.5703125" style="2" customWidth="1"/>
    <col min="16184" max="16184" width="8.28515625" style="2" customWidth="1"/>
    <col min="16185" max="16185" width="11.42578125" style="2" customWidth="1"/>
    <col min="16186" max="16186" width="18" style="2" customWidth="1"/>
    <col min="16187" max="16187" width="21.42578125" style="2" customWidth="1"/>
    <col min="16188" max="16188" width="27.85546875" style="2" customWidth="1"/>
    <col min="16189" max="16384" width="11.42578125" style="2"/>
  </cols>
  <sheetData>
    <row r="1" spans="1:276" ht="18" customHeight="1" x14ac:dyDescent="0.25">
      <c r="A1" s="2564" t="s">
        <v>464</v>
      </c>
      <c r="B1" s="3818"/>
      <c r="C1" s="3818"/>
      <c r="D1" s="3818"/>
      <c r="E1" s="3818"/>
      <c r="F1" s="3818"/>
      <c r="G1" s="3818"/>
      <c r="H1" s="3818"/>
      <c r="I1" s="3818"/>
      <c r="J1" s="3818"/>
      <c r="K1" s="3818"/>
      <c r="L1" s="3818"/>
      <c r="M1" s="3818"/>
      <c r="N1" s="3818"/>
      <c r="O1" s="3818"/>
      <c r="P1" s="3818"/>
      <c r="Q1" s="3818"/>
      <c r="R1" s="3818"/>
      <c r="S1" s="3818"/>
      <c r="T1" s="3818"/>
      <c r="U1" s="3818"/>
      <c r="V1" s="3818"/>
      <c r="W1" s="3818"/>
      <c r="X1" s="3818"/>
      <c r="Y1" s="3818"/>
      <c r="Z1" s="3818"/>
      <c r="AA1" s="3818"/>
      <c r="AB1" s="3818"/>
      <c r="AC1" s="3818"/>
      <c r="AD1" s="3818"/>
      <c r="AE1" s="3818"/>
      <c r="AF1" s="3818"/>
      <c r="AG1" s="3818"/>
      <c r="AH1" s="3818"/>
      <c r="AI1" s="3818"/>
      <c r="AJ1" s="3818"/>
      <c r="AK1" s="3818"/>
      <c r="AL1" s="3818"/>
      <c r="AM1" s="3818"/>
      <c r="AN1" s="3818"/>
      <c r="AO1" s="3818"/>
      <c r="AP1" s="3818"/>
      <c r="AQ1" s="3818"/>
      <c r="AR1" s="3818"/>
      <c r="AS1" s="3818"/>
      <c r="AT1" s="3818"/>
      <c r="AU1" s="3818"/>
      <c r="AV1" s="3818"/>
      <c r="AW1" s="3818"/>
      <c r="AX1" s="3818"/>
      <c r="AY1" s="3818"/>
      <c r="AZ1" s="3818"/>
      <c r="BA1" s="3818"/>
      <c r="BB1" s="3818"/>
      <c r="BC1" s="3818"/>
      <c r="BD1" s="3818"/>
      <c r="BE1" s="3818"/>
      <c r="BF1" s="3818"/>
      <c r="BG1" s="3818"/>
      <c r="BH1" s="3818"/>
      <c r="BI1" s="3818"/>
      <c r="BJ1" s="3818"/>
      <c r="BK1" s="3818"/>
      <c r="BL1" s="499"/>
      <c r="BN1" s="500" t="s">
        <v>9</v>
      </c>
      <c r="BO1" s="501" t="s">
        <v>1</v>
      </c>
    </row>
    <row r="2" spans="1:276" ht="18" customHeight="1" x14ac:dyDescent="0.25">
      <c r="A2" s="3818"/>
      <c r="B2" s="3818"/>
      <c r="C2" s="3818"/>
      <c r="D2" s="3818"/>
      <c r="E2" s="3818"/>
      <c r="F2" s="3818"/>
      <c r="G2" s="3818"/>
      <c r="H2" s="3818"/>
      <c r="I2" s="3818"/>
      <c r="J2" s="3818"/>
      <c r="K2" s="3818"/>
      <c r="L2" s="3818"/>
      <c r="M2" s="3818"/>
      <c r="N2" s="3818"/>
      <c r="O2" s="3818"/>
      <c r="P2" s="3818"/>
      <c r="Q2" s="3818"/>
      <c r="R2" s="3818"/>
      <c r="S2" s="3818"/>
      <c r="T2" s="3818"/>
      <c r="U2" s="3818"/>
      <c r="V2" s="3818"/>
      <c r="W2" s="3818"/>
      <c r="X2" s="3818"/>
      <c r="Y2" s="3818"/>
      <c r="Z2" s="3818"/>
      <c r="AA2" s="3818"/>
      <c r="AB2" s="3818"/>
      <c r="AC2" s="3818"/>
      <c r="AD2" s="3818"/>
      <c r="AE2" s="3818"/>
      <c r="AF2" s="3818"/>
      <c r="AG2" s="3818"/>
      <c r="AH2" s="3818"/>
      <c r="AI2" s="3818"/>
      <c r="AJ2" s="3818"/>
      <c r="AK2" s="3818"/>
      <c r="AL2" s="3818"/>
      <c r="AM2" s="3818"/>
      <c r="AN2" s="3818"/>
      <c r="AO2" s="3818"/>
      <c r="AP2" s="3818"/>
      <c r="AQ2" s="3818"/>
      <c r="AR2" s="3818"/>
      <c r="AS2" s="3818"/>
      <c r="AT2" s="3818"/>
      <c r="AU2" s="3818"/>
      <c r="AV2" s="3818"/>
      <c r="AW2" s="3818"/>
      <c r="AX2" s="3818"/>
      <c r="AY2" s="3818"/>
      <c r="AZ2" s="3818"/>
      <c r="BA2" s="3818"/>
      <c r="BB2" s="3818"/>
      <c r="BC2" s="3818"/>
      <c r="BD2" s="3818"/>
      <c r="BE2" s="3818"/>
      <c r="BF2" s="3818"/>
      <c r="BG2" s="3818"/>
      <c r="BH2" s="3818"/>
      <c r="BI2" s="3818"/>
      <c r="BJ2" s="3818"/>
      <c r="BK2" s="3818"/>
      <c r="BL2" s="499"/>
      <c r="BN2" s="502" t="s">
        <v>2</v>
      </c>
      <c r="BO2" s="503">
        <v>6</v>
      </c>
    </row>
    <row r="3" spans="1:276" ht="18" customHeight="1" x14ac:dyDescent="0.25">
      <c r="A3" s="3818"/>
      <c r="B3" s="3818"/>
      <c r="C3" s="3818"/>
      <c r="D3" s="3818"/>
      <c r="E3" s="3818"/>
      <c r="F3" s="3818"/>
      <c r="G3" s="3818"/>
      <c r="H3" s="3818"/>
      <c r="I3" s="3818"/>
      <c r="J3" s="3818"/>
      <c r="K3" s="3818"/>
      <c r="L3" s="3818"/>
      <c r="M3" s="3818"/>
      <c r="N3" s="3818"/>
      <c r="O3" s="3818"/>
      <c r="P3" s="3818"/>
      <c r="Q3" s="3818"/>
      <c r="R3" s="3818"/>
      <c r="S3" s="3818"/>
      <c r="T3" s="3818"/>
      <c r="U3" s="3818"/>
      <c r="V3" s="3818"/>
      <c r="W3" s="3818"/>
      <c r="X3" s="3818"/>
      <c r="Y3" s="3818"/>
      <c r="Z3" s="3818"/>
      <c r="AA3" s="3818"/>
      <c r="AB3" s="3818"/>
      <c r="AC3" s="3818"/>
      <c r="AD3" s="3818"/>
      <c r="AE3" s="3818"/>
      <c r="AF3" s="3818"/>
      <c r="AG3" s="3818"/>
      <c r="AH3" s="3818"/>
      <c r="AI3" s="3818"/>
      <c r="AJ3" s="3818"/>
      <c r="AK3" s="3818"/>
      <c r="AL3" s="3818"/>
      <c r="AM3" s="3818"/>
      <c r="AN3" s="3818"/>
      <c r="AO3" s="3818"/>
      <c r="AP3" s="3818"/>
      <c r="AQ3" s="3818"/>
      <c r="AR3" s="3818"/>
      <c r="AS3" s="3818"/>
      <c r="AT3" s="3818"/>
      <c r="AU3" s="3818"/>
      <c r="AV3" s="3818"/>
      <c r="AW3" s="3818"/>
      <c r="AX3" s="3818"/>
      <c r="AY3" s="3818"/>
      <c r="AZ3" s="3818"/>
      <c r="BA3" s="3818"/>
      <c r="BB3" s="3818"/>
      <c r="BC3" s="3818"/>
      <c r="BD3" s="3818"/>
      <c r="BE3" s="3818"/>
      <c r="BF3" s="3818"/>
      <c r="BG3" s="3818"/>
      <c r="BH3" s="3818"/>
      <c r="BI3" s="3818"/>
      <c r="BJ3" s="3818"/>
      <c r="BK3" s="3818"/>
      <c r="BL3" s="499"/>
      <c r="BN3" s="500" t="s">
        <v>3</v>
      </c>
      <c r="BO3" s="504" t="s">
        <v>4</v>
      </c>
    </row>
    <row r="4" spans="1:276" ht="18" customHeight="1" x14ac:dyDescent="0.2">
      <c r="A4" s="2740"/>
      <c r="B4" s="2740"/>
      <c r="C4" s="2740"/>
      <c r="D4" s="2740"/>
      <c r="E4" s="2740"/>
      <c r="F4" s="2740"/>
      <c r="G4" s="2740"/>
      <c r="H4" s="2740"/>
      <c r="I4" s="2740"/>
      <c r="J4" s="2740"/>
      <c r="K4" s="2740"/>
      <c r="L4" s="2740"/>
      <c r="M4" s="2740"/>
      <c r="N4" s="2740"/>
      <c r="O4" s="2740"/>
      <c r="P4" s="2740"/>
      <c r="Q4" s="2740"/>
      <c r="R4" s="2740"/>
      <c r="S4" s="2740"/>
      <c r="T4" s="2740"/>
      <c r="U4" s="2740"/>
      <c r="V4" s="2740"/>
      <c r="W4" s="2740"/>
      <c r="X4" s="2740"/>
      <c r="Y4" s="2740"/>
      <c r="Z4" s="2740"/>
      <c r="AA4" s="2740"/>
      <c r="AB4" s="2740"/>
      <c r="AC4" s="2740"/>
      <c r="AD4" s="2740"/>
      <c r="AE4" s="2740"/>
      <c r="AF4" s="2740"/>
      <c r="AG4" s="2740"/>
      <c r="AH4" s="2740"/>
      <c r="AI4" s="2740"/>
      <c r="AJ4" s="2740"/>
      <c r="AK4" s="2740"/>
      <c r="AL4" s="2740"/>
      <c r="AM4" s="2740"/>
      <c r="AN4" s="2740"/>
      <c r="AO4" s="2740"/>
      <c r="AP4" s="2740"/>
      <c r="AQ4" s="2740"/>
      <c r="AR4" s="2740"/>
      <c r="AS4" s="2740"/>
      <c r="AT4" s="2740"/>
      <c r="AU4" s="2740"/>
      <c r="AV4" s="2740"/>
      <c r="AW4" s="2740"/>
      <c r="AX4" s="2740"/>
      <c r="AY4" s="2740"/>
      <c r="AZ4" s="2740"/>
      <c r="BA4" s="2740"/>
      <c r="BB4" s="2740"/>
      <c r="BC4" s="2740"/>
      <c r="BD4" s="2740"/>
      <c r="BE4" s="2740"/>
      <c r="BF4" s="2740"/>
      <c r="BG4" s="2740"/>
      <c r="BH4" s="2740"/>
      <c r="BI4" s="2740"/>
      <c r="BJ4" s="2740"/>
      <c r="BK4" s="2740"/>
      <c r="BL4" s="383"/>
      <c r="BN4" s="500" t="s">
        <v>5</v>
      </c>
      <c r="BO4" s="505" t="s">
        <v>6</v>
      </c>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row>
    <row r="5" spans="1:276" ht="23.25" customHeight="1" x14ac:dyDescent="0.2">
      <c r="A5" s="2374" t="s">
        <v>7</v>
      </c>
      <c r="B5" s="2374"/>
      <c r="C5" s="2374"/>
      <c r="D5" s="2374"/>
      <c r="E5" s="2374"/>
      <c r="F5" s="2374"/>
      <c r="G5" s="2374"/>
      <c r="H5" s="2374"/>
      <c r="I5" s="2374"/>
      <c r="J5" s="2374"/>
      <c r="K5" s="382"/>
      <c r="L5" s="382"/>
      <c r="M5" s="382"/>
      <c r="N5" s="2571" t="s">
        <v>8</v>
      </c>
      <c r="O5" s="2571"/>
      <c r="P5" s="2571"/>
      <c r="Q5" s="2571"/>
      <c r="R5" s="2571"/>
      <c r="S5" s="2571"/>
      <c r="T5" s="2571"/>
      <c r="U5" s="2571"/>
      <c r="V5" s="2571"/>
      <c r="W5" s="2571"/>
      <c r="X5" s="2571"/>
      <c r="Y5" s="2571"/>
      <c r="Z5" s="2571"/>
      <c r="AA5" s="2571"/>
      <c r="AB5" s="2571"/>
      <c r="AC5" s="2571"/>
      <c r="AD5" s="2571"/>
      <c r="AE5" s="2571"/>
      <c r="AF5" s="2571"/>
      <c r="AG5" s="2571"/>
      <c r="AH5" s="2571"/>
      <c r="AI5" s="2571"/>
      <c r="AJ5" s="2571"/>
      <c r="AK5" s="2571"/>
      <c r="AL5" s="2571"/>
      <c r="AM5" s="2571"/>
      <c r="AN5" s="2571"/>
      <c r="AO5" s="2571"/>
      <c r="AP5" s="2571"/>
      <c r="AQ5" s="2571"/>
      <c r="AR5" s="2571"/>
      <c r="AS5" s="2571"/>
      <c r="AT5" s="2571"/>
      <c r="AU5" s="2571"/>
      <c r="AV5" s="2571"/>
      <c r="AW5" s="2571"/>
      <c r="AX5" s="2571"/>
      <c r="AY5" s="2571"/>
      <c r="AZ5" s="2571"/>
      <c r="BA5" s="2571"/>
      <c r="BB5" s="2571"/>
      <c r="BC5" s="2571"/>
      <c r="BD5" s="2571"/>
      <c r="BE5" s="2571"/>
      <c r="BF5" s="2571"/>
      <c r="BG5" s="2571"/>
      <c r="BH5" s="2571"/>
      <c r="BI5" s="2571"/>
      <c r="BJ5" s="2571"/>
      <c r="BK5" s="2571"/>
      <c r="BL5" s="2571"/>
      <c r="BM5" s="2571"/>
      <c r="BN5" s="2571"/>
      <c r="BO5" s="2571"/>
    </row>
    <row r="6" spans="1:276" ht="23.25" customHeight="1" thickBot="1" x14ac:dyDescent="0.25">
      <c r="A6" s="2740"/>
      <c r="B6" s="2740"/>
      <c r="C6" s="2740"/>
      <c r="D6" s="2740"/>
      <c r="E6" s="2740"/>
      <c r="F6" s="2740"/>
      <c r="G6" s="2740"/>
      <c r="H6" s="2740"/>
      <c r="I6" s="2740"/>
      <c r="J6" s="2740"/>
      <c r="K6" s="383"/>
      <c r="L6" s="383"/>
      <c r="M6" s="383"/>
      <c r="N6" s="4098"/>
      <c r="O6" s="4099"/>
      <c r="P6" s="4099"/>
      <c r="Q6" s="4099"/>
      <c r="R6" s="4099"/>
      <c r="S6" s="4099"/>
      <c r="T6" s="4099"/>
      <c r="U6" s="4099"/>
      <c r="V6" s="4099"/>
      <c r="W6" s="4099"/>
      <c r="X6" s="3451"/>
      <c r="Y6" s="4098" t="s">
        <v>270</v>
      </c>
      <c r="Z6" s="4099"/>
      <c r="AA6" s="4099"/>
      <c r="AB6" s="4099"/>
      <c r="AC6" s="4099"/>
      <c r="AD6" s="4099"/>
      <c r="AE6" s="4099"/>
      <c r="AF6" s="4099"/>
      <c r="AG6" s="4099"/>
      <c r="AH6" s="4099"/>
      <c r="AI6" s="4099"/>
      <c r="AJ6" s="4099"/>
      <c r="AK6" s="4099"/>
      <c r="AL6" s="4099"/>
      <c r="AM6" s="4099"/>
      <c r="AN6" s="4099"/>
      <c r="AO6" s="4099"/>
      <c r="AP6" s="4099"/>
      <c r="AQ6" s="4099"/>
      <c r="AR6" s="4099"/>
      <c r="AS6" s="4099"/>
      <c r="AT6" s="4099"/>
      <c r="AU6" s="4099"/>
      <c r="AV6" s="4099"/>
      <c r="AW6" s="4099"/>
      <c r="AX6" s="4099"/>
      <c r="AY6" s="4099"/>
      <c r="AZ6" s="4099"/>
      <c r="BA6" s="4099"/>
      <c r="BB6" s="4099"/>
      <c r="BC6" s="4099"/>
      <c r="BD6" s="384"/>
      <c r="BE6" s="384"/>
      <c r="BF6" s="506"/>
      <c r="BG6" s="506"/>
      <c r="BH6" s="384"/>
      <c r="BI6" s="384"/>
      <c r="BJ6" s="384"/>
      <c r="BK6" s="4098"/>
      <c r="BL6" s="4099"/>
      <c r="BM6" s="4099"/>
      <c r="BN6" s="4099"/>
      <c r="BO6" s="3451"/>
    </row>
    <row r="7" spans="1:276" ht="14.25" customHeight="1" x14ac:dyDescent="0.2">
      <c r="A7" s="4104" t="s">
        <v>9</v>
      </c>
      <c r="B7" s="4058" t="s">
        <v>10</v>
      </c>
      <c r="C7" s="4058" t="s">
        <v>9</v>
      </c>
      <c r="D7" s="4058" t="s">
        <v>11</v>
      </c>
      <c r="E7" s="4058" t="s">
        <v>9</v>
      </c>
      <c r="F7" s="4058" t="s">
        <v>12</v>
      </c>
      <c r="G7" s="4058" t="s">
        <v>9</v>
      </c>
      <c r="H7" s="4058" t="s">
        <v>13</v>
      </c>
      <c r="I7" s="4058" t="s">
        <v>14</v>
      </c>
      <c r="J7" s="4100" t="s">
        <v>15</v>
      </c>
      <c r="K7" s="4101"/>
      <c r="L7" s="4058" t="s">
        <v>16</v>
      </c>
      <c r="M7" s="4058" t="s">
        <v>17</v>
      </c>
      <c r="N7" s="4058" t="s">
        <v>8</v>
      </c>
      <c r="O7" s="4058" t="s">
        <v>18</v>
      </c>
      <c r="P7" s="4089" t="s">
        <v>19</v>
      </c>
      <c r="Q7" s="4055" t="s">
        <v>20</v>
      </c>
      <c r="R7" s="4055" t="s">
        <v>21</v>
      </c>
      <c r="S7" s="4058" t="s">
        <v>22</v>
      </c>
      <c r="T7" s="4092" t="s">
        <v>19</v>
      </c>
      <c r="U7" s="4093"/>
      <c r="V7" s="4094"/>
      <c r="W7" s="4058" t="s">
        <v>9</v>
      </c>
      <c r="X7" s="4058" t="s">
        <v>23</v>
      </c>
      <c r="Y7" s="4074" t="s">
        <v>24</v>
      </c>
      <c r="Z7" s="4075"/>
      <c r="AA7" s="4075"/>
      <c r="AB7" s="4076"/>
      <c r="AC7" s="4074" t="s">
        <v>25</v>
      </c>
      <c r="AD7" s="4075"/>
      <c r="AE7" s="4075"/>
      <c r="AF7" s="4075"/>
      <c r="AG7" s="4075"/>
      <c r="AH7" s="4075"/>
      <c r="AI7" s="4075"/>
      <c r="AJ7" s="4076"/>
      <c r="AK7" s="4074" t="s">
        <v>26</v>
      </c>
      <c r="AL7" s="4075"/>
      <c r="AM7" s="4075"/>
      <c r="AN7" s="4075"/>
      <c r="AO7" s="4075"/>
      <c r="AP7" s="4075"/>
      <c r="AQ7" s="4075"/>
      <c r="AR7" s="4075"/>
      <c r="AS7" s="4075"/>
      <c r="AT7" s="4075"/>
      <c r="AU7" s="4075"/>
      <c r="AV7" s="4076"/>
      <c r="AW7" s="4074" t="s">
        <v>27</v>
      </c>
      <c r="AX7" s="4075"/>
      <c r="AY7" s="4075"/>
      <c r="AZ7" s="4075"/>
      <c r="BA7" s="4075"/>
      <c r="BB7" s="4076"/>
      <c r="BC7" s="4080" t="s">
        <v>28</v>
      </c>
      <c r="BD7" s="4081"/>
      <c r="BE7" s="4086" t="s">
        <v>29</v>
      </c>
      <c r="BF7" s="4087"/>
      <c r="BG7" s="4087"/>
      <c r="BH7" s="4087"/>
      <c r="BI7" s="4087"/>
      <c r="BJ7" s="4088"/>
      <c r="BK7" s="4107" t="s">
        <v>30</v>
      </c>
      <c r="BL7" s="4108"/>
      <c r="BM7" s="4107" t="s">
        <v>31</v>
      </c>
      <c r="BN7" s="4108"/>
      <c r="BO7" s="4113" t="s">
        <v>32</v>
      </c>
    </row>
    <row r="8" spans="1:276" ht="21.75" customHeight="1" x14ac:dyDescent="0.2">
      <c r="A8" s="4105"/>
      <c r="B8" s="4059"/>
      <c r="C8" s="4059"/>
      <c r="D8" s="4059"/>
      <c r="E8" s="4059"/>
      <c r="F8" s="4059"/>
      <c r="G8" s="4059"/>
      <c r="H8" s="4059"/>
      <c r="I8" s="4059"/>
      <c r="J8" s="4102"/>
      <c r="K8" s="4103"/>
      <c r="L8" s="4059"/>
      <c r="M8" s="4059"/>
      <c r="N8" s="4059"/>
      <c r="O8" s="4059"/>
      <c r="P8" s="4090"/>
      <c r="Q8" s="4056"/>
      <c r="R8" s="4056"/>
      <c r="S8" s="4059"/>
      <c r="T8" s="4095"/>
      <c r="U8" s="4096"/>
      <c r="V8" s="4097"/>
      <c r="W8" s="4059"/>
      <c r="X8" s="4059"/>
      <c r="Y8" s="4077"/>
      <c r="Z8" s="4078"/>
      <c r="AA8" s="4078"/>
      <c r="AB8" s="4079"/>
      <c r="AC8" s="4077"/>
      <c r="AD8" s="4078"/>
      <c r="AE8" s="4078"/>
      <c r="AF8" s="4078"/>
      <c r="AG8" s="4078"/>
      <c r="AH8" s="4078"/>
      <c r="AI8" s="4078"/>
      <c r="AJ8" s="4079"/>
      <c r="AK8" s="4077"/>
      <c r="AL8" s="4078"/>
      <c r="AM8" s="4078"/>
      <c r="AN8" s="4078"/>
      <c r="AO8" s="4078"/>
      <c r="AP8" s="4078"/>
      <c r="AQ8" s="4078"/>
      <c r="AR8" s="4078"/>
      <c r="AS8" s="4078"/>
      <c r="AT8" s="4078"/>
      <c r="AU8" s="4078"/>
      <c r="AV8" s="4079"/>
      <c r="AW8" s="4077"/>
      <c r="AX8" s="4078"/>
      <c r="AY8" s="4078"/>
      <c r="AZ8" s="4078"/>
      <c r="BA8" s="4078"/>
      <c r="BB8" s="4079"/>
      <c r="BC8" s="4082"/>
      <c r="BD8" s="4083"/>
      <c r="BE8" s="3121" t="s">
        <v>48</v>
      </c>
      <c r="BF8" s="4116" t="s">
        <v>49</v>
      </c>
      <c r="BG8" s="4116" t="s">
        <v>50</v>
      </c>
      <c r="BH8" s="3565" t="s">
        <v>51</v>
      </c>
      <c r="BI8" s="3121" t="s">
        <v>52</v>
      </c>
      <c r="BJ8" s="4069" t="s">
        <v>53</v>
      </c>
      <c r="BK8" s="4109"/>
      <c r="BL8" s="4110"/>
      <c r="BM8" s="4109"/>
      <c r="BN8" s="4110"/>
      <c r="BO8" s="4114"/>
    </row>
    <row r="9" spans="1:276" ht="102.75" customHeight="1" x14ac:dyDescent="0.2">
      <c r="A9" s="4106"/>
      <c r="B9" s="4060"/>
      <c r="C9" s="4060"/>
      <c r="D9" s="4060"/>
      <c r="E9" s="4060"/>
      <c r="F9" s="4060"/>
      <c r="G9" s="4060"/>
      <c r="H9" s="4060"/>
      <c r="I9" s="4060"/>
      <c r="J9" s="381" t="s">
        <v>54</v>
      </c>
      <c r="K9" s="381" t="s">
        <v>55</v>
      </c>
      <c r="L9" s="4060"/>
      <c r="M9" s="4060"/>
      <c r="N9" s="4060"/>
      <c r="O9" s="4060"/>
      <c r="P9" s="4091"/>
      <c r="Q9" s="4057"/>
      <c r="R9" s="4057"/>
      <c r="S9" s="4060"/>
      <c r="T9" s="381" t="s">
        <v>56</v>
      </c>
      <c r="U9" s="507" t="s">
        <v>57</v>
      </c>
      <c r="V9" s="508" t="s">
        <v>58</v>
      </c>
      <c r="W9" s="4060"/>
      <c r="X9" s="4060"/>
      <c r="Y9" s="4070" t="s">
        <v>33</v>
      </c>
      <c r="Z9" s="4071"/>
      <c r="AA9" s="4072" t="s">
        <v>34</v>
      </c>
      <c r="AB9" s="4073"/>
      <c r="AC9" s="4070" t="s">
        <v>35</v>
      </c>
      <c r="AD9" s="4071"/>
      <c r="AE9" s="4070" t="s">
        <v>36</v>
      </c>
      <c r="AF9" s="4071"/>
      <c r="AG9" s="4070" t="s">
        <v>465</v>
      </c>
      <c r="AH9" s="4071"/>
      <c r="AI9" s="4070" t="s">
        <v>38</v>
      </c>
      <c r="AJ9" s="4071"/>
      <c r="AK9" s="4053" t="s">
        <v>39</v>
      </c>
      <c r="AL9" s="4054"/>
      <c r="AM9" s="4053" t="s">
        <v>40</v>
      </c>
      <c r="AN9" s="4054"/>
      <c r="AO9" s="4053" t="s">
        <v>41</v>
      </c>
      <c r="AP9" s="4054"/>
      <c r="AQ9" s="4053" t="s">
        <v>42</v>
      </c>
      <c r="AR9" s="4054"/>
      <c r="AS9" s="4053" t="s">
        <v>43</v>
      </c>
      <c r="AT9" s="4054"/>
      <c r="AU9" s="4053" t="s">
        <v>44</v>
      </c>
      <c r="AV9" s="4054"/>
      <c r="AW9" s="4053" t="s">
        <v>45</v>
      </c>
      <c r="AX9" s="4054"/>
      <c r="AY9" s="4053" t="s">
        <v>46</v>
      </c>
      <c r="AZ9" s="4054"/>
      <c r="BA9" s="4053" t="s">
        <v>47</v>
      </c>
      <c r="BB9" s="4054"/>
      <c r="BC9" s="4084"/>
      <c r="BD9" s="4085"/>
      <c r="BE9" s="3121"/>
      <c r="BF9" s="4116"/>
      <c r="BG9" s="4116"/>
      <c r="BH9" s="3565"/>
      <c r="BI9" s="3121"/>
      <c r="BJ9" s="2704"/>
      <c r="BK9" s="4111"/>
      <c r="BL9" s="4112"/>
      <c r="BM9" s="4111"/>
      <c r="BN9" s="4112"/>
      <c r="BO9" s="4115"/>
    </row>
    <row r="10" spans="1:276" ht="15" x14ac:dyDescent="0.2">
      <c r="A10" s="509">
        <v>3</v>
      </c>
      <c r="B10" s="510" t="s">
        <v>466</v>
      </c>
      <c r="C10" s="511"/>
      <c r="D10" s="511"/>
      <c r="E10" s="511"/>
      <c r="F10" s="511"/>
      <c r="G10" s="513"/>
      <c r="H10" s="512"/>
      <c r="I10" s="512"/>
      <c r="J10" s="511"/>
      <c r="K10" s="511"/>
      <c r="L10" s="513"/>
      <c r="M10" s="513"/>
      <c r="N10" s="512"/>
      <c r="O10" s="511"/>
      <c r="P10" s="511"/>
      <c r="Q10" s="512"/>
      <c r="R10" s="512"/>
      <c r="S10" s="512"/>
      <c r="T10" s="511"/>
      <c r="U10" s="511"/>
      <c r="V10" s="513"/>
      <c r="W10" s="513"/>
      <c r="X10" s="513"/>
      <c r="Y10" s="514" t="s">
        <v>54</v>
      </c>
      <c r="Z10" s="514" t="s">
        <v>55</v>
      </c>
      <c r="AA10" s="514" t="s">
        <v>54</v>
      </c>
      <c r="AB10" s="514" t="s">
        <v>55</v>
      </c>
      <c r="AC10" s="514" t="s">
        <v>54</v>
      </c>
      <c r="AD10" s="514" t="s">
        <v>55</v>
      </c>
      <c r="AE10" s="514" t="s">
        <v>54</v>
      </c>
      <c r="AF10" s="514" t="s">
        <v>55</v>
      </c>
      <c r="AG10" s="514" t="s">
        <v>54</v>
      </c>
      <c r="AH10" s="514" t="s">
        <v>55</v>
      </c>
      <c r="AI10" s="514" t="s">
        <v>54</v>
      </c>
      <c r="AJ10" s="514" t="s">
        <v>55</v>
      </c>
      <c r="AK10" s="514" t="s">
        <v>54</v>
      </c>
      <c r="AL10" s="514" t="s">
        <v>55</v>
      </c>
      <c r="AM10" s="514" t="s">
        <v>54</v>
      </c>
      <c r="AN10" s="514" t="s">
        <v>55</v>
      </c>
      <c r="AO10" s="514" t="s">
        <v>54</v>
      </c>
      <c r="AP10" s="514" t="s">
        <v>55</v>
      </c>
      <c r="AQ10" s="514" t="s">
        <v>54</v>
      </c>
      <c r="AR10" s="514" t="s">
        <v>55</v>
      </c>
      <c r="AS10" s="514" t="s">
        <v>54</v>
      </c>
      <c r="AT10" s="514" t="s">
        <v>55</v>
      </c>
      <c r="AU10" s="514" t="s">
        <v>54</v>
      </c>
      <c r="AV10" s="514" t="s">
        <v>55</v>
      </c>
      <c r="AW10" s="514" t="s">
        <v>54</v>
      </c>
      <c r="AX10" s="514" t="s">
        <v>55</v>
      </c>
      <c r="AY10" s="514" t="s">
        <v>54</v>
      </c>
      <c r="AZ10" s="514" t="s">
        <v>55</v>
      </c>
      <c r="BA10" s="514" t="s">
        <v>54</v>
      </c>
      <c r="BB10" s="514" t="s">
        <v>55</v>
      </c>
      <c r="BC10" s="514" t="s">
        <v>54</v>
      </c>
      <c r="BD10" s="514" t="s">
        <v>55</v>
      </c>
      <c r="BE10" s="515"/>
      <c r="BF10" s="516"/>
      <c r="BG10" s="516"/>
      <c r="BH10" s="515"/>
      <c r="BI10" s="515"/>
      <c r="BJ10" s="515"/>
      <c r="BK10" s="517" t="s">
        <v>54</v>
      </c>
      <c r="BL10" s="517" t="s">
        <v>55</v>
      </c>
      <c r="BM10" s="517" t="s">
        <v>54</v>
      </c>
      <c r="BN10" s="517" t="s">
        <v>55</v>
      </c>
      <c r="BO10" s="517"/>
    </row>
    <row r="11" spans="1:276" ht="15" x14ac:dyDescent="0.2">
      <c r="A11" s="518"/>
      <c r="B11" s="519"/>
      <c r="C11" s="520">
        <v>16</v>
      </c>
      <c r="D11" s="521" t="s">
        <v>467</v>
      </c>
      <c r="E11" s="522"/>
      <c r="F11" s="522"/>
      <c r="G11" s="524"/>
      <c r="H11" s="523"/>
      <c r="I11" s="523"/>
      <c r="J11" s="522"/>
      <c r="K11" s="522"/>
      <c r="L11" s="524"/>
      <c r="M11" s="524"/>
      <c r="N11" s="523"/>
      <c r="O11" s="522"/>
      <c r="P11" s="522"/>
      <c r="Q11" s="523"/>
      <c r="R11" s="523"/>
      <c r="S11" s="523"/>
      <c r="T11" s="522"/>
      <c r="U11" s="522"/>
      <c r="V11" s="524"/>
      <c r="W11" s="524"/>
      <c r="X11" s="524"/>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5"/>
      <c r="AY11" s="525"/>
      <c r="AZ11" s="525"/>
      <c r="BA11" s="525"/>
      <c r="BB11" s="525"/>
      <c r="BC11" s="525"/>
      <c r="BD11" s="525"/>
      <c r="BE11" s="522"/>
      <c r="BF11" s="526"/>
      <c r="BG11" s="526"/>
      <c r="BH11" s="522"/>
      <c r="BI11" s="522"/>
      <c r="BJ11" s="522"/>
      <c r="BK11" s="522"/>
      <c r="BL11" s="522"/>
      <c r="BM11" s="522"/>
      <c r="BN11" s="522"/>
      <c r="BO11" s="527"/>
    </row>
    <row r="12" spans="1:276" ht="15" x14ac:dyDescent="0.2">
      <c r="A12" s="518"/>
      <c r="B12" s="519"/>
      <c r="C12" s="528"/>
      <c r="D12" s="519"/>
      <c r="E12" s="529">
        <v>56</v>
      </c>
      <c r="F12" s="285" t="s">
        <v>468</v>
      </c>
      <c r="G12" s="531"/>
      <c r="H12" s="287"/>
      <c r="I12" s="287"/>
      <c r="J12" s="530"/>
      <c r="K12" s="530"/>
      <c r="L12" s="531"/>
      <c r="M12" s="531"/>
      <c r="N12" s="287"/>
      <c r="O12" s="530"/>
      <c r="P12" s="530"/>
      <c r="Q12" s="287"/>
      <c r="R12" s="287"/>
      <c r="S12" s="287"/>
      <c r="T12" s="530"/>
      <c r="U12" s="530"/>
      <c r="V12" s="531"/>
      <c r="W12" s="531"/>
      <c r="X12" s="531"/>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2"/>
      <c r="AW12" s="532"/>
      <c r="AX12" s="532"/>
      <c r="AY12" s="532"/>
      <c r="AZ12" s="532"/>
      <c r="BA12" s="532"/>
      <c r="BB12" s="532"/>
      <c r="BC12" s="532"/>
      <c r="BD12" s="532"/>
      <c r="BE12" s="530"/>
      <c r="BF12" s="533"/>
      <c r="BG12" s="533"/>
      <c r="BH12" s="530"/>
      <c r="BI12" s="530"/>
      <c r="BJ12" s="530"/>
      <c r="BK12" s="530"/>
      <c r="BL12" s="530"/>
      <c r="BM12" s="530"/>
      <c r="BN12" s="530"/>
      <c r="BO12" s="534"/>
    </row>
    <row r="13" spans="1:276" ht="48.75" customHeight="1" x14ac:dyDescent="0.2">
      <c r="A13" s="518"/>
      <c r="B13" s="519"/>
      <c r="C13" s="528"/>
      <c r="D13" s="519"/>
      <c r="E13" s="4064"/>
      <c r="F13" s="4065"/>
      <c r="G13" s="4356">
        <v>180</v>
      </c>
      <c r="H13" s="3871" t="s">
        <v>469</v>
      </c>
      <c r="I13" s="3962" t="s">
        <v>470</v>
      </c>
      <c r="J13" s="3962">
        <v>1</v>
      </c>
      <c r="K13" s="4068">
        <v>1</v>
      </c>
      <c r="L13" s="3914" t="s">
        <v>471</v>
      </c>
      <c r="M13" s="4034" t="s">
        <v>472</v>
      </c>
      <c r="N13" s="3872" t="s">
        <v>473</v>
      </c>
      <c r="O13" s="3874" t="e">
        <f>SUM(T13:T16)/P13</f>
        <v>#DIV/0!</v>
      </c>
      <c r="P13" s="3960"/>
      <c r="Q13" s="3871" t="s">
        <v>474</v>
      </c>
      <c r="R13" s="2496" t="s">
        <v>475</v>
      </c>
      <c r="S13" s="535" t="s">
        <v>476</v>
      </c>
      <c r="T13" s="536">
        <v>30500000</v>
      </c>
      <c r="U13" s="537">
        <v>0</v>
      </c>
      <c r="V13" s="537"/>
      <c r="W13" s="385">
        <v>20</v>
      </c>
      <c r="X13" s="385" t="s">
        <v>70</v>
      </c>
      <c r="Y13" s="4061">
        <v>2000</v>
      </c>
      <c r="Z13" s="4061">
        <v>8</v>
      </c>
      <c r="AA13" s="4061">
        <v>1900</v>
      </c>
      <c r="AB13" s="4061">
        <v>4</v>
      </c>
      <c r="AC13" s="3859">
        <v>2500</v>
      </c>
      <c r="AD13" s="3859"/>
      <c r="AE13" s="3859">
        <v>700</v>
      </c>
      <c r="AF13" s="3859"/>
      <c r="AG13" s="3859">
        <v>700</v>
      </c>
      <c r="AH13" s="3859"/>
      <c r="AI13" s="3859"/>
      <c r="AJ13" s="3859"/>
      <c r="AK13" s="3859"/>
      <c r="AL13" s="3859"/>
      <c r="AM13" s="3859"/>
      <c r="AN13" s="3859"/>
      <c r="AO13" s="3859"/>
      <c r="AP13" s="3859"/>
      <c r="AQ13" s="3859"/>
      <c r="AR13" s="3859"/>
      <c r="AS13" s="3859"/>
      <c r="AT13" s="3859"/>
      <c r="AU13" s="3859"/>
      <c r="AV13" s="3859"/>
      <c r="AW13" s="3859"/>
      <c r="AX13" s="3859"/>
      <c r="AY13" s="3859"/>
      <c r="AZ13" s="3859"/>
      <c r="BA13" s="3859"/>
      <c r="BB13" s="3859"/>
      <c r="BC13" s="3859">
        <f>SUM(AC13+AE13+AG13+AI13+AK13+AK13+AM13+AO13+AQ13+AS13+AU13+AW13+AY13+BA13)</f>
        <v>3900</v>
      </c>
      <c r="BD13" s="3859">
        <f>SUM(BB13+AZ13+AX13+AV13+AT13+AR13+AP13+AN13+AL13+AJ13+AH13+AF13+AD13)</f>
        <v>0</v>
      </c>
      <c r="BE13" s="3832">
        <v>2</v>
      </c>
      <c r="BF13" s="3924">
        <f>SUM(U13:U20)</f>
        <v>8533333</v>
      </c>
      <c r="BG13" s="3924">
        <f>SUM(V13:V20)</f>
        <v>4240000</v>
      </c>
      <c r="BH13" s="4050">
        <f>BG13/BF13</f>
        <v>0.49687501940918044</v>
      </c>
      <c r="BI13" s="3832">
        <v>20</v>
      </c>
      <c r="BJ13" s="2580" t="s">
        <v>477</v>
      </c>
      <c r="BK13" s="3854">
        <v>43832</v>
      </c>
      <c r="BL13" s="3854">
        <v>43832</v>
      </c>
      <c r="BM13" s="3854">
        <v>43982</v>
      </c>
      <c r="BN13" s="3854">
        <v>43982</v>
      </c>
      <c r="BO13" s="2496" t="s">
        <v>478</v>
      </c>
    </row>
    <row r="14" spans="1:276" ht="51.75" customHeight="1" x14ac:dyDescent="0.2">
      <c r="A14" s="518"/>
      <c r="B14" s="519"/>
      <c r="C14" s="528"/>
      <c r="D14" s="519"/>
      <c r="E14" s="3847"/>
      <c r="F14" s="3848"/>
      <c r="G14" s="4357"/>
      <c r="H14" s="3872"/>
      <c r="I14" s="3419"/>
      <c r="J14" s="3419"/>
      <c r="K14" s="4068"/>
      <c r="L14" s="3915"/>
      <c r="M14" s="4035"/>
      <c r="N14" s="3872"/>
      <c r="O14" s="3875"/>
      <c r="P14" s="3960"/>
      <c r="Q14" s="3872"/>
      <c r="R14" s="2497"/>
      <c r="S14" s="535" t="s">
        <v>479</v>
      </c>
      <c r="T14" s="536">
        <v>4500000</v>
      </c>
      <c r="U14" s="537">
        <v>0</v>
      </c>
      <c r="V14" s="537"/>
      <c r="W14" s="385">
        <v>20</v>
      </c>
      <c r="X14" s="385" t="s">
        <v>70</v>
      </c>
      <c r="Y14" s="4062"/>
      <c r="Z14" s="4062"/>
      <c r="AA14" s="4062"/>
      <c r="AB14" s="4062"/>
      <c r="AC14" s="3860"/>
      <c r="AD14" s="3860"/>
      <c r="AE14" s="3860"/>
      <c r="AF14" s="3860"/>
      <c r="AG14" s="3860"/>
      <c r="AH14" s="3860"/>
      <c r="AI14" s="3860"/>
      <c r="AJ14" s="3860"/>
      <c r="AK14" s="3860"/>
      <c r="AL14" s="3860"/>
      <c r="AM14" s="3860"/>
      <c r="AN14" s="3860"/>
      <c r="AO14" s="3860"/>
      <c r="AP14" s="3860"/>
      <c r="AQ14" s="3860"/>
      <c r="AR14" s="3860"/>
      <c r="AS14" s="3860"/>
      <c r="AT14" s="3860"/>
      <c r="AU14" s="3860"/>
      <c r="AV14" s="3860"/>
      <c r="AW14" s="3860"/>
      <c r="AX14" s="3860"/>
      <c r="AY14" s="3860"/>
      <c r="AZ14" s="3860"/>
      <c r="BA14" s="3860"/>
      <c r="BB14" s="3860"/>
      <c r="BC14" s="3860"/>
      <c r="BD14" s="3860"/>
      <c r="BE14" s="3831"/>
      <c r="BF14" s="3925"/>
      <c r="BG14" s="3925"/>
      <c r="BH14" s="4051"/>
      <c r="BI14" s="3831"/>
      <c r="BJ14" s="2581"/>
      <c r="BK14" s="3854"/>
      <c r="BL14" s="3854"/>
      <c r="BM14" s="3854"/>
      <c r="BN14" s="3854"/>
      <c r="BO14" s="2497"/>
    </row>
    <row r="15" spans="1:276" ht="63.75" customHeight="1" x14ac:dyDescent="0.2">
      <c r="A15" s="518"/>
      <c r="B15" s="519"/>
      <c r="C15" s="528"/>
      <c r="D15" s="519"/>
      <c r="E15" s="3847"/>
      <c r="F15" s="3848"/>
      <c r="G15" s="4357"/>
      <c r="H15" s="3872"/>
      <c r="I15" s="3419"/>
      <c r="J15" s="3419"/>
      <c r="K15" s="4068"/>
      <c r="L15" s="3915"/>
      <c r="M15" s="4035"/>
      <c r="N15" s="3872"/>
      <c r="O15" s="3875"/>
      <c r="P15" s="3960"/>
      <c r="Q15" s="3872"/>
      <c r="R15" s="2497"/>
      <c r="S15" s="395" t="s">
        <v>480</v>
      </c>
      <c r="T15" s="536">
        <v>6000000</v>
      </c>
      <c r="U15" s="537">
        <v>0</v>
      </c>
      <c r="V15" s="537"/>
      <c r="W15" s="385">
        <v>20</v>
      </c>
      <c r="X15" s="385" t="s">
        <v>70</v>
      </c>
      <c r="Y15" s="4062"/>
      <c r="Z15" s="4062"/>
      <c r="AA15" s="4062"/>
      <c r="AB15" s="4062"/>
      <c r="AC15" s="3860"/>
      <c r="AD15" s="3860"/>
      <c r="AE15" s="3860"/>
      <c r="AF15" s="3860"/>
      <c r="AG15" s="3860"/>
      <c r="AH15" s="3860"/>
      <c r="AI15" s="3860"/>
      <c r="AJ15" s="3860"/>
      <c r="AK15" s="3860"/>
      <c r="AL15" s="3860"/>
      <c r="AM15" s="3860"/>
      <c r="AN15" s="3860"/>
      <c r="AO15" s="3860"/>
      <c r="AP15" s="3860"/>
      <c r="AQ15" s="3860"/>
      <c r="AR15" s="3860"/>
      <c r="AS15" s="3860"/>
      <c r="AT15" s="3860"/>
      <c r="AU15" s="3860"/>
      <c r="AV15" s="3860"/>
      <c r="AW15" s="3860"/>
      <c r="AX15" s="3860"/>
      <c r="AY15" s="3860"/>
      <c r="AZ15" s="3860"/>
      <c r="BA15" s="3860"/>
      <c r="BB15" s="3860"/>
      <c r="BC15" s="3860"/>
      <c r="BD15" s="3860"/>
      <c r="BE15" s="3831"/>
      <c r="BF15" s="3925"/>
      <c r="BG15" s="3925"/>
      <c r="BH15" s="4051"/>
      <c r="BI15" s="3831"/>
      <c r="BJ15" s="2581"/>
      <c r="BK15" s="3854"/>
      <c r="BL15" s="3854"/>
      <c r="BM15" s="3854"/>
      <c r="BN15" s="3854"/>
      <c r="BO15" s="2497"/>
    </row>
    <row r="16" spans="1:276" ht="66" customHeight="1" x14ac:dyDescent="0.2">
      <c r="A16" s="518"/>
      <c r="B16" s="519"/>
      <c r="C16" s="528"/>
      <c r="D16" s="519"/>
      <c r="E16" s="3847"/>
      <c r="F16" s="3848"/>
      <c r="G16" s="4358"/>
      <c r="H16" s="3873"/>
      <c r="I16" s="3963"/>
      <c r="J16" s="3963"/>
      <c r="K16" s="4068"/>
      <c r="L16" s="3915"/>
      <c r="M16" s="4035"/>
      <c r="N16" s="3872"/>
      <c r="O16" s="3876"/>
      <c r="P16" s="3960"/>
      <c r="Q16" s="3872"/>
      <c r="R16" s="2498"/>
      <c r="S16" s="535" t="s">
        <v>481</v>
      </c>
      <c r="T16" s="536">
        <v>9000000</v>
      </c>
      <c r="U16" s="537">
        <v>0</v>
      </c>
      <c r="V16" s="537"/>
      <c r="W16" s="385">
        <v>20</v>
      </c>
      <c r="X16" s="385" t="s">
        <v>70</v>
      </c>
      <c r="Y16" s="4062"/>
      <c r="Z16" s="4062"/>
      <c r="AA16" s="4062"/>
      <c r="AB16" s="4062"/>
      <c r="AC16" s="3860"/>
      <c r="AD16" s="3860"/>
      <c r="AE16" s="3860"/>
      <c r="AF16" s="3860"/>
      <c r="AG16" s="3860"/>
      <c r="AH16" s="3860"/>
      <c r="AI16" s="3860"/>
      <c r="AJ16" s="3860"/>
      <c r="AK16" s="3860"/>
      <c r="AL16" s="3860"/>
      <c r="AM16" s="3860"/>
      <c r="AN16" s="3860"/>
      <c r="AO16" s="3860"/>
      <c r="AP16" s="3860"/>
      <c r="AQ16" s="3860"/>
      <c r="AR16" s="3860"/>
      <c r="AS16" s="3860"/>
      <c r="AT16" s="3860"/>
      <c r="AU16" s="3860"/>
      <c r="AV16" s="3860"/>
      <c r="AW16" s="3860"/>
      <c r="AX16" s="3860"/>
      <c r="AY16" s="3860"/>
      <c r="AZ16" s="3860"/>
      <c r="BA16" s="3860"/>
      <c r="BB16" s="3860"/>
      <c r="BC16" s="3860"/>
      <c r="BD16" s="3860"/>
      <c r="BE16" s="3831"/>
      <c r="BF16" s="3925"/>
      <c r="BG16" s="3925"/>
      <c r="BH16" s="4051"/>
      <c r="BI16" s="3831"/>
      <c r="BJ16" s="2581"/>
      <c r="BK16" s="3854"/>
      <c r="BL16" s="3854"/>
      <c r="BM16" s="3854"/>
      <c r="BN16" s="3854"/>
      <c r="BO16" s="2497"/>
    </row>
    <row r="17" spans="1:67" ht="66" customHeight="1" x14ac:dyDescent="0.2">
      <c r="A17" s="518"/>
      <c r="B17" s="519"/>
      <c r="C17" s="528"/>
      <c r="D17" s="519"/>
      <c r="E17" s="3847"/>
      <c r="F17" s="3848"/>
      <c r="G17" s="4356">
        <v>181</v>
      </c>
      <c r="H17" s="3871" t="s">
        <v>482</v>
      </c>
      <c r="I17" s="3962" t="s">
        <v>483</v>
      </c>
      <c r="J17" s="3962">
        <v>6</v>
      </c>
      <c r="K17" s="3888">
        <v>6</v>
      </c>
      <c r="L17" s="3915"/>
      <c r="M17" s="4035"/>
      <c r="N17" s="3872"/>
      <c r="O17" s="3874" t="e">
        <f>SUM(T17:T20)/P13</f>
        <v>#DIV/0!</v>
      </c>
      <c r="P17" s="3960"/>
      <c r="Q17" s="3872"/>
      <c r="R17" s="2496" t="s">
        <v>484</v>
      </c>
      <c r="S17" s="535" t="s">
        <v>485</v>
      </c>
      <c r="T17" s="538">
        <v>9000000</v>
      </c>
      <c r="U17" s="537">
        <v>2844445</v>
      </c>
      <c r="V17" s="537">
        <v>1413334</v>
      </c>
      <c r="W17" s="385">
        <v>20</v>
      </c>
      <c r="X17" s="385" t="s">
        <v>70</v>
      </c>
      <c r="Y17" s="4062"/>
      <c r="Z17" s="4062"/>
      <c r="AA17" s="4062"/>
      <c r="AB17" s="4062"/>
      <c r="AC17" s="3860"/>
      <c r="AD17" s="3860"/>
      <c r="AE17" s="3860"/>
      <c r="AF17" s="3860"/>
      <c r="AG17" s="3860"/>
      <c r="AH17" s="3860"/>
      <c r="AI17" s="3860"/>
      <c r="AJ17" s="3860"/>
      <c r="AK17" s="3860"/>
      <c r="AL17" s="3860"/>
      <c r="AM17" s="3860"/>
      <c r="AN17" s="3860"/>
      <c r="AO17" s="3860"/>
      <c r="AP17" s="3860"/>
      <c r="AQ17" s="3860"/>
      <c r="AR17" s="3860"/>
      <c r="AS17" s="3860"/>
      <c r="AT17" s="3860"/>
      <c r="AU17" s="3860"/>
      <c r="AV17" s="3860"/>
      <c r="AW17" s="3860"/>
      <c r="AX17" s="3860"/>
      <c r="AY17" s="3860"/>
      <c r="AZ17" s="3860"/>
      <c r="BA17" s="3860"/>
      <c r="BB17" s="3860"/>
      <c r="BC17" s="3860"/>
      <c r="BD17" s="3860"/>
      <c r="BE17" s="3831"/>
      <c r="BF17" s="3925"/>
      <c r="BG17" s="3925"/>
      <c r="BH17" s="4051"/>
      <c r="BI17" s="3831"/>
      <c r="BJ17" s="2581"/>
      <c r="BK17" s="3854"/>
      <c r="BL17" s="3854"/>
      <c r="BM17" s="3854"/>
      <c r="BN17" s="3854"/>
      <c r="BO17" s="2497"/>
    </row>
    <row r="18" spans="1:67" ht="72" customHeight="1" x14ac:dyDescent="0.2">
      <c r="A18" s="518"/>
      <c r="B18" s="519"/>
      <c r="C18" s="528"/>
      <c r="D18" s="519"/>
      <c r="E18" s="3847"/>
      <c r="F18" s="3848"/>
      <c r="G18" s="4357"/>
      <c r="H18" s="3872"/>
      <c r="I18" s="3419"/>
      <c r="J18" s="3419"/>
      <c r="K18" s="3889"/>
      <c r="L18" s="3915"/>
      <c r="M18" s="4035"/>
      <c r="N18" s="3872"/>
      <c r="O18" s="3875"/>
      <c r="P18" s="3960"/>
      <c r="Q18" s="3872"/>
      <c r="R18" s="2497"/>
      <c r="S18" s="535" t="s">
        <v>486</v>
      </c>
      <c r="T18" s="539">
        <v>8000000</v>
      </c>
      <c r="U18" s="537"/>
      <c r="V18" s="537"/>
      <c r="W18" s="385">
        <v>20</v>
      </c>
      <c r="X18" s="385" t="s">
        <v>70</v>
      </c>
      <c r="Y18" s="4062"/>
      <c r="Z18" s="4062"/>
      <c r="AA18" s="4062"/>
      <c r="AB18" s="4062"/>
      <c r="AC18" s="3860"/>
      <c r="AD18" s="3860"/>
      <c r="AE18" s="3860"/>
      <c r="AF18" s="3860"/>
      <c r="AG18" s="3860"/>
      <c r="AH18" s="3860"/>
      <c r="AI18" s="3860"/>
      <c r="AJ18" s="3860"/>
      <c r="AK18" s="3860"/>
      <c r="AL18" s="3860"/>
      <c r="AM18" s="3860"/>
      <c r="AN18" s="3860"/>
      <c r="AO18" s="3860"/>
      <c r="AP18" s="3860"/>
      <c r="AQ18" s="3860"/>
      <c r="AR18" s="3860"/>
      <c r="AS18" s="3860"/>
      <c r="AT18" s="3860"/>
      <c r="AU18" s="3860"/>
      <c r="AV18" s="3860"/>
      <c r="AW18" s="3860"/>
      <c r="AX18" s="3860"/>
      <c r="AY18" s="3860"/>
      <c r="AZ18" s="3860"/>
      <c r="BA18" s="3860"/>
      <c r="BB18" s="3860"/>
      <c r="BC18" s="3860"/>
      <c r="BD18" s="3860"/>
      <c r="BE18" s="3831"/>
      <c r="BF18" s="3925"/>
      <c r="BG18" s="3925"/>
      <c r="BH18" s="4051"/>
      <c r="BI18" s="3831"/>
      <c r="BJ18" s="2581"/>
      <c r="BK18" s="3854"/>
      <c r="BL18" s="3854"/>
      <c r="BM18" s="3854"/>
      <c r="BN18" s="3854"/>
      <c r="BO18" s="2497"/>
    </row>
    <row r="19" spans="1:67" ht="66" customHeight="1" x14ac:dyDescent="0.2">
      <c r="A19" s="518"/>
      <c r="B19" s="519"/>
      <c r="C19" s="528"/>
      <c r="D19" s="519"/>
      <c r="E19" s="3847"/>
      <c r="F19" s="3848"/>
      <c r="G19" s="4357"/>
      <c r="H19" s="3872"/>
      <c r="I19" s="3419"/>
      <c r="J19" s="3419"/>
      <c r="K19" s="3889"/>
      <c r="L19" s="3915"/>
      <c r="M19" s="4035"/>
      <c r="N19" s="3872"/>
      <c r="O19" s="3875"/>
      <c r="P19" s="3960"/>
      <c r="Q19" s="3872"/>
      <c r="R19" s="2497"/>
      <c r="S19" s="535" t="s">
        <v>487</v>
      </c>
      <c r="T19" s="539">
        <v>7500000</v>
      </c>
      <c r="U19" s="537">
        <v>2844444</v>
      </c>
      <c r="V19" s="537">
        <v>1413333</v>
      </c>
      <c r="W19" s="385">
        <v>20</v>
      </c>
      <c r="X19" s="385" t="s">
        <v>70</v>
      </c>
      <c r="Y19" s="4062"/>
      <c r="Z19" s="4062"/>
      <c r="AA19" s="4062"/>
      <c r="AB19" s="4062"/>
      <c r="AC19" s="3860"/>
      <c r="AD19" s="3860"/>
      <c r="AE19" s="3860"/>
      <c r="AF19" s="3860"/>
      <c r="AG19" s="3860"/>
      <c r="AH19" s="3860"/>
      <c r="AI19" s="3860"/>
      <c r="AJ19" s="3860"/>
      <c r="AK19" s="3860"/>
      <c r="AL19" s="3860"/>
      <c r="AM19" s="3860"/>
      <c r="AN19" s="3860"/>
      <c r="AO19" s="3860"/>
      <c r="AP19" s="3860"/>
      <c r="AQ19" s="3860"/>
      <c r="AR19" s="3860"/>
      <c r="AS19" s="3860"/>
      <c r="AT19" s="3860"/>
      <c r="AU19" s="3860"/>
      <c r="AV19" s="3860"/>
      <c r="AW19" s="3860"/>
      <c r="AX19" s="3860"/>
      <c r="AY19" s="3860"/>
      <c r="AZ19" s="3860"/>
      <c r="BA19" s="3860"/>
      <c r="BB19" s="3860"/>
      <c r="BC19" s="3860"/>
      <c r="BD19" s="3860"/>
      <c r="BE19" s="3831"/>
      <c r="BF19" s="3925"/>
      <c r="BG19" s="3925"/>
      <c r="BH19" s="4051"/>
      <c r="BI19" s="3831"/>
      <c r="BJ19" s="2581"/>
      <c r="BK19" s="3854"/>
      <c r="BL19" s="3854"/>
      <c r="BM19" s="3854"/>
      <c r="BN19" s="3854"/>
      <c r="BO19" s="2497"/>
    </row>
    <row r="20" spans="1:67" ht="57.75" customHeight="1" x14ac:dyDescent="0.2">
      <c r="A20" s="518"/>
      <c r="B20" s="519"/>
      <c r="C20" s="540"/>
      <c r="D20" s="541"/>
      <c r="E20" s="4066"/>
      <c r="F20" s="4067"/>
      <c r="G20" s="4358"/>
      <c r="H20" s="3873"/>
      <c r="I20" s="3963"/>
      <c r="J20" s="3963"/>
      <c r="K20" s="3890"/>
      <c r="L20" s="3916"/>
      <c r="M20" s="4036"/>
      <c r="N20" s="3873"/>
      <c r="O20" s="3876"/>
      <c r="P20" s="3877"/>
      <c r="Q20" s="3873"/>
      <c r="R20" s="2498"/>
      <c r="S20" s="542" t="s">
        <v>488</v>
      </c>
      <c r="T20" s="536">
        <v>5500000</v>
      </c>
      <c r="U20" s="537">
        <v>2844444</v>
      </c>
      <c r="V20" s="537">
        <v>1413333</v>
      </c>
      <c r="W20" s="385">
        <v>20</v>
      </c>
      <c r="X20" s="385" t="s">
        <v>70</v>
      </c>
      <c r="Y20" s="4063"/>
      <c r="Z20" s="4063"/>
      <c r="AA20" s="4063"/>
      <c r="AB20" s="4063"/>
      <c r="AC20" s="3861"/>
      <c r="AD20" s="3861"/>
      <c r="AE20" s="3861"/>
      <c r="AF20" s="3861"/>
      <c r="AG20" s="3861"/>
      <c r="AH20" s="3861"/>
      <c r="AI20" s="3861"/>
      <c r="AJ20" s="3861"/>
      <c r="AK20" s="3861"/>
      <c r="AL20" s="3861"/>
      <c r="AM20" s="3861"/>
      <c r="AN20" s="3861"/>
      <c r="AO20" s="3861"/>
      <c r="AP20" s="3861"/>
      <c r="AQ20" s="3861"/>
      <c r="AR20" s="3861"/>
      <c r="AS20" s="3861"/>
      <c r="AT20" s="3861"/>
      <c r="AU20" s="3861"/>
      <c r="AV20" s="3861"/>
      <c r="AW20" s="3861"/>
      <c r="AX20" s="3861"/>
      <c r="AY20" s="3861"/>
      <c r="AZ20" s="3861"/>
      <c r="BA20" s="3861"/>
      <c r="BB20" s="3861"/>
      <c r="BC20" s="3861"/>
      <c r="BD20" s="3861"/>
      <c r="BE20" s="3858"/>
      <c r="BF20" s="3926"/>
      <c r="BG20" s="3926"/>
      <c r="BH20" s="4052"/>
      <c r="BI20" s="3858"/>
      <c r="BJ20" s="2582"/>
      <c r="BK20" s="3829"/>
      <c r="BL20" s="3829"/>
      <c r="BM20" s="3829"/>
      <c r="BN20" s="3829"/>
      <c r="BO20" s="2498"/>
    </row>
    <row r="21" spans="1:67" ht="15" x14ac:dyDescent="0.2">
      <c r="A21" s="518"/>
      <c r="B21" s="519"/>
      <c r="C21" s="520">
        <v>17</v>
      </c>
      <c r="D21" s="543" t="s">
        <v>489</v>
      </c>
      <c r="E21" s="378"/>
      <c r="F21" s="378"/>
      <c r="G21" s="230"/>
      <c r="H21" s="40"/>
      <c r="I21" s="40"/>
      <c r="J21" s="544"/>
      <c r="K21" s="545"/>
      <c r="L21" s="546"/>
      <c r="M21" s="546"/>
      <c r="N21" s="544"/>
      <c r="O21" s="544"/>
      <c r="P21" s="544"/>
      <c r="Q21" s="40"/>
      <c r="R21" s="40"/>
      <c r="S21" s="40"/>
      <c r="T21" s="547"/>
      <c r="U21" s="547"/>
      <c r="V21" s="548"/>
      <c r="W21" s="230"/>
      <c r="X21" s="230"/>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4"/>
      <c r="AY21" s="544"/>
      <c r="AZ21" s="544"/>
      <c r="BA21" s="544"/>
      <c r="BB21" s="544"/>
      <c r="BC21" s="544"/>
      <c r="BD21" s="544"/>
      <c r="BE21" s="378"/>
      <c r="BF21" s="547"/>
      <c r="BG21" s="547"/>
      <c r="BH21" s="378"/>
      <c r="BI21" s="378"/>
      <c r="BJ21" s="378"/>
      <c r="BK21" s="378"/>
      <c r="BL21" s="378"/>
      <c r="BM21" s="378"/>
      <c r="BN21" s="378"/>
      <c r="BO21" s="549"/>
    </row>
    <row r="22" spans="1:67" ht="15" x14ac:dyDescent="0.2">
      <c r="A22" s="518"/>
      <c r="B22" s="519"/>
      <c r="C22" s="550"/>
      <c r="D22" s="551"/>
      <c r="E22" s="529">
        <v>58</v>
      </c>
      <c r="F22" s="285" t="s">
        <v>490</v>
      </c>
      <c r="G22" s="531"/>
      <c r="H22" s="552"/>
      <c r="I22" s="552"/>
      <c r="J22" s="287"/>
      <c r="K22" s="553"/>
      <c r="L22" s="554"/>
      <c r="M22" s="554"/>
      <c r="N22" s="287"/>
      <c r="O22" s="287"/>
      <c r="P22" s="287"/>
      <c r="Q22" s="552"/>
      <c r="R22" s="552"/>
      <c r="S22" s="555"/>
      <c r="T22" s="556"/>
      <c r="U22" s="556"/>
      <c r="V22" s="557"/>
      <c r="W22" s="558"/>
      <c r="X22" s="558"/>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59"/>
      <c r="AZ22" s="559"/>
      <c r="BA22" s="559"/>
      <c r="BB22" s="559"/>
      <c r="BC22" s="559"/>
      <c r="BD22" s="560"/>
      <c r="BE22" s="561"/>
      <c r="BF22" s="556"/>
      <c r="BG22" s="556"/>
      <c r="BH22" s="561"/>
      <c r="BI22" s="561"/>
      <c r="BJ22" s="561"/>
      <c r="BK22" s="561"/>
      <c r="BL22" s="561"/>
      <c r="BM22" s="561"/>
      <c r="BN22" s="561"/>
      <c r="BO22" s="562"/>
    </row>
    <row r="23" spans="1:67" ht="51.75" customHeight="1" x14ac:dyDescent="0.2">
      <c r="A23" s="518"/>
      <c r="B23" s="519"/>
      <c r="C23" s="550"/>
      <c r="D23" s="551"/>
      <c r="E23" s="563"/>
      <c r="F23" s="564"/>
      <c r="G23" s="4575">
        <v>183</v>
      </c>
      <c r="H23" s="3842" t="s">
        <v>491</v>
      </c>
      <c r="I23" s="3842" t="s">
        <v>492</v>
      </c>
      <c r="J23" s="4045">
        <v>1</v>
      </c>
      <c r="K23" s="4047">
        <v>1</v>
      </c>
      <c r="L23" s="3914" t="s">
        <v>493</v>
      </c>
      <c r="M23" s="4035" t="s">
        <v>494</v>
      </c>
      <c r="N23" s="3872" t="s">
        <v>495</v>
      </c>
      <c r="O23" s="3875">
        <f>SUM(T23:T29)/P23</f>
        <v>1</v>
      </c>
      <c r="P23" s="3960">
        <f>SUM(T23:T29)</f>
        <v>240000000</v>
      </c>
      <c r="Q23" s="3872" t="s">
        <v>496</v>
      </c>
      <c r="R23" s="4044" t="s">
        <v>497</v>
      </c>
      <c r="S23" s="565" t="s">
        <v>498</v>
      </c>
      <c r="T23" s="566">
        <v>40000000</v>
      </c>
      <c r="U23" s="371">
        <v>5979234</v>
      </c>
      <c r="V23" s="371">
        <v>3480534</v>
      </c>
      <c r="W23" s="385">
        <v>20</v>
      </c>
      <c r="X23" s="385" t="s">
        <v>70</v>
      </c>
      <c r="Y23" s="4041">
        <v>3900</v>
      </c>
      <c r="Z23" s="4041">
        <v>30</v>
      </c>
      <c r="AA23" s="4041">
        <v>3600</v>
      </c>
      <c r="AB23" s="4041">
        <v>24</v>
      </c>
      <c r="AC23" s="4041">
        <v>200</v>
      </c>
      <c r="AD23" s="4041"/>
      <c r="AE23" s="4041">
        <v>4000</v>
      </c>
      <c r="AF23" s="4041"/>
      <c r="AG23" s="4041">
        <v>1000</v>
      </c>
      <c r="AH23" s="4041"/>
      <c r="AI23" s="4041">
        <v>500</v>
      </c>
      <c r="AJ23" s="4041"/>
      <c r="AK23" s="4041"/>
      <c r="AL23" s="4041"/>
      <c r="AM23" s="4041"/>
      <c r="AN23" s="4041"/>
      <c r="AO23" s="4041"/>
      <c r="AP23" s="4041"/>
      <c r="AQ23" s="4041"/>
      <c r="AR23" s="4041"/>
      <c r="AS23" s="4041"/>
      <c r="AT23" s="4041"/>
      <c r="AU23" s="4041"/>
      <c r="AV23" s="4041"/>
      <c r="AW23" s="4041"/>
      <c r="AX23" s="4041"/>
      <c r="AY23" s="4041"/>
      <c r="AZ23" s="4041"/>
      <c r="BA23" s="4041"/>
      <c r="BB23" s="4041"/>
      <c r="BC23" s="4041">
        <f>SUM(Y23+AA23+AC23+AE23+AG23+AI23+AK23+AM23+AO23+AQ23+AS23+AU23+AW23+AY23+BA23)</f>
        <v>13200</v>
      </c>
      <c r="BD23" s="4041">
        <f>SUM(BB23+AZ23+AX23+AV23+AT23+AR23+AP23+AN23+AL23+AJ23+AH23+AF23+AD23+AB2)</f>
        <v>0</v>
      </c>
      <c r="BE23" s="4042">
        <v>6</v>
      </c>
      <c r="BF23" s="3835">
        <f>SUM(U23:U29)</f>
        <v>29896166</v>
      </c>
      <c r="BG23" s="3835">
        <f>SUM(V23:V29)</f>
        <v>17402666</v>
      </c>
      <c r="BH23" s="4043">
        <f>BG23/BF23</f>
        <v>0.58210360485689039</v>
      </c>
      <c r="BI23" s="4040">
        <v>20</v>
      </c>
      <c r="BJ23" s="4026" t="s">
        <v>477</v>
      </c>
      <c r="BK23" s="3821">
        <v>43832</v>
      </c>
      <c r="BL23" s="3821">
        <v>43832</v>
      </c>
      <c r="BM23" s="3821">
        <v>43982</v>
      </c>
      <c r="BN23" s="3821">
        <v>43982</v>
      </c>
      <c r="BO23" s="2448" t="s">
        <v>478</v>
      </c>
    </row>
    <row r="24" spans="1:67" ht="86.25" customHeight="1" x14ac:dyDescent="0.2">
      <c r="A24" s="518"/>
      <c r="B24" s="519"/>
      <c r="C24" s="550"/>
      <c r="D24" s="551"/>
      <c r="E24" s="550"/>
      <c r="F24" s="551"/>
      <c r="G24" s="4575"/>
      <c r="H24" s="3842"/>
      <c r="I24" s="3842"/>
      <c r="J24" s="4045"/>
      <c r="K24" s="4048"/>
      <c r="L24" s="3915"/>
      <c r="M24" s="4035"/>
      <c r="N24" s="3872"/>
      <c r="O24" s="3875"/>
      <c r="P24" s="3960"/>
      <c r="Q24" s="3872"/>
      <c r="R24" s="2514"/>
      <c r="S24" s="565" t="s">
        <v>499</v>
      </c>
      <c r="T24" s="566">
        <v>75000000</v>
      </c>
      <c r="U24" s="371">
        <v>5979233</v>
      </c>
      <c r="V24" s="371">
        <v>3480533</v>
      </c>
      <c r="W24" s="385">
        <v>20</v>
      </c>
      <c r="X24" s="385" t="s">
        <v>70</v>
      </c>
      <c r="Y24" s="4041"/>
      <c r="Z24" s="4041"/>
      <c r="AA24" s="4041"/>
      <c r="AB24" s="4041"/>
      <c r="AC24" s="4041"/>
      <c r="AD24" s="4041"/>
      <c r="AE24" s="4041"/>
      <c r="AF24" s="4041"/>
      <c r="AG24" s="4041"/>
      <c r="AH24" s="4041"/>
      <c r="AI24" s="4041"/>
      <c r="AJ24" s="4041"/>
      <c r="AK24" s="4041"/>
      <c r="AL24" s="4041"/>
      <c r="AM24" s="4041"/>
      <c r="AN24" s="4041"/>
      <c r="AO24" s="4041"/>
      <c r="AP24" s="4041"/>
      <c r="AQ24" s="4041"/>
      <c r="AR24" s="4041"/>
      <c r="AS24" s="4041"/>
      <c r="AT24" s="4041"/>
      <c r="AU24" s="4041"/>
      <c r="AV24" s="4041"/>
      <c r="AW24" s="4041"/>
      <c r="AX24" s="4041"/>
      <c r="AY24" s="4041"/>
      <c r="AZ24" s="4041"/>
      <c r="BA24" s="4041"/>
      <c r="BB24" s="4041"/>
      <c r="BC24" s="4041"/>
      <c r="BD24" s="4041"/>
      <c r="BE24" s="4042"/>
      <c r="BF24" s="3835"/>
      <c r="BG24" s="3835"/>
      <c r="BH24" s="4043"/>
      <c r="BI24" s="4040"/>
      <c r="BJ24" s="4026"/>
      <c r="BK24" s="3822"/>
      <c r="BL24" s="3822"/>
      <c r="BM24" s="3822"/>
      <c r="BN24" s="3822"/>
      <c r="BO24" s="2448"/>
    </row>
    <row r="25" spans="1:67" ht="55.5" customHeight="1" x14ac:dyDescent="0.2">
      <c r="A25" s="518"/>
      <c r="B25" s="519"/>
      <c r="C25" s="550"/>
      <c r="D25" s="551"/>
      <c r="E25" s="550"/>
      <c r="F25" s="551"/>
      <c r="G25" s="4575"/>
      <c r="H25" s="3842"/>
      <c r="I25" s="3842"/>
      <c r="J25" s="4045"/>
      <c r="K25" s="4048"/>
      <c r="L25" s="3915"/>
      <c r="M25" s="4035"/>
      <c r="N25" s="3872"/>
      <c r="O25" s="3875"/>
      <c r="P25" s="3960"/>
      <c r="Q25" s="3872"/>
      <c r="R25" s="2514"/>
      <c r="S25" s="565" t="s">
        <v>500</v>
      </c>
      <c r="T25" s="566">
        <v>36000000</v>
      </c>
      <c r="U25" s="371">
        <v>5979233</v>
      </c>
      <c r="V25" s="371">
        <v>3897144</v>
      </c>
      <c r="W25" s="385">
        <v>20</v>
      </c>
      <c r="X25" s="385" t="s">
        <v>70</v>
      </c>
      <c r="Y25" s="4041"/>
      <c r="Z25" s="4041"/>
      <c r="AA25" s="4041"/>
      <c r="AB25" s="4041"/>
      <c r="AC25" s="4041"/>
      <c r="AD25" s="4041"/>
      <c r="AE25" s="4041"/>
      <c r="AF25" s="4041"/>
      <c r="AG25" s="4041"/>
      <c r="AH25" s="4041"/>
      <c r="AI25" s="4041"/>
      <c r="AJ25" s="4041"/>
      <c r="AK25" s="4041"/>
      <c r="AL25" s="4041"/>
      <c r="AM25" s="4041"/>
      <c r="AN25" s="4041"/>
      <c r="AO25" s="4041"/>
      <c r="AP25" s="4041"/>
      <c r="AQ25" s="4041"/>
      <c r="AR25" s="4041"/>
      <c r="AS25" s="4041"/>
      <c r="AT25" s="4041"/>
      <c r="AU25" s="4041"/>
      <c r="AV25" s="4041"/>
      <c r="AW25" s="4041"/>
      <c r="AX25" s="4041"/>
      <c r="AY25" s="4041"/>
      <c r="AZ25" s="4041"/>
      <c r="BA25" s="4041"/>
      <c r="BB25" s="4041"/>
      <c r="BC25" s="4041"/>
      <c r="BD25" s="4041"/>
      <c r="BE25" s="4042"/>
      <c r="BF25" s="3835"/>
      <c r="BG25" s="3835"/>
      <c r="BH25" s="4043"/>
      <c r="BI25" s="4040"/>
      <c r="BJ25" s="4026"/>
      <c r="BK25" s="3822"/>
      <c r="BL25" s="3822"/>
      <c r="BM25" s="3822"/>
      <c r="BN25" s="3822"/>
      <c r="BO25" s="2448"/>
    </row>
    <row r="26" spans="1:67" ht="51.75" customHeight="1" x14ac:dyDescent="0.2">
      <c r="A26" s="518"/>
      <c r="B26" s="519"/>
      <c r="C26" s="550"/>
      <c r="D26" s="551"/>
      <c r="E26" s="550"/>
      <c r="F26" s="551"/>
      <c r="G26" s="4575"/>
      <c r="H26" s="3842"/>
      <c r="I26" s="3842"/>
      <c r="J26" s="4045"/>
      <c r="K26" s="4048"/>
      <c r="L26" s="3915"/>
      <c r="M26" s="4035"/>
      <c r="N26" s="3872"/>
      <c r="O26" s="3875"/>
      <c r="P26" s="3960"/>
      <c r="Q26" s="3872"/>
      <c r="R26" s="2514"/>
      <c r="S26" s="565" t="s">
        <v>501</v>
      </c>
      <c r="T26" s="566">
        <v>35000000</v>
      </c>
      <c r="U26" s="371">
        <v>5979233</v>
      </c>
      <c r="V26" s="371">
        <v>2750000</v>
      </c>
      <c r="W26" s="385">
        <v>20</v>
      </c>
      <c r="X26" s="385" t="s">
        <v>70</v>
      </c>
      <c r="Y26" s="4041"/>
      <c r="Z26" s="4041"/>
      <c r="AA26" s="4041"/>
      <c r="AB26" s="4041"/>
      <c r="AC26" s="4041"/>
      <c r="AD26" s="4041"/>
      <c r="AE26" s="4041"/>
      <c r="AF26" s="4041"/>
      <c r="AG26" s="4041"/>
      <c r="AH26" s="4041"/>
      <c r="AI26" s="4041"/>
      <c r="AJ26" s="4041"/>
      <c r="AK26" s="4041"/>
      <c r="AL26" s="4041"/>
      <c r="AM26" s="4041"/>
      <c r="AN26" s="4041"/>
      <c r="AO26" s="4041"/>
      <c r="AP26" s="4041"/>
      <c r="AQ26" s="4041"/>
      <c r="AR26" s="4041"/>
      <c r="AS26" s="4041"/>
      <c r="AT26" s="4041"/>
      <c r="AU26" s="4041"/>
      <c r="AV26" s="4041"/>
      <c r="AW26" s="4041"/>
      <c r="AX26" s="4041"/>
      <c r="AY26" s="4041"/>
      <c r="AZ26" s="4041"/>
      <c r="BA26" s="4041"/>
      <c r="BB26" s="4041"/>
      <c r="BC26" s="4041"/>
      <c r="BD26" s="4041"/>
      <c r="BE26" s="4042"/>
      <c r="BF26" s="3835"/>
      <c r="BG26" s="3835"/>
      <c r="BH26" s="4043"/>
      <c r="BI26" s="4040"/>
      <c r="BJ26" s="4026"/>
      <c r="BK26" s="3822"/>
      <c r="BL26" s="3822"/>
      <c r="BM26" s="3822"/>
      <c r="BN26" s="3822"/>
      <c r="BO26" s="2448"/>
    </row>
    <row r="27" spans="1:67" ht="45.75" customHeight="1" x14ac:dyDescent="0.2">
      <c r="A27" s="518"/>
      <c r="B27" s="519"/>
      <c r="C27" s="550"/>
      <c r="D27" s="551"/>
      <c r="E27" s="550"/>
      <c r="F27" s="551"/>
      <c r="G27" s="4575"/>
      <c r="H27" s="3842"/>
      <c r="I27" s="3842"/>
      <c r="J27" s="4045"/>
      <c r="K27" s="4048"/>
      <c r="L27" s="3915"/>
      <c r="M27" s="4035"/>
      <c r="N27" s="3872"/>
      <c r="O27" s="3875"/>
      <c r="P27" s="3960"/>
      <c r="Q27" s="3872"/>
      <c r="R27" s="2514"/>
      <c r="S27" s="565" t="s">
        <v>502</v>
      </c>
      <c r="T27" s="566">
        <v>40000000</v>
      </c>
      <c r="U27" s="371">
        <v>5979233</v>
      </c>
      <c r="V27" s="371">
        <v>3794455</v>
      </c>
      <c r="W27" s="385">
        <v>20</v>
      </c>
      <c r="X27" s="385" t="s">
        <v>70</v>
      </c>
      <c r="Y27" s="4041"/>
      <c r="Z27" s="4041"/>
      <c r="AA27" s="4041"/>
      <c r="AB27" s="4041"/>
      <c r="AC27" s="4041"/>
      <c r="AD27" s="4041"/>
      <c r="AE27" s="4041"/>
      <c r="AF27" s="4041"/>
      <c r="AG27" s="4041"/>
      <c r="AH27" s="4041"/>
      <c r="AI27" s="4041"/>
      <c r="AJ27" s="4041"/>
      <c r="AK27" s="4041"/>
      <c r="AL27" s="4041"/>
      <c r="AM27" s="4041"/>
      <c r="AN27" s="4041"/>
      <c r="AO27" s="4041"/>
      <c r="AP27" s="4041"/>
      <c r="AQ27" s="4041"/>
      <c r="AR27" s="4041"/>
      <c r="AS27" s="4041"/>
      <c r="AT27" s="4041"/>
      <c r="AU27" s="4041"/>
      <c r="AV27" s="4041"/>
      <c r="AW27" s="4041"/>
      <c r="AX27" s="4041"/>
      <c r="AY27" s="4041"/>
      <c r="AZ27" s="4041"/>
      <c r="BA27" s="4041"/>
      <c r="BB27" s="4041"/>
      <c r="BC27" s="4041"/>
      <c r="BD27" s="4041"/>
      <c r="BE27" s="4042"/>
      <c r="BF27" s="3835"/>
      <c r="BG27" s="3835"/>
      <c r="BH27" s="4043"/>
      <c r="BI27" s="4040"/>
      <c r="BJ27" s="4026"/>
      <c r="BK27" s="3822"/>
      <c r="BL27" s="3822"/>
      <c r="BM27" s="3822"/>
      <c r="BN27" s="3822"/>
      <c r="BO27" s="2448"/>
    </row>
    <row r="28" spans="1:67" ht="33.75" customHeight="1" x14ac:dyDescent="0.2">
      <c r="A28" s="518"/>
      <c r="B28" s="519"/>
      <c r="C28" s="550"/>
      <c r="D28" s="551"/>
      <c r="E28" s="550"/>
      <c r="F28" s="551"/>
      <c r="G28" s="4575"/>
      <c r="H28" s="3842"/>
      <c r="I28" s="3842"/>
      <c r="J28" s="4045"/>
      <c r="K28" s="4048"/>
      <c r="L28" s="3915"/>
      <c r="M28" s="4035"/>
      <c r="N28" s="3872"/>
      <c r="O28" s="3875"/>
      <c r="P28" s="3960"/>
      <c r="Q28" s="3872"/>
      <c r="R28" s="2496" t="s">
        <v>503</v>
      </c>
      <c r="S28" s="565" t="s">
        <v>504</v>
      </c>
      <c r="T28" s="566">
        <v>6000000</v>
      </c>
      <c r="U28" s="371">
        <v>0</v>
      </c>
      <c r="V28" s="371"/>
      <c r="W28" s="385">
        <v>20</v>
      </c>
      <c r="X28" s="385" t="s">
        <v>70</v>
      </c>
      <c r="Y28" s="4041"/>
      <c r="Z28" s="4041"/>
      <c r="AA28" s="4041"/>
      <c r="AB28" s="4041"/>
      <c r="AC28" s="4041"/>
      <c r="AD28" s="4041"/>
      <c r="AE28" s="4041"/>
      <c r="AF28" s="4041"/>
      <c r="AG28" s="4041"/>
      <c r="AH28" s="4041"/>
      <c r="AI28" s="4041"/>
      <c r="AJ28" s="4041"/>
      <c r="AK28" s="4041"/>
      <c r="AL28" s="4041"/>
      <c r="AM28" s="4041"/>
      <c r="AN28" s="4041"/>
      <c r="AO28" s="4041"/>
      <c r="AP28" s="4041"/>
      <c r="AQ28" s="4041"/>
      <c r="AR28" s="4041"/>
      <c r="AS28" s="4041"/>
      <c r="AT28" s="4041"/>
      <c r="AU28" s="4041"/>
      <c r="AV28" s="4041"/>
      <c r="AW28" s="4041"/>
      <c r="AX28" s="4041"/>
      <c r="AY28" s="4041"/>
      <c r="AZ28" s="4041"/>
      <c r="BA28" s="4041"/>
      <c r="BB28" s="4041"/>
      <c r="BC28" s="4041"/>
      <c r="BD28" s="4041"/>
      <c r="BE28" s="4042"/>
      <c r="BF28" s="3835"/>
      <c r="BG28" s="3835"/>
      <c r="BH28" s="4043"/>
      <c r="BI28" s="4040"/>
      <c r="BJ28" s="4026"/>
      <c r="BK28" s="3822"/>
      <c r="BL28" s="3822"/>
      <c r="BM28" s="3822"/>
      <c r="BN28" s="3822"/>
      <c r="BO28" s="2448"/>
    </row>
    <row r="29" spans="1:67" ht="31.5" customHeight="1" x14ac:dyDescent="0.2">
      <c r="A29" s="518"/>
      <c r="B29" s="519"/>
      <c r="C29" s="550"/>
      <c r="D29" s="551"/>
      <c r="E29" s="550"/>
      <c r="F29" s="551"/>
      <c r="G29" s="4575"/>
      <c r="H29" s="3842"/>
      <c r="I29" s="3842"/>
      <c r="J29" s="4046"/>
      <c r="K29" s="4049"/>
      <c r="L29" s="3915"/>
      <c r="M29" s="4035"/>
      <c r="N29" s="3872"/>
      <c r="O29" s="3875"/>
      <c r="P29" s="3988"/>
      <c r="Q29" s="3872"/>
      <c r="R29" s="2497"/>
      <c r="S29" s="567" t="s">
        <v>505</v>
      </c>
      <c r="T29" s="568">
        <v>8000000</v>
      </c>
      <c r="U29" s="371">
        <v>0</v>
      </c>
      <c r="V29" s="371"/>
      <c r="W29" s="385">
        <v>20</v>
      </c>
      <c r="X29" s="385" t="s">
        <v>70</v>
      </c>
      <c r="Y29" s="4041"/>
      <c r="Z29" s="4041"/>
      <c r="AA29" s="4041"/>
      <c r="AB29" s="4041"/>
      <c r="AC29" s="4041"/>
      <c r="AD29" s="4041"/>
      <c r="AE29" s="4041"/>
      <c r="AF29" s="4041"/>
      <c r="AG29" s="4041"/>
      <c r="AH29" s="4041"/>
      <c r="AI29" s="4041"/>
      <c r="AJ29" s="4041"/>
      <c r="AK29" s="4041"/>
      <c r="AL29" s="4041"/>
      <c r="AM29" s="4041"/>
      <c r="AN29" s="4041"/>
      <c r="AO29" s="4041"/>
      <c r="AP29" s="4041"/>
      <c r="AQ29" s="4041"/>
      <c r="AR29" s="4041"/>
      <c r="AS29" s="4041"/>
      <c r="AT29" s="4041"/>
      <c r="AU29" s="4041"/>
      <c r="AV29" s="4041"/>
      <c r="AW29" s="4041"/>
      <c r="AX29" s="4041"/>
      <c r="AY29" s="4041"/>
      <c r="AZ29" s="4041"/>
      <c r="BA29" s="4041"/>
      <c r="BB29" s="4041"/>
      <c r="BC29" s="4041"/>
      <c r="BD29" s="4041"/>
      <c r="BE29" s="4042"/>
      <c r="BF29" s="3864"/>
      <c r="BG29" s="3864"/>
      <c r="BH29" s="4043"/>
      <c r="BI29" s="4040"/>
      <c r="BJ29" s="4026"/>
      <c r="BK29" s="3854"/>
      <c r="BL29" s="3854"/>
      <c r="BM29" s="3854"/>
      <c r="BN29" s="3854"/>
      <c r="BO29" s="2448"/>
    </row>
    <row r="30" spans="1:67" ht="28.5" customHeight="1" x14ac:dyDescent="0.2">
      <c r="A30" s="518"/>
      <c r="B30" s="519"/>
      <c r="C30" s="550"/>
      <c r="D30" s="551"/>
      <c r="E30" s="529">
        <v>59</v>
      </c>
      <c r="F30" s="285" t="s">
        <v>506</v>
      </c>
      <c r="G30" s="558"/>
      <c r="H30" s="552"/>
      <c r="I30" s="552"/>
      <c r="J30" s="287"/>
      <c r="K30" s="553"/>
      <c r="L30" s="554"/>
      <c r="M30" s="554"/>
      <c r="N30" s="287"/>
      <c r="O30" s="287"/>
      <c r="P30" s="287"/>
      <c r="Q30" s="552"/>
      <c r="R30" s="555"/>
      <c r="S30" s="552" t="s">
        <v>507</v>
      </c>
      <c r="T30" s="569"/>
      <c r="U30" s="570"/>
      <c r="V30" s="571"/>
      <c r="W30" s="572"/>
      <c r="X30" s="573"/>
      <c r="Y30" s="574"/>
      <c r="Z30" s="574"/>
      <c r="AA30" s="574"/>
      <c r="AB30" s="574"/>
      <c r="AC30" s="574"/>
      <c r="AD30" s="574"/>
      <c r="AE30" s="574"/>
      <c r="AF30" s="574"/>
      <c r="AG30" s="574"/>
      <c r="AH30" s="574"/>
      <c r="AI30" s="574"/>
      <c r="AJ30" s="574"/>
      <c r="AK30" s="574"/>
      <c r="AL30" s="574"/>
      <c r="AM30" s="574"/>
      <c r="AN30" s="574"/>
      <c r="AO30" s="574"/>
      <c r="AP30" s="574"/>
      <c r="AQ30" s="574"/>
      <c r="AR30" s="574"/>
      <c r="AS30" s="574"/>
      <c r="AT30" s="574"/>
      <c r="AU30" s="574"/>
      <c r="AV30" s="574"/>
      <c r="AW30" s="574"/>
      <c r="AX30" s="574"/>
      <c r="AY30" s="574"/>
      <c r="AZ30" s="574"/>
      <c r="BA30" s="574"/>
      <c r="BB30" s="574"/>
      <c r="BC30" s="574"/>
      <c r="BD30" s="575"/>
      <c r="BE30" s="576"/>
      <c r="BF30" s="569"/>
      <c r="BG30" s="569"/>
      <c r="BH30" s="576"/>
      <c r="BI30" s="576"/>
      <c r="BJ30" s="576"/>
      <c r="BK30" s="576"/>
      <c r="BL30" s="576"/>
      <c r="BM30" s="576"/>
      <c r="BN30" s="576"/>
      <c r="BO30" s="577"/>
    </row>
    <row r="31" spans="1:67" ht="52.5" customHeight="1" x14ac:dyDescent="0.2">
      <c r="A31" s="518"/>
      <c r="B31" s="519"/>
      <c r="C31" s="550"/>
      <c r="D31" s="551"/>
      <c r="E31" s="550"/>
      <c r="F31" s="578"/>
      <c r="G31" s="4032">
        <v>184</v>
      </c>
      <c r="H31" s="3881" t="s">
        <v>508</v>
      </c>
      <c r="I31" s="3962" t="s">
        <v>509</v>
      </c>
      <c r="J31" s="3997">
        <v>1</v>
      </c>
      <c r="K31" s="3992">
        <v>1</v>
      </c>
      <c r="L31" s="4033" t="s">
        <v>510</v>
      </c>
      <c r="M31" s="4034" t="s">
        <v>511</v>
      </c>
      <c r="N31" s="4037" t="s">
        <v>512</v>
      </c>
      <c r="O31" s="3874">
        <f>SUM(T31:T36)/P31</f>
        <v>0.47916666666666669</v>
      </c>
      <c r="P31" s="3877">
        <f>SUM(T31:T42)</f>
        <v>240000000</v>
      </c>
      <c r="Q31" s="4031" t="s">
        <v>513</v>
      </c>
      <c r="R31" s="2496" t="s">
        <v>514</v>
      </c>
      <c r="S31" s="535" t="s">
        <v>515</v>
      </c>
      <c r="T31" s="579">
        <v>22600000</v>
      </c>
      <c r="U31" s="371">
        <v>5860249</v>
      </c>
      <c r="V31" s="371">
        <v>1510734</v>
      </c>
      <c r="W31" s="385">
        <v>20</v>
      </c>
      <c r="X31" s="385" t="s">
        <v>70</v>
      </c>
      <c r="Y31" s="3909">
        <v>8900</v>
      </c>
      <c r="Z31" s="3878">
        <v>63</v>
      </c>
      <c r="AA31" s="3909">
        <v>8600</v>
      </c>
      <c r="AB31" s="3878">
        <v>59</v>
      </c>
      <c r="AC31" s="4030">
        <v>12000</v>
      </c>
      <c r="AD31" s="3859">
        <v>150</v>
      </c>
      <c r="AE31" s="3021">
        <v>4000</v>
      </c>
      <c r="AF31" s="4027">
        <v>398</v>
      </c>
      <c r="AG31" s="3021">
        <v>1500</v>
      </c>
      <c r="AH31" s="4027"/>
      <c r="AI31" s="4027"/>
      <c r="AJ31" s="4027"/>
      <c r="AK31" s="4027"/>
      <c r="AL31" s="4027"/>
      <c r="AM31" s="4027"/>
      <c r="AN31" s="4027"/>
      <c r="AO31" s="4027"/>
      <c r="AP31" s="4027"/>
      <c r="AQ31" s="4027"/>
      <c r="AR31" s="4027"/>
      <c r="AS31" s="4027"/>
      <c r="AT31" s="4027"/>
      <c r="AU31" s="4027"/>
      <c r="AV31" s="4027"/>
      <c r="AW31" s="4027"/>
      <c r="AX31" s="4027"/>
      <c r="AY31" s="4027"/>
      <c r="AZ31" s="4027"/>
      <c r="BA31" s="4027"/>
      <c r="BB31" s="4027"/>
      <c r="BC31" s="4027">
        <f>SUM(BA31+AY31+AW31+AU31+AS31+AQ31+AO31+AM31+AK31+AI31+AG31+AE31+AC31)</f>
        <v>17500</v>
      </c>
      <c r="BD31" s="4005">
        <f>SUM(BB31+AZ31+AX31+AV31+AT31+AR31+AP31+AN31+AL31+AJ31+AH31+AF31+AD31)</f>
        <v>548</v>
      </c>
      <c r="BE31" s="4017">
        <v>10</v>
      </c>
      <c r="BF31" s="4020">
        <f>SUM(U31:U42)</f>
        <v>58602499</v>
      </c>
      <c r="BG31" s="4020">
        <f>SUM(V31:V42)</f>
        <v>15107334</v>
      </c>
      <c r="BH31" s="3865">
        <f>BG31/BF31</f>
        <v>0.25779334086077116</v>
      </c>
      <c r="BI31" s="4023">
        <v>20</v>
      </c>
      <c r="BJ31" s="4026" t="s">
        <v>477</v>
      </c>
      <c r="BK31" s="3829">
        <v>43832</v>
      </c>
      <c r="BL31" s="3821">
        <v>43832</v>
      </c>
      <c r="BM31" s="3829">
        <v>43982</v>
      </c>
      <c r="BN31" s="3821">
        <v>43982</v>
      </c>
      <c r="BO31" s="2448" t="s">
        <v>478</v>
      </c>
    </row>
    <row r="32" spans="1:67" ht="54.75" customHeight="1" x14ac:dyDescent="0.2">
      <c r="A32" s="518"/>
      <c r="B32" s="519"/>
      <c r="C32" s="550"/>
      <c r="D32" s="551"/>
      <c r="E32" s="550"/>
      <c r="F32" s="578"/>
      <c r="G32" s="2955"/>
      <c r="H32" s="3882"/>
      <c r="I32" s="3419"/>
      <c r="J32" s="3998"/>
      <c r="K32" s="3993"/>
      <c r="L32" s="4033"/>
      <c r="M32" s="4035"/>
      <c r="N32" s="4038"/>
      <c r="O32" s="3875"/>
      <c r="P32" s="3877"/>
      <c r="Q32" s="4031"/>
      <c r="R32" s="2497"/>
      <c r="S32" s="395" t="s">
        <v>516</v>
      </c>
      <c r="T32" s="579">
        <v>17100000</v>
      </c>
      <c r="U32" s="371">
        <v>5860250</v>
      </c>
      <c r="V32" s="371">
        <v>1510734</v>
      </c>
      <c r="W32" s="385">
        <v>20</v>
      </c>
      <c r="X32" s="385" t="s">
        <v>70</v>
      </c>
      <c r="Y32" s="3909"/>
      <c r="Z32" s="3879"/>
      <c r="AA32" s="3909"/>
      <c r="AB32" s="3879"/>
      <c r="AC32" s="4030"/>
      <c r="AD32" s="3860"/>
      <c r="AE32" s="3021"/>
      <c r="AF32" s="4028"/>
      <c r="AG32" s="3021"/>
      <c r="AH32" s="4028"/>
      <c r="AI32" s="4028"/>
      <c r="AJ32" s="4028"/>
      <c r="AK32" s="4028"/>
      <c r="AL32" s="4028"/>
      <c r="AM32" s="4028"/>
      <c r="AN32" s="4028"/>
      <c r="AO32" s="4028"/>
      <c r="AP32" s="4028"/>
      <c r="AQ32" s="4028"/>
      <c r="AR32" s="4028"/>
      <c r="AS32" s="4028"/>
      <c r="AT32" s="4028"/>
      <c r="AU32" s="4028"/>
      <c r="AV32" s="4028"/>
      <c r="AW32" s="4028"/>
      <c r="AX32" s="4028"/>
      <c r="AY32" s="4028"/>
      <c r="AZ32" s="4028"/>
      <c r="BA32" s="4028"/>
      <c r="BB32" s="4028"/>
      <c r="BC32" s="4028"/>
      <c r="BD32" s="3400"/>
      <c r="BE32" s="4018"/>
      <c r="BF32" s="4021"/>
      <c r="BG32" s="4021"/>
      <c r="BH32" s="3866"/>
      <c r="BI32" s="4024"/>
      <c r="BJ32" s="4026"/>
      <c r="BK32" s="3829"/>
      <c r="BL32" s="3822"/>
      <c r="BM32" s="3829"/>
      <c r="BN32" s="3822"/>
      <c r="BO32" s="2448"/>
    </row>
    <row r="33" spans="1:67" ht="60.75" customHeight="1" x14ac:dyDescent="0.2">
      <c r="A33" s="518"/>
      <c r="B33" s="519"/>
      <c r="C33" s="550"/>
      <c r="D33" s="551"/>
      <c r="E33" s="550"/>
      <c r="F33" s="578"/>
      <c r="G33" s="2955"/>
      <c r="H33" s="3882"/>
      <c r="I33" s="3419"/>
      <c r="J33" s="3998"/>
      <c r="K33" s="3993"/>
      <c r="L33" s="4033"/>
      <c r="M33" s="4035"/>
      <c r="N33" s="4038"/>
      <c r="O33" s="3875"/>
      <c r="P33" s="3877"/>
      <c r="Q33" s="4031"/>
      <c r="R33" s="2497"/>
      <c r="S33" s="379" t="s">
        <v>517</v>
      </c>
      <c r="T33" s="579">
        <v>30000000</v>
      </c>
      <c r="U33" s="371">
        <v>5860250</v>
      </c>
      <c r="V33" s="371">
        <v>1510734</v>
      </c>
      <c r="W33" s="385">
        <v>20</v>
      </c>
      <c r="X33" s="385" t="s">
        <v>70</v>
      </c>
      <c r="Y33" s="3909"/>
      <c r="Z33" s="3879"/>
      <c r="AA33" s="3909"/>
      <c r="AB33" s="3879"/>
      <c r="AC33" s="4030"/>
      <c r="AD33" s="3860"/>
      <c r="AE33" s="3021"/>
      <c r="AF33" s="4028"/>
      <c r="AG33" s="3021"/>
      <c r="AH33" s="4028"/>
      <c r="AI33" s="4028"/>
      <c r="AJ33" s="4028"/>
      <c r="AK33" s="4028"/>
      <c r="AL33" s="4028"/>
      <c r="AM33" s="4028"/>
      <c r="AN33" s="4028"/>
      <c r="AO33" s="4028"/>
      <c r="AP33" s="4028"/>
      <c r="AQ33" s="4028"/>
      <c r="AR33" s="4028"/>
      <c r="AS33" s="4028"/>
      <c r="AT33" s="4028"/>
      <c r="AU33" s="4028"/>
      <c r="AV33" s="4028"/>
      <c r="AW33" s="4028"/>
      <c r="AX33" s="4028"/>
      <c r="AY33" s="4028"/>
      <c r="AZ33" s="4028"/>
      <c r="BA33" s="4028"/>
      <c r="BB33" s="4028"/>
      <c r="BC33" s="4028"/>
      <c r="BD33" s="3400"/>
      <c r="BE33" s="4018"/>
      <c r="BF33" s="4021"/>
      <c r="BG33" s="4021"/>
      <c r="BH33" s="3866"/>
      <c r="BI33" s="4024"/>
      <c r="BJ33" s="4026"/>
      <c r="BK33" s="3829"/>
      <c r="BL33" s="3822"/>
      <c r="BM33" s="3829"/>
      <c r="BN33" s="3822"/>
      <c r="BO33" s="2448"/>
    </row>
    <row r="34" spans="1:67" ht="69" customHeight="1" x14ac:dyDescent="0.2">
      <c r="A34" s="518"/>
      <c r="B34" s="519"/>
      <c r="C34" s="550"/>
      <c r="D34" s="551"/>
      <c r="E34" s="550"/>
      <c r="F34" s="578"/>
      <c r="G34" s="2955"/>
      <c r="H34" s="3882"/>
      <c r="I34" s="3419"/>
      <c r="J34" s="3998"/>
      <c r="K34" s="3993"/>
      <c r="L34" s="4033"/>
      <c r="M34" s="4035"/>
      <c r="N34" s="4038"/>
      <c r="O34" s="3875"/>
      <c r="P34" s="3877"/>
      <c r="Q34" s="4031"/>
      <c r="R34" s="2497"/>
      <c r="S34" s="395" t="s">
        <v>518</v>
      </c>
      <c r="T34" s="579">
        <v>20000000</v>
      </c>
      <c r="U34" s="371">
        <v>5860250</v>
      </c>
      <c r="V34" s="371">
        <v>1510734</v>
      </c>
      <c r="W34" s="385">
        <v>20</v>
      </c>
      <c r="X34" s="385" t="s">
        <v>70</v>
      </c>
      <c r="Y34" s="3909"/>
      <c r="Z34" s="3879"/>
      <c r="AA34" s="3909"/>
      <c r="AB34" s="3879"/>
      <c r="AC34" s="4030"/>
      <c r="AD34" s="3860"/>
      <c r="AE34" s="3021"/>
      <c r="AF34" s="4028"/>
      <c r="AG34" s="3021"/>
      <c r="AH34" s="4028"/>
      <c r="AI34" s="4028"/>
      <c r="AJ34" s="4028"/>
      <c r="AK34" s="4028"/>
      <c r="AL34" s="4028"/>
      <c r="AM34" s="4028"/>
      <c r="AN34" s="4028"/>
      <c r="AO34" s="4028"/>
      <c r="AP34" s="4028"/>
      <c r="AQ34" s="4028"/>
      <c r="AR34" s="4028"/>
      <c r="AS34" s="4028"/>
      <c r="AT34" s="4028"/>
      <c r="AU34" s="4028"/>
      <c r="AV34" s="4028"/>
      <c r="AW34" s="4028"/>
      <c r="AX34" s="4028"/>
      <c r="AY34" s="4028"/>
      <c r="AZ34" s="4028"/>
      <c r="BA34" s="4028"/>
      <c r="BB34" s="4028"/>
      <c r="BC34" s="4028"/>
      <c r="BD34" s="3400"/>
      <c r="BE34" s="4018"/>
      <c r="BF34" s="4021"/>
      <c r="BG34" s="4021"/>
      <c r="BH34" s="3866"/>
      <c r="BI34" s="4024"/>
      <c r="BJ34" s="4026"/>
      <c r="BK34" s="3829"/>
      <c r="BL34" s="3822"/>
      <c r="BM34" s="3829"/>
      <c r="BN34" s="3822"/>
      <c r="BO34" s="2448"/>
    </row>
    <row r="35" spans="1:67" ht="89.25" customHeight="1" x14ac:dyDescent="0.2">
      <c r="A35" s="518"/>
      <c r="B35" s="519"/>
      <c r="C35" s="550"/>
      <c r="D35" s="551"/>
      <c r="E35" s="550"/>
      <c r="F35" s="578"/>
      <c r="G35" s="2955"/>
      <c r="H35" s="3882"/>
      <c r="I35" s="3419"/>
      <c r="J35" s="3998"/>
      <c r="K35" s="3993"/>
      <c r="L35" s="4033"/>
      <c r="M35" s="4035"/>
      <c r="N35" s="4038"/>
      <c r="O35" s="3875"/>
      <c r="P35" s="3877"/>
      <c r="Q35" s="4031"/>
      <c r="R35" s="2497"/>
      <c r="S35" s="395" t="s">
        <v>519</v>
      </c>
      <c r="T35" s="579">
        <v>21300000</v>
      </c>
      <c r="U35" s="371">
        <v>5860250</v>
      </c>
      <c r="V35" s="371">
        <v>1510733</v>
      </c>
      <c r="W35" s="385">
        <v>20</v>
      </c>
      <c r="X35" s="385" t="s">
        <v>70</v>
      </c>
      <c r="Y35" s="3909"/>
      <c r="Z35" s="3879"/>
      <c r="AA35" s="3909"/>
      <c r="AB35" s="3879"/>
      <c r="AC35" s="4030"/>
      <c r="AD35" s="3860"/>
      <c r="AE35" s="3021"/>
      <c r="AF35" s="4028"/>
      <c r="AG35" s="3021"/>
      <c r="AH35" s="4028"/>
      <c r="AI35" s="4028"/>
      <c r="AJ35" s="4028"/>
      <c r="AK35" s="4028"/>
      <c r="AL35" s="4028"/>
      <c r="AM35" s="4028"/>
      <c r="AN35" s="4028"/>
      <c r="AO35" s="4028"/>
      <c r="AP35" s="4028"/>
      <c r="AQ35" s="4028"/>
      <c r="AR35" s="4028"/>
      <c r="AS35" s="4028"/>
      <c r="AT35" s="4028"/>
      <c r="AU35" s="4028"/>
      <c r="AV35" s="4028"/>
      <c r="AW35" s="4028"/>
      <c r="AX35" s="4028"/>
      <c r="AY35" s="4028"/>
      <c r="AZ35" s="4028"/>
      <c r="BA35" s="4028"/>
      <c r="BB35" s="4028"/>
      <c r="BC35" s="4028"/>
      <c r="BD35" s="3400"/>
      <c r="BE35" s="4018"/>
      <c r="BF35" s="4021"/>
      <c r="BG35" s="4021"/>
      <c r="BH35" s="3866"/>
      <c r="BI35" s="4024"/>
      <c r="BJ35" s="4026"/>
      <c r="BK35" s="3829"/>
      <c r="BL35" s="3822"/>
      <c r="BM35" s="3829"/>
      <c r="BN35" s="3822"/>
      <c r="BO35" s="2448"/>
    </row>
    <row r="36" spans="1:67" ht="65.25" customHeight="1" x14ac:dyDescent="0.2">
      <c r="A36" s="518"/>
      <c r="B36" s="519"/>
      <c r="C36" s="550"/>
      <c r="D36" s="551"/>
      <c r="E36" s="550"/>
      <c r="F36" s="578"/>
      <c r="G36" s="2955"/>
      <c r="H36" s="3882"/>
      <c r="I36" s="3419"/>
      <c r="J36" s="3998"/>
      <c r="K36" s="3993"/>
      <c r="L36" s="4033"/>
      <c r="M36" s="4035"/>
      <c r="N36" s="4038"/>
      <c r="O36" s="3875"/>
      <c r="P36" s="3877"/>
      <c r="Q36" s="4031"/>
      <c r="R36" s="2497"/>
      <c r="S36" s="535" t="s">
        <v>520</v>
      </c>
      <c r="T36" s="579">
        <v>4000000</v>
      </c>
      <c r="U36" s="371">
        <v>0</v>
      </c>
      <c r="V36" s="371"/>
      <c r="W36" s="385">
        <v>20</v>
      </c>
      <c r="X36" s="385" t="s">
        <v>70</v>
      </c>
      <c r="Y36" s="3909"/>
      <c r="Z36" s="3879"/>
      <c r="AA36" s="3909"/>
      <c r="AB36" s="3879"/>
      <c r="AC36" s="4030"/>
      <c r="AD36" s="3860"/>
      <c r="AE36" s="3021"/>
      <c r="AF36" s="4028"/>
      <c r="AG36" s="3021"/>
      <c r="AH36" s="4028"/>
      <c r="AI36" s="4028"/>
      <c r="AJ36" s="4028"/>
      <c r="AK36" s="4028"/>
      <c r="AL36" s="4028"/>
      <c r="AM36" s="4028"/>
      <c r="AN36" s="4028"/>
      <c r="AO36" s="4028"/>
      <c r="AP36" s="4028"/>
      <c r="AQ36" s="4028"/>
      <c r="AR36" s="4028"/>
      <c r="AS36" s="4028"/>
      <c r="AT36" s="4028"/>
      <c r="AU36" s="4028"/>
      <c r="AV36" s="4028"/>
      <c r="AW36" s="4028"/>
      <c r="AX36" s="4028"/>
      <c r="AY36" s="4028"/>
      <c r="AZ36" s="4028"/>
      <c r="BA36" s="4028"/>
      <c r="BB36" s="4028"/>
      <c r="BC36" s="4028"/>
      <c r="BD36" s="3400"/>
      <c r="BE36" s="4018"/>
      <c r="BF36" s="4021"/>
      <c r="BG36" s="4021"/>
      <c r="BH36" s="3866"/>
      <c r="BI36" s="4024"/>
      <c r="BJ36" s="4026"/>
      <c r="BK36" s="3829"/>
      <c r="BL36" s="3822"/>
      <c r="BM36" s="3829"/>
      <c r="BN36" s="3822"/>
      <c r="BO36" s="2448"/>
    </row>
    <row r="37" spans="1:67" ht="49.5" customHeight="1" x14ac:dyDescent="0.2">
      <c r="A37" s="518"/>
      <c r="B37" s="519"/>
      <c r="C37" s="550"/>
      <c r="D37" s="551"/>
      <c r="E37" s="550"/>
      <c r="F37" s="551"/>
      <c r="G37" s="2955"/>
      <c r="H37" s="3849" t="s">
        <v>521</v>
      </c>
      <c r="I37" s="3962" t="s">
        <v>522</v>
      </c>
      <c r="J37" s="3997">
        <v>1</v>
      </c>
      <c r="K37" s="3992">
        <v>1</v>
      </c>
      <c r="L37" s="4033"/>
      <c r="M37" s="4035"/>
      <c r="N37" s="4038"/>
      <c r="O37" s="3874">
        <f>SUM(T37:T39)/P31</f>
        <v>0.25</v>
      </c>
      <c r="P37" s="3877"/>
      <c r="Q37" s="3961"/>
      <c r="R37" s="2497"/>
      <c r="S37" s="379" t="s">
        <v>523</v>
      </c>
      <c r="T37" s="579">
        <v>24000000</v>
      </c>
      <c r="U37" s="371">
        <v>5860250</v>
      </c>
      <c r="V37" s="371">
        <v>1510733</v>
      </c>
      <c r="W37" s="385">
        <v>20</v>
      </c>
      <c r="X37" s="385" t="s">
        <v>70</v>
      </c>
      <c r="Y37" s="3909"/>
      <c r="Z37" s="3879"/>
      <c r="AA37" s="3909"/>
      <c r="AB37" s="3879"/>
      <c r="AC37" s="4030"/>
      <c r="AD37" s="3860"/>
      <c r="AE37" s="3021"/>
      <c r="AF37" s="4028"/>
      <c r="AG37" s="3021"/>
      <c r="AH37" s="4028"/>
      <c r="AI37" s="4028"/>
      <c r="AJ37" s="4028"/>
      <c r="AK37" s="4028"/>
      <c r="AL37" s="4028"/>
      <c r="AM37" s="4028"/>
      <c r="AN37" s="4028"/>
      <c r="AO37" s="4028"/>
      <c r="AP37" s="4028"/>
      <c r="AQ37" s="4028"/>
      <c r="AR37" s="4028"/>
      <c r="AS37" s="4028"/>
      <c r="AT37" s="4028"/>
      <c r="AU37" s="4028"/>
      <c r="AV37" s="4028"/>
      <c r="AW37" s="4028"/>
      <c r="AX37" s="4028"/>
      <c r="AY37" s="4028"/>
      <c r="AZ37" s="4028"/>
      <c r="BA37" s="4028"/>
      <c r="BB37" s="4028"/>
      <c r="BC37" s="4028"/>
      <c r="BD37" s="3400"/>
      <c r="BE37" s="4018"/>
      <c r="BF37" s="4021"/>
      <c r="BG37" s="4021"/>
      <c r="BH37" s="3866"/>
      <c r="BI37" s="4024"/>
      <c r="BJ37" s="4026"/>
      <c r="BK37" s="3829"/>
      <c r="BL37" s="3822"/>
      <c r="BM37" s="3829"/>
      <c r="BN37" s="3822"/>
      <c r="BO37" s="2448"/>
    </row>
    <row r="38" spans="1:67" ht="46.5" customHeight="1" x14ac:dyDescent="0.2">
      <c r="A38" s="518"/>
      <c r="B38" s="519"/>
      <c r="C38" s="550"/>
      <c r="D38" s="551"/>
      <c r="E38" s="550"/>
      <c r="F38" s="551"/>
      <c r="G38" s="2955"/>
      <c r="H38" s="3842"/>
      <c r="I38" s="3419"/>
      <c r="J38" s="3998"/>
      <c r="K38" s="3993"/>
      <c r="L38" s="4033"/>
      <c r="M38" s="4035"/>
      <c r="N38" s="4038"/>
      <c r="O38" s="3875"/>
      <c r="P38" s="3877"/>
      <c r="Q38" s="3961"/>
      <c r="R38" s="2497"/>
      <c r="S38" s="535" t="s">
        <v>524</v>
      </c>
      <c r="T38" s="579">
        <v>23600000</v>
      </c>
      <c r="U38" s="371">
        <v>5860250</v>
      </c>
      <c r="V38" s="371">
        <v>1510733</v>
      </c>
      <c r="W38" s="385">
        <v>20</v>
      </c>
      <c r="X38" s="385" t="s">
        <v>70</v>
      </c>
      <c r="Y38" s="3909"/>
      <c r="Z38" s="3879"/>
      <c r="AA38" s="3909"/>
      <c r="AB38" s="3879"/>
      <c r="AC38" s="4030"/>
      <c r="AD38" s="3860"/>
      <c r="AE38" s="3021"/>
      <c r="AF38" s="4028"/>
      <c r="AG38" s="3021"/>
      <c r="AH38" s="4028"/>
      <c r="AI38" s="4028"/>
      <c r="AJ38" s="4028"/>
      <c r="AK38" s="4028"/>
      <c r="AL38" s="4028"/>
      <c r="AM38" s="4028"/>
      <c r="AN38" s="4028"/>
      <c r="AO38" s="4028"/>
      <c r="AP38" s="4028"/>
      <c r="AQ38" s="4028"/>
      <c r="AR38" s="4028"/>
      <c r="AS38" s="4028"/>
      <c r="AT38" s="4028"/>
      <c r="AU38" s="4028"/>
      <c r="AV38" s="4028"/>
      <c r="AW38" s="4028"/>
      <c r="AX38" s="4028"/>
      <c r="AY38" s="4028"/>
      <c r="AZ38" s="4028"/>
      <c r="BA38" s="4028"/>
      <c r="BB38" s="4028"/>
      <c r="BC38" s="4028"/>
      <c r="BD38" s="3400"/>
      <c r="BE38" s="4018"/>
      <c r="BF38" s="4021"/>
      <c r="BG38" s="4021"/>
      <c r="BH38" s="3866"/>
      <c r="BI38" s="4024"/>
      <c r="BJ38" s="4026"/>
      <c r="BK38" s="3829"/>
      <c r="BL38" s="3822"/>
      <c r="BM38" s="3829"/>
      <c r="BN38" s="3822"/>
      <c r="BO38" s="2448"/>
    </row>
    <row r="39" spans="1:67" ht="66" customHeight="1" x14ac:dyDescent="0.2">
      <c r="A39" s="518"/>
      <c r="B39" s="519"/>
      <c r="C39" s="550"/>
      <c r="D39" s="551"/>
      <c r="E39" s="550"/>
      <c r="F39" s="551"/>
      <c r="G39" s="2955"/>
      <c r="H39" s="3886"/>
      <c r="I39" s="3963"/>
      <c r="J39" s="3999"/>
      <c r="K39" s="3994"/>
      <c r="L39" s="4033"/>
      <c r="M39" s="4035"/>
      <c r="N39" s="4038"/>
      <c r="O39" s="3876"/>
      <c r="P39" s="3877"/>
      <c r="Q39" s="3961"/>
      <c r="R39" s="2497"/>
      <c r="S39" s="379" t="s">
        <v>525</v>
      </c>
      <c r="T39" s="579">
        <v>12400000</v>
      </c>
      <c r="U39" s="371">
        <v>5860250</v>
      </c>
      <c r="V39" s="371">
        <v>1510733</v>
      </c>
      <c r="W39" s="385">
        <v>20</v>
      </c>
      <c r="X39" s="385" t="s">
        <v>70</v>
      </c>
      <c r="Y39" s="3909"/>
      <c r="Z39" s="3879"/>
      <c r="AA39" s="3909"/>
      <c r="AB39" s="3879"/>
      <c r="AC39" s="4030"/>
      <c r="AD39" s="3860"/>
      <c r="AE39" s="3021"/>
      <c r="AF39" s="4028"/>
      <c r="AG39" s="3021"/>
      <c r="AH39" s="4028"/>
      <c r="AI39" s="4028"/>
      <c r="AJ39" s="4028"/>
      <c r="AK39" s="4028"/>
      <c r="AL39" s="4028"/>
      <c r="AM39" s="4028"/>
      <c r="AN39" s="4028"/>
      <c r="AO39" s="4028"/>
      <c r="AP39" s="4028"/>
      <c r="AQ39" s="4028"/>
      <c r="AR39" s="4028"/>
      <c r="AS39" s="4028"/>
      <c r="AT39" s="4028"/>
      <c r="AU39" s="4028"/>
      <c r="AV39" s="4028"/>
      <c r="AW39" s="4028"/>
      <c r="AX39" s="4028"/>
      <c r="AY39" s="4028"/>
      <c r="AZ39" s="4028"/>
      <c r="BA39" s="4028"/>
      <c r="BB39" s="4028"/>
      <c r="BC39" s="4028"/>
      <c r="BD39" s="3400"/>
      <c r="BE39" s="4018"/>
      <c r="BF39" s="4021"/>
      <c r="BG39" s="4021"/>
      <c r="BH39" s="3866"/>
      <c r="BI39" s="4024"/>
      <c r="BJ39" s="4026"/>
      <c r="BK39" s="3829"/>
      <c r="BL39" s="3822"/>
      <c r="BM39" s="3829"/>
      <c r="BN39" s="3822"/>
      <c r="BO39" s="2448"/>
    </row>
    <row r="40" spans="1:67" ht="84.75" customHeight="1" x14ac:dyDescent="0.2">
      <c r="A40" s="518"/>
      <c r="B40" s="519"/>
      <c r="C40" s="550"/>
      <c r="D40" s="551"/>
      <c r="E40" s="550"/>
      <c r="F40" s="578"/>
      <c r="G40" s="2955"/>
      <c r="H40" s="4013" t="s">
        <v>526</v>
      </c>
      <c r="I40" s="3468" t="s">
        <v>527</v>
      </c>
      <c r="J40" s="4014">
        <v>1</v>
      </c>
      <c r="K40" s="3992">
        <v>0.8</v>
      </c>
      <c r="L40" s="4033"/>
      <c r="M40" s="4035"/>
      <c r="N40" s="4038"/>
      <c r="O40" s="3918">
        <f>SUM(T40:T42)/P31</f>
        <v>0.27083333333333331</v>
      </c>
      <c r="P40" s="3877"/>
      <c r="Q40" s="3961"/>
      <c r="R40" s="2497"/>
      <c r="S40" s="535" t="s">
        <v>528</v>
      </c>
      <c r="T40" s="579">
        <v>45000000</v>
      </c>
      <c r="U40" s="371">
        <v>5860250</v>
      </c>
      <c r="V40" s="371">
        <v>1510733</v>
      </c>
      <c r="W40" s="385">
        <v>20</v>
      </c>
      <c r="X40" s="385" t="s">
        <v>70</v>
      </c>
      <c r="Y40" s="3909"/>
      <c r="Z40" s="3879"/>
      <c r="AA40" s="3909"/>
      <c r="AB40" s="3879"/>
      <c r="AC40" s="4030"/>
      <c r="AD40" s="3860"/>
      <c r="AE40" s="3021"/>
      <c r="AF40" s="4028"/>
      <c r="AG40" s="3021"/>
      <c r="AH40" s="4028"/>
      <c r="AI40" s="4028"/>
      <c r="AJ40" s="4028"/>
      <c r="AK40" s="4028"/>
      <c r="AL40" s="4028"/>
      <c r="AM40" s="4028"/>
      <c r="AN40" s="4028"/>
      <c r="AO40" s="4028"/>
      <c r="AP40" s="4028"/>
      <c r="AQ40" s="4028"/>
      <c r="AR40" s="4028"/>
      <c r="AS40" s="4028"/>
      <c r="AT40" s="4028"/>
      <c r="AU40" s="4028"/>
      <c r="AV40" s="4028"/>
      <c r="AW40" s="4028"/>
      <c r="AX40" s="4028"/>
      <c r="AY40" s="4028"/>
      <c r="AZ40" s="4028"/>
      <c r="BA40" s="4028"/>
      <c r="BB40" s="4028"/>
      <c r="BC40" s="4028"/>
      <c r="BD40" s="3400"/>
      <c r="BE40" s="4018"/>
      <c r="BF40" s="4021"/>
      <c r="BG40" s="4021"/>
      <c r="BH40" s="3866"/>
      <c r="BI40" s="4024"/>
      <c r="BJ40" s="4026"/>
      <c r="BK40" s="3829"/>
      <c r="BL40" s="3822"/>
      <c r="BM40" s="3829"/>
      <c r="BN40" s="3822"/>
      <c r="BO40" s="2448"/>
    </row>
    <row r="41" spans="1:67" ht="64.5" customHeight="1" x14ac:dyDescent="0.2">
      <c r="A41" s="518"/>
      <c r="B41" s="519"/>
      <c r="C41" s="550"/>
      <c r="D41" s="551"/>
      <c r="E41" s="550"/>
      <c r="F41" s="578"/>
      <c r="G41" s="2955"/>
      <c r="H41" s="4013"/>
      <c r="I41" s="3468"/>
      <c r="J41" s="4014"/>
      <c r="K41" s="3993"/>
      <c r="L41" s="4033"/>
      <c r="M41" s="4035"/>
      <c r="N41" s="4038"/>
      <c r="O41" s="3918"/>
      <c r="P41" s="3877"/>
      <c r="Q41" s="3961"/>
      <c r="R41" s="2497"/>
      <c r="S41" s="535" t="s">
        <v>529</v>
      </c>
      <c r="T41" s="579">
        <v>10500000</v>
      </c>
      <c r="U41" s="371">
        <v>5860250</v>
      </c>
      <c r="V41" s="371">
        <v>1510733</v>
      </c>
      <c r="W41" s="385">
        <v>20</v>
      </c>
      <c r="X41" s="385" t="s">
        <v>70</v>
      </c>
      <c r="Y41" s="3909"/>
      <c r="Z41" s="3879"/>
      <c r="AA41" s="3909"/>
      <c r="AB41" s="3879"/>
      <c r="AC41" s="4030"/>
      <c r="AD41" s="3860"/>
      <c r="AE41" s="3021"/>
      <c r="AF41" s="4028"/>
      <c r="AG41" s="3021"/>
      <c r="AH41" s="4028"/>
      <c r="AI41" s="4028"/>
      <c r="AJ41" s="4028"/>
      <c r="AK41" s="4028"/>
      <c r="AL41" s="4028"/>
      <c r="AM41" s="4028"/>
      <c r="AN41" s="4028"/>
      <c r="AO41" s="4028"/>
      <c r="AP41" s="4028"/>
      <c r="AQ41" s="4028"/>
      <c r="AR41" s="4028"/>
      <c r="AS41" s="4028"/>
      <c r="AT41" s="4028"/>
      <c r="AU41" s="4028"/>
      <c r="AV41" s="4028"/>
      <c r="AW41" s="4028"/>
      <c r="AX41" s="4028"/>
      <c r="AY41" s="4028"/>
      <c r="AZ41" s="4028"/>
      <c r="BA41" s="4028"/>
      <c r="BB41" s="4028"/>
      <c r="BC41" s="4028"/>
      <c r="BD41" s="3400"/>
      <c r="BE41" s="4018"/>
      <c r="BF41" s="4021"/>
      <c r="BG41" s="4021"/>
      <c r="BH41" s="3866"/>
      <c r="BI41" s="4024"/>
      <c r="BJ41" s="4026"/>
      <c r="BK41" s="3829"/>
      <c r="BL41" s="3822"/>
      <c r="BM41" s="3829"/>
      <c r="BN41" s="3822"/>
      <c r="BO41" s="2448"/>
    </row>
    <row r="42" spans="1:67" ht="71.25" x14ac:dyDescent="0.2">
      <c r="A42" s="518"/>
      <c r="B42" s="519"/>
      <c r="C42" s="550"/>
      <c r="D42" s="551"/>
      <c r="E42" s="550"/>
      <c r="F42" s="578"/>
      <c r="G42" s="2550"/>
      <c r="H42" s="4013"/>
      <c r="I42" s="3468"/>
      <c r="J42" s="4014"/>
      <c r="K42" s="3994"/>
      <c r="L42" s="4033"/>
      <c r="M42" s="4036"/>
      <c r="N42" s="4039"/>
      <c r="O42" s="3918"/>
      <c r="P42" s="3877"/>
      <c r="Q42" s="3961"/>
      <c r="R42" s="2498"/>
      <c r="S42" s="395" t="s">
        <v>530</v>
      </c>
      <c r="T42" s="579">
        <v>9500000</v>
      </c>
      <c r="U42" s="371">
        <v>0</v>
      </c>
      <c r="V42" s="371"/>
      <c r="W42" s="385">
        <v>20</v>
      </c>
      <c r="X42" s="385" t="s">
        <v>70</v>
      </c>
      <c r="Y42" s="3909"/>
      <c r="Z42" s="3880"/>
      <c r="AA42" s="3909"/>
      <c r="AB42" s="3880"/>
      <c r="AC42" s="4030"/>
      <c r="AD42" s="3861"/>
      <c r="AE42" s="3021"/>
      <c r="AF42" s="4029"/>
      <c r="AG42" s="3021"/>
      <c r="AH42" s="4029"/>
      <c r="AI42" s="4029"/>
      <c r="AJ42" s="4029"/>
      <c r="AK42" s="4029"/>
      <c r="AL42" s="4029"/>
      <c r="AM42" s="4029"/>
      <c r="AN42" s="4029"/>
      <c r="AO42" s="4029"/>
      <c r="AP42" s="4029"/>
      <c r="AQ42" s="4029"/>
      <c r="AR42" s="4029"/>
      <c r="AS42" s="4029"/>
      <c r="AT42" s="4029"/>
      <c r="AU42" s="4029"/>
      <c r="AV42" s="4029"/>
      <c r="AW42" s="4029"/>
      <c r="AX42" s="4029"/>
      <c r="AY42" s="4029"/>
      <c r="AZ42" s="4029"/>
      <c r="BA42" s="4029"/>
      <c r="BB42" s="4029"/>
      <c r="BC42" s="4029"/>
      <c r="BD42" s="4012"/>
      <c r="BE42" s="4019"/>
      <c r="BF42" s="4022"/>
      <c r="BG42" s="4022"/>
      <c r="BH42" s="3867"/>
      <c r="BI42" s="4025"/>
      <c r="BJ42" s="4026"/>
      <c r="BK42" s="3829"/>
      <c r="BL42" s="3854"/>
      <c r="BM42" s="3829"/>
      <c r="BN42" s="3854"/>
      <c r="BO42" s="2448"/>
    </row>
    <row r="43" spans="1:67" ht="15" x14ac:dyDescent="0.2">
      <c r="A43" s="518"/>
      <c r="B43" s="519"/>
      <c r="C43" s="550"/>
      <c r="D43" s="551"/>
      <c r="E43" s="581">
        <v>60</v>
      </c>
      <c r="F43" s="285" t="s">
        <v>531</v>
      </c>
      <c r="G43" s="531"/>
      <c r="H43" s="552"/>
      <c r="I43" s="552"/>
      <c r="J43" s="287"/>
      <c r="K43" s="553"/>
      <c r="L43" s="554"/>
      <c r="M43" s="554"/>
      <c r="N43" s="287"/>
      <c r="O43" s="287"/>
      <c r="P43" s="287"/>
      <c r="Q43" s="552"/>
      <c r="R43" s="552"/>
      <c r="S43" s="552"/>
      <c r="T43" s="552"/>
      <c r="U43" s="569"/>
      <c r="V43" s="582"/>
      <c r="W43" s="573"/>
      <c r="X43" s="531"/>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287"/>
      <c r="BE43" s="530"/>
      <c r="BF43" s="583"/>
      <c r="BG43" s="583"/>
      <c r="BH43" s="530"/>
      <c r="BI43" s="530"/>
      <c r="BJ43" s="530"/>
      <c r="BK43" s="530"/>
      <c r="BL43" s="530"/>
      <c r="BM43" s="530"/>
      <c r="BN43" s="530"/>
      <c r="BO43" s="534"/>
    </row>
    <row r="44" spans="1:67" s="99" customFormat="1" ht="52.5" customHeight="1" x14ac:dyDescent="0.2">
      <c r="A44" s="518"/>
      <c r="B44" s="519"/>
      <c r="C44" s="550"/>
      <c r="D44" s="551"/>
      <c r="E44" s="563"/>
      <c r="F44" s="564"/>
      <c r="G44" s="4015">
        <v>187</v>
      </c>
      <c r="H44" s="3871" t="s">
        <v>532</v>
      </c>
      <c r="I44" s="3962" t="s">
        <v>533</v>
      </c>
      <c r="J44" s="3997">
        <v>1</v>
      </c>
      <c r="K44" s="4000">
        <v>0.9</v>
      </c>
      <c r="L44" s="3914" t="s">
        <v>534</v>
      </c>
      <c r="M44" s="3891" t="s">
        <v>535</v>
      </c>
      <c r="N44" s="3872" t="s">
        <v>536</v>
      </c>
      <c r="O44" s="3995">
        <f>SUM(T44:T49)/P44</f>
        <v>0.40476190476190477</v>
      </c>
      <c r="P44" s="3960">
        <f>SUM(T44:T55)</f>
        <v>210000000</v>
      </c>
      <c r="Q44" s="3872" t="s">
        <v>537</v>
      </c>
      <c r="R44" s="3962" t="s">
        <v>538</v>
      </c>
      <c r="S44" s="535" t="s">
        <v>539</v>
      </c>
      <c r="T44" s="584">
        <v>35000000</v>
      </c>
      <c r="U44" s="371">
        <v>8080334</v>
      </c>
      <c r="V44" s="371">
        <v>4270000</v>
      </c>
      <c r="W44" s="385">
        <v>20</v>
      </c>
      <c r="X44" s="385" t="s">
        <v>70</v>
      </c>
      <c r="Y44" s="3832">
        <v>4600</v>
      </c>
      <c r="Z44" s="3832">
        <v>230</v>
      </c>
      <c r="AA44" s="4005">
        <v>3810</v>
      </c>
      <c r="AB44" s="4005">
        <v>221</v>
      </c>
      <c r="AC44" s="3832">
        <v>0</v>
      </c>
      <c r="AD44" s="3832"/>
      <c r="AE44" s="3832">
        <v>5300</v>
      </c>
      <c r="AF44" s="3832">
        <v>380</v>
      </c>
      <c r="AG44" s="3832">
        <v>2900</v>
      </c>
      <c r="AH44" s="3832">
        <v>71</v>
      </c>
      <c r="AI44" s="3832">
        <v>0</v>
      </c>
      <c r="AJ44" s="3832"/>
      <c r="AK44" s="4009" t="s">
        <v>540</v>
      </c>
      <c r="AL44" s="4009" t="s">
        <v>541</v>
      </c>
      <c r="AM44" s="3832">
        <v>110</v>
      </c>
      <c r="AN44" s="3832">
        <v>6</v>
      </c>
      <c r="AO44" s="3832"/>
      <c r="AP44" s="3832"/>
      <c r="AQ44" s="3832"/>
      <c r="AR44" s="3832"/>
      <c r="AS44" s="3832"/>
      <c r="AT44" s="3832"/>
      <c r="AU44" s="3832"/>
      <c r="AV44" s="3832"/>
      <c r="AW44" s="3832"/>
      <c r="AX44" s="3832">
        <v>5</v>
      </c>
      <c r="AY44" s="3832">
        <v>100</v>
      </c>
      <c r="AZ44" s="3832">
        <v>4</v>
      </c>
      <c r="BA44" s="3832"/>
      <c r="BB44" s="3832">
        <v>1</v>
      </c>
      <c r="BC44" s="4005">
        <f>SUM(BA44+AY44+AW44+AU44+AS44+AQ44+AO44+AM44+AK44+AI44+AG44+AE44)</f>
        <v>8610</v>
      </c>
      <c r="BD44" s="4005">
        <f>SUM(BB44+AZ44+AX44+AV44+AT44+AR44+AP44+AN44+AL44+AJ44+AH44+AF44+AD44)</f>
        <v>473</v>
      </c>
      <c r="BE44" s="3832">
        <v>4</v>
      </c>
      <c r="BF44" s="4006">
        <f>SUM(U44:U55)</f>
        <v>40401666</v>
      </c>
      <c r="BG44" s="4006">
        <f>SUM(V44:V55)</f>
        <v>21350000</v>
      </c>
      <c r="BH44" s="3971">
        <f>BG44/BF44</f>
        <v>0.52844355477816185</v>
      </c>
      <c r="BI44" s="2580">
        <v>20</v>
      </c>
      <c r="BJ44" s="2580" t="s">
        <v>542</v>
      </c>
      <c r="BK44" s="4002">
        <v>43832</v>
      </c>
      <c r="BL44" s="3376">
        <v>43832</v>
      </c>
      <c r="BM44" s="4002">
        <v>43982</v>
      </c>
      <c r="BN44" s="3376">
        <v>43982</v>
      </c>
      <c r="BO44" s="2580" t="s">
        <v>478</v>
      </c>
    </row>
    <row r="45" spans="1:67" s="99" customFormat="1" ht="45" customHeight="1" x14ac:dyDescent="0.2">
      <c r="A45" s="518"/>
      <c r="B45" s="519"/>
      <c r="C45" s="550"/>
      <c r="D45" s="551"/>
      <c r="E45" s="550"/>
      <c r="F45" s="551"/>
      <c r="G45" s="3319"/>
      <c r="H45" s="3872"/>
      <c r="I45" s="3419"/>
      <c r="J45" s="3998"/>
      <c r="K45" s="4000"/>
      <c r="L45" s="3915"/>
      <c r="M45" s="3891"/>
      <c r="N45" s="3872"/>
      <c r="O45" s="3996"/>
      <c r="P45" s="3960"/>
      <c r="Q45" s="3872"/>
      <c r="R45" s="3419"/>
      <c r="S45" s="535" t="s">
        <v>543</v>
      </c>
      <c r="T45" s="584">
        <v>18000000</v>
      </c>
      <c r="U45" s="371">
        <v>0</v>
      </c>
      <c r="V45" s="371"/>
      <c r="W45" s="385">
        <v>20</v>
      </c>
      <c r="X45" s="385" t="s">
        <v>70</v>
      </c>
      <c r="Y45" s="3831"/>
      <c r="Z45" s="3831"/>
      <c r="AA45" s="3400"/>
      <c r="AB45" s="3400"/>
      <c r="AC45" s="3831"/>
      <c r="AD45" s="3831"/>
      <c r="AE45" s="3831"/>
      <c r="AF45" s="3831"/>
      <c r="AG45" s="3831"/>
      <c r="AH45" s="3831"/>
      <c r="AI45" s="3831"/>
      <c r="AJ45" s="3831"/>
      <c r="AK45" s="4010"/>
      <c r="AL45" s="4010"/>
      <c r="AM45" s="3831"/>
      <c r="AN45" s="3831"/>
      <c r="AO45" s="3831"/>
      <c r="AP45" s="3831"/>
      <c r="AQ45" s="3831"/>
      <c r="AR45" s="3831"/>
      <c r="AS45" s="3831"/>
      <c r="AT45" s="3831"/>
      <c r="AU45" s="3831"/>
      <c r="AV45" s="3831"/>
      <c r="AW45" s="3831"/>
      <c r="AX45" s="3831"/>
      <c r="AY45" s="3831"/>
      <c r="AZ45" s="3831"/>
      <c r="BA45" s="3831"/>
      <c r="BB45" s="3831"/>
      <c r="BC45" s="3831"/>
      <c r="BD45" s="3831"/>
      <c r="BE45" s="3831"/>
      <c r="BF45" s="4007"/>
      <c r="BG45" s="4007"/>
      <c r="BH45" s="3972"/>
      <c r="BI45" s="2581"/>
      <c r="BJ45" s="2581"/>
      <c r="BK45" s="4003"/>
      <c r="BL45" s="3376"/>
      <c r="BM45" s="4003"/>
      <c r="BN45" s="3376"/>
      <c r="BO45" s="2581"/>
    </row>
    <row r="46" spans="1:67" s="99" customFormat="1" ht="51" customHeight="1" x14ac:dyDescent="0.2">
      <c r="A46" s="518"/>
      <c r="B46" s="519"/>
      <c r="C46" s="550"/>
      <c r="D46" s="551"/>
      <c r="E46" s="550"/>
      <c r="F46" s="551"/>
      <c r="G46" s="3319"/>
      <c r="H46" s="3872"/>
      <c r="I46" s="3419"/>
      <c r="J46" s="3998"/>
      <c r="K46" s="4000"/>
      <c r="L46" s="3915"/>
      <c r="M46" s="3891"/>
      <c r="N46" s="3872"/>
      <c r="O46" s="3996"/>
      <c r="P46" s="3960"/>
      <c r="Q46" s="3872"/>
      <c r="R46" s="3419"/>
      <c r="S46" s="535" t="s">
        <v>544</v>
      </c>
      <c r="T46" s="584">
        <v>13000000</v>
      </c>
      <c r="U46" s="371">
        <v>8080333</v>
      </c>
      <c r="V46" s="371">
        <v>4270000</v>
      </c>
      <c r="W46" s="385">
        <v>20</v>
      </c>
      <c r="X46" s="385" t="s">
        <v>70</v>
      </c>
      <c r="Y46" s="3831"/>
      <c r="Z46" s="3831"/>
      <c r="AA46" s="3400"/>
      <c r="AB46" s="3400"/>
      <c r="AC46" s="3831"/>
      <c r="AD46" s="3831"/>
      <c r="AE46" s="3831"/>
      <c r="AF46" s="3831"/>
      <c r="AG46" s="3831"/>
      <c r="AH46" s="3831"/>
      <c r="AI46" s="3831"/>
      <c r="AJ46" s="3831"/>
      <c r="AK46" s="4010"/>
      <c r="AL46" s="4010"/>
      <c r="AM46" s="3831"/>
      <c r="AN46" s="3831"/>
      <c r="AO46" s="3831"/>
      <c r="AP46" s="3831"/>
      <c r="AQ46" s="3831"/>
      <c r="AR46" s="3831"/>
      <c r="AS46" s="3831"/>
      <c r="AT46" s="3831"/>
      <c r="AU46" s="3831"/>
      <c r="AV46" s="3831"/>
      <c r="AW46" s="3831"/>
      <c r="AX46" s="3831"/>
      <c r="AY46" s="3831"/>
      <c r="AZ46" s="3831"/>
      <c r="BA46" s="3831"/>
      <c r="BB46" s="3831"/>
      <c r="BC46" s="3831"/>
      <c r="BD46" s="3831"/>
      <c r="BE46" s="3831"/>
      <c r="BF46" s="4007"/>
      <c r="BG46" s="4007"/>
      <c r="BH46" s="3972"/>
      <c r="BI46" s="2581"/>
      <c r="BJ46" s="2581"/>
      <c r="BK46" s="4003"/>
      <c r="BL46" s="3376"/>
      <c r="BM46" s="4003"/>
      <c r="BN46" s="3376"/>
      <c r="BO46" s="2581"/>
    </row>
    <row r="47" spans="1:67" s="99" customFormat="1" ht="63.75" customHeight="1" x14ac:dyDescent="0.2">
      <c r="A47" s="518"/>
      <c r="B47" s="519"/>
      <c r="C47" s="550"/>
      <c r="D47" s="551"/>
      <c r="E47" s="550"/>
      <c r="F47" s="551"/>
      <c r="G47" s="3319"/>
      <c r="H47" s="3872"/>
      <c r="I47" s="3419"/>
      <c r="J47" s="3998"/>
      <c r="K47" s="4000"/>
      <c r="L47" s="3915"/>
      <c r="M47" s="3891"/>
      <c r="N47" s="3872"/>
      <c r="O47" s="3996"/>
      <c r="P47" s="3960"/>
      <c r="Q47" s="3872"/>
      <c r="R47" s="3419"/>
      <c r="S47" s="535" t="s">
        <v>545</v>
      </c>
      <c r="T47" s="584">
        <v>9000000</v>
      </c>
      <c r="U47" s="371">
        <v>8080333</v>
      </c>
      <c r="V47" s="371">
        <v>4270000</v>
      </c>
      <c r="W47" s="385">
        <v>20</v>
      </c>
      <c r="X47" s="385" t="s">
        <v>70</v>
      </c>
      <c r="Y47" s="3831"/>
      <c r="Z47" s="3831"/>
      <c r="AA47" s="3400"/>
      <c r="AB47" s="3400"/>
      <c r="AC47" s="3831"/>
      <c r="AD47" s="3831"/>
      <c r="AE47" s="3831"/>
      <c r="AF47" s="3831"/>
      <c r="AG47" s="3831"/>
      <c r="AH47" s="3831"/>
      <c r="AI47" s="3831"/>
      <c r="AJ47" s="3831"/>
      <c r="AK47" s="4010"/>
      <c r="AL47" s="4010"/>
      <c r="AM47" s="3831"/>
      <c r="AN47" s="3831"/>
      <c r="AO47" s="3831"/>
      <c r="AP47" s="3831"/>
      <c r="AQ47" s="3831"/>
      <c r="AR47" s="3831"/>
      <c r="AS47" s="3831"/>
      <c r="AT47" s="3831"/>
      <c r="AU47" s="3831"/>
      <c r="AV47" s="3831"/>
      <c r="AW47" s="3831"/>
      <c r="AX47" s="3831"/>
      <c r="AY47" s="3831"/>
      <c r="AZ47" s="3831"/>
      <c r="BA47" s="3831"/>
      <c r="BB47" s="3831"/>
      <c r="BC47" s="3831"/>
      <c r="BD47" s="3831"/>
      <c r="BE47" s="3831"/>
      <c r="BF47" s="4007"/>
      <c r="BG47" s="4007"/>
      <c r="BH47" s="3972"/>
      <c r="BI47" s="2581"/>
      <c r="BJ47" s="2581"/>
      <c r="BK47" s="4003"/>
      <c r="BL47" s="3376"/>
      <c r="BM47" s="4003"/>
      <c r="BN47" s="3376"/>
      <c r="BO47" s="2581"/>
    </row>
    <row r="48" spans="1:67" s="99" customFormat="1" ht="46.5" customHeight="1" x14ac:dyDescent="0.2">
      <c r="A48" s="518"/>
      <c r="B48" s="519"/>
      <c r="C48" s="550"/>
      <c r="D48" s="551"/>
      <c r="E48" s="550"/>
      <c r="F48" s="551"/>
      <c r="G48" s="3319"/>
      <c r="H48" s="3872"/>
      <c r="I48" s="3419"/>
      <c r="J48" s="3998"/>
      <c r="K48" s="4000"/>
      <c r="L48" s="3915"/>
      <c r="M48" s="3891"/>
      <c r="N48" s="3872"/>
      <c r="O48" s="3996"/>
      <c r="P48" s="3960"/>
      <c r="Q48" s="3872"/>
      <c r="R48" s="3419"/>
      <c r="S48" s="535" t="s">
        <v>546</v>
      </c>
      <c r="T48" s="584">
        <v>9000000</v>
      </c>
      <c r="U48" s="371">
        <v>0</v>
      </c>
      <c r="V48" s="371"/>
      <c r="W48" s="385">
        <v>20</v>
      </c>
      <c r="X48" s="385" t="s">
        <v>70</v>
      </c>
      <c r="Y48" s="3831"/>
      <c r="Z48" s="3831"/>
      <c r="AA48" s="3400"/>
      <c r="AB48" s="3400"/>
      <c r="AC48" s="3831"/>
      <c r="AD48" s="3831"/>
      <c r="AE48" s="3831"/>
      <c r="AF48" s="3831"/>
      <c r="AG48" s="3831"/>
      <c r="AH48" s="3831"/>
      <c r="AI48" s="3831"/>
      <c r="AJ48" s="3831"/>
      <c r="AK48" s="4010"/>
      <c r="AL48" s="4010"/>
      <c r="AM48" s="3831"/>
      <c r="AN48" s="3831"/>
      <c r="AO48" s="3831"/>
      <c r="AP48" s="3831"/>
      <c r="AQ48" s="3831"/>
      <c r="AR48" s="3831"/>
      <c r="AS48" s="3831"/>
      <c r="AT48" s="3831"/>
      <c r="AU48" s="3831"/>
      <c r="AV48" s="3831"/>
      <c r="AW48" s="3831"/>
      <c r="AX48" s="3831"/>
      <c r="AY48" s="3831"/>
      <c r="AZ48" s="3831"/>
      <c r="BA48" s="3831"/>
      <c r="BB48" s="3831"/>
      <c r="BC48" s="3831"/>
      <c r="BD48" s="3831"/>
      <c r="BE48" s="3831"/>
      <c r="BF48" s="4007"/>
      <c r="BG48" s="4007"/>
      <c r="BH48" s="3972"/>
      <c r="BI48" s="2581"/>
      <c r="BJ48" s="2581"/>
      <c r="BK48" s="4003"/>
      <c r="BL48" s="3376"/>
      <c r="BM48" s="4003"/>
      <c r="BN48" s="3376"/>
      <c r="BO48" s="2581"/>
    </row>
    <row r="49" spans="1:67" s="99" customFormat="1" ht="52.5" customHeight="1" x14ac:dyDescent="0.2">
      <c r="A49" s="518"/>
      <c r="B49" s="519"/>
      <c r="C49" s="550"/>
      <c r="D49" s="551"/>
      <c r="E49" s="550"/>
      <c r="F49" s="551"/>
      <c r="G49" s="3319"/>
      <c r="H49" s="3873"/>
      <c r="I49" s="3963"/>
      <c r="J49" s="3999"/>
      <c r="K49" s="4000"/>
      <c r="L49" s="3915"/>
      <c r="M49" s="3891"/>
      <c r="N49" s="3872"/>
      <c r="O49" s="4001"/>
      <c r="P49" s="3960"/>
      <c r="Q49" s="3872"/>
      <c r="R49" s="3419"/>
      <c r="S49" s="535" t="s">
        <v>547</v>
      </c>
      <c r="T49" s="584">
        <v>1000000</v>
      </c>
      <c r="U49" s="371">
        <v>0</v>
      </c>
      <c r="V49" s="371"/>
      <c r="W49" s="385">
        <v>20</v>
      </c>
      <c r="X49" s="385" t="s">
        <v>70</v>
      </c>
      <c r="Y49" s="3831"/>
      <c r="Z49" s="3831"/>
      <c r="AA49" s="3400"/>
      <c r="AB49" s="3400"/>
      <c r="AC49" s="3831"/>
      <c r="AD49" s="3831"/>
      <c r="AE49" s="3831"/>
      <c r="AF49" s="3831"/>
      <c r="AG49" s="3831"/>
      <c r="AH49" s="3831"/>
      <c r="AI49" s="3831"/>
      <c r="AJ49" s="3831"/>
      <c r="AK49" s="4010"/>
      <c r="AL49" s="4010"/>
      <c r="AM49" s="3831"/>
      <c r="AN49" s="3831"/>
      <c r="AO49" s="3831"/>
      <c r="AP49" s="3831"/>
      <c r="AQ49" s="3831"/>
      <c r="AR49" s="3831"/>
      <c r="AS49" s="3831"/>
      <c r="AT49" s="3831"/>
      <c r="AU49" s="3831"/>
      <c r="AV49" s="3831"/>
      <c r="AW49" s="3831"/>
      <c r="AX49" s="3831"/>
      <c r="AY49" s="3831"/>
      <c r="AZ49" s="3831"/>
      <c r="BA49" s="3831"/>
      <c r="BB49" s="3831"/>
      <c r="BC49" s="3831"/>
      <c r="BD49" s="3831"/>
      <c r="BE49" s="3831"/>
      <c r="BF49" s="4007"/>
      <c r="BG49" s="4007"/>
      <c r="BH49" s="3972"/>
      <c r="BI49" s="2581"/>
      <c r="BJ49" s="2581"/>
      <c r="BK49" s="4003"/>
      <c r="BL49" s="3376"/>
      <c r="BM49" s="4003"/>
      <c r="BN49" s="3376"/>
      <c r="BO49" s="2581"/>
    </row>
    <row r="50" spans="1:67" s="99" customFormat="1" ht="89.25" customHeight="1" x14ac:dyDescent="0.2">
      <c r="A50" s="518"/>
      <c r="B50" s="519"/>
      <c r="C50" s="550"/>
      <c r="D50" s="551"/>
      <c r="E50" s="550"/>
      <c r="F50" s="551"/>
      <c r="G50" s="3319"/>
      <c r="H50" s="3871" t="s">
        <v>548</v>
      </c>
      <c r="I50" s="3962" t="s">
        <v>549</v>
      </c>
      <c r="J50" s="3997">
        <v>2</v>
      </c>
      <c r="K50" s="4000">
        <v>1.9</v>
      </c>
      <c r="L50" s="3915"/>
      <c r="M50" s="3891"/>
      <c r="N50" s="3872"/>
      <c r="O50" s="3995">
        <f>SUM(T50:T52)/P44</f>
        <v>0.2857142857142857</v>
      </c>
      <c r="P50" s="3960"/>
      <c r="Q50" s="3872"/>
      <c r="R50" s="3419"/>
      <c r="S50" s="395" t="s">
        <v>550</v>
      </c>
      <c r="T50" s="584">
        <v>30000000</v>
      </c>
      <c r="U50" s="371">
        <v>0</v>
      </c>
      <c r="V50" s="371"/>
      <c r="W50" s="385">
        <v>20</v>
      </c>
      <c r="X50" s="385" t="s">
        <v>70</v>
      </c>
      <c r="Y50" s="3831"/>
      <c r="Z50" s="3831"/>
      <c r="AA50" s="3400"/>
      <c r="AB50" s="3400"/>
      <c r="AC50" s="3831"/>
      <c r="AD50" s="3831"/>
      <c r="AE50" s="3831"/>
      <c r="AF50" s="3831"/>
      <c r="AG50" s="3831"/>
      <c r="AH50" s="3831"/>
      <c r="AI50" s="3831"/>
      <c r="AJ50" s="3831"/>
      <c r="AK50" s="4010"/>
      <c r="AL50" s="4010"/>
      <c r="AM50" s="3831"/>
      <c r="AN50" s="3831"/>
      <c r="AO50" s="3831"/>
      <c r="AP50" s="3831"/>
      <c r="AQ50" s="3831"/>
      <c r="AR50" s="3831"/>
      <c r="AS50" s="3831"/>
      <c r="AT50" s="3831"/>
      <c r="AU50" s="3831"/>
      <c r="AV50" s="3831"/>
      <c r="AW50" s="3831"/>
      <c r="AX50" s="3831"/>
      <c r="AY50" s="3831"/>
      <c r="AZ50" s="3831"/>
      <c r="BA50" s="3831"/>
      <c r="BB50" s="3831"/>
      <c r="BC50" s="3831"/>
      <c r="BD50" s="3831"/>
      <c r="BE50" s="3831"/>
      <c r="BF50" s="4007"/>
      <c r="BG50" s="4007"/>
      <c r="BH50" s="3972"/>
      <c r="BI50" s="2581"/>
      <c r="BJ50" s="2581"/>
      <c r="BK50" s="4003"/>
      <c r="BL50" s="3376"/>
      <c r="BM50" s="4003"/>
      <c r="BN50" s="3376"/>
      <c r="BO50" s="2581"/>
    </row>
    <row r="51" spans="1:67" s="99" customFormat="1" ht="52.5" customHeight="1" x14ac:dyDescent="0.2">
      <c r="A51" s="518"/>
      <c r="B51" s="519"/>
      <c r="C51" s="550"/>
      <c r="D51" s="551"/>
      <c r="E51" s="550"/>
      <c r="F51" s="551"/>
      <c r="G51" s="3319"/>
      <c r="H51" s="3872"/>
      <c r="I51" s="3419"/>
      <c r="J51" s="3998"/>
      <c r="K51" s="4000"/>
      <c r="L51" s="3915"/>
      <c r="M51" s="3891"/>
      <c r="N51" s="3872"/>
      <c r="O51" s="3996"/>
      <c r="P51" s="3960"/>
      <c r="Q51" s="3872"/>
      <c r="R51" s="3419"/>
      <c r="S51" s="395" t="s">
        <v>551</v>
      </c>
      <c r="T51" s="584">
        <v>17000000</v>
      </c>
      <c r="U51" s="371">
        <v>8080333</v>
      </c>
      <c r="V51" s="371">
        <v>4270000</v>
      </c>
      <c r="W51" s="385">
        <v>20</v>
      </c>
      <c r="X51" s="385" t="s">
        <v>70</v>
      </c>
      <c r="Y51" s="3831"/>
      <c r="Z51" s="3831"/>
      <c r="AA51" s="3400"/>
      <c r="AB51" s="3400"/>
      <c r="AC51" s="3831"/>
      <c r="AD51" s="3831"/>
      <c r="AE51" s="3831"/>
      <c r="AF51" s="3831"/>
      <c r="AG51" s="3831"/>
      <c r="AH51" s="3831"/>
      <c r="AI51" s="3831"/>
      <c r="AJ51" s="3831"/>
      <c r="AK51" s="4010"/>
      <c r="AL51" s="4010"/>
      <c r="AM51" s="3831"/>
      <c r="AN51" s="3831"/>
      <c r="AO51" s="3831"/>
      <c r="AP51" s="3831"/>
      <c r="AQ51" s="3831"/>
      <c r="AR51" s="3831"/>
      <c r="AS51" s="3831"/>
      <c r="AT51" s="3831"/>
      <c r="AU51" s="3831"/>
      <c r="AV51" s="3831"/>
      <c r="AW51" s="3831"/>
      <c r="AX51" s="3831"/>
      <c r="AY51" s="3831"/>
      <c r="AZ51" s="3831"/>
      <c r="BA51" s="3831"/>
      <c r="BB51" s="3831"/>
      <c r="BC51" s="3831"/>
      <c r="BD51" s="3831"/>
      <c r="BE51" s="3831"/>
      <c r="BF51" s="4007"/>
      <c r="BG51" s="4007"/>
      <c r="BH51" s="3972"/>
      <c r="BI51" s="2581"/>
      <c r="BJ51" s="2581"/>
      <c r="BK51" s="4003"/>
      <c r="BL51" s="3376"/>
      <c r="BM51" s="4003"/>
      <c r="BN51" s="3376"/>
      <c r="BO51" s="2581"/>
    </row>
    <row r="52" spans="1:67" s="99" customFormat="1" ht="45" customHeight="1" x14ac:dyDescent="0.2">
      <c r="A52" s="518"/>
      <c r="B52" s="519"/>
      <c r="C52" s="550"/>
      <c r="D52" s="551"/>
      <c r="E52" s="550"/>
      <c r="F52" s="551"/>
      <c r="G52" s="3319"/>
      <c r="H52" s="3873"/>
      <c r="I52" s="3963"/>
      <c r="J52" s="3999"/>
      <c r="K52" s="4000"/>
      <c r="L52" s="3915"/>
      <c r="M52" s="3891"/>
      <c r="N52" s="3872"/>
      <c r="O52" s="4001"/>
      <c r="P52" s="3877"/>
      <c r="Q52" s="3872"/>
      <c r="R52" s="3419"/>
      <c r="S52" s="395" t="s">
        <v>552</v>
      </c>
      <c r="T52" s="584">
        <v>13000000</v>
      </c>
      <c r="U52" s="371">
        <v>8080333</v>
      </c>
      <c r="V52" s="371">
        <v>4270000</v>
      </c>
      <c r="W52" s="385">
        <v>20</v>
      </c>
      <c r="X52" s="385" t="s">
        <v>70</v>
      </c>
      <c r="Y52" s="3831"/>
      <c r="Z52" s="3831"/>
      <c r="AA52" s="3400"/>
      <c r="AB52" s="3400"/>
      <c r="AC52" s="3831"/>
      <c r="AD52" s="3831"/>
      <c r="AE52" s="3831"/>
      <c r="AF52" s="3831"/>
      <c r="AG52" s="3831"/>
      <c r="AH52" s="3831"/>
      <c r="AI52" s="3831"/>
      <c r="AJ52" s="3831"/>
      <c r="AK52" s="4010"/>
      <c r="AL52" s="4010"/>
      <c r="AM52" s="3831"/>
      <c r="AN52" s="3831"/>
      <c r="AO52" s="3831"/>
      <c r="AP52" s="3831"/>
      <c r="AQ52" s="3831"/>
      <c r="AR52" s="3831"/>
      <c r="AS52" s="3831"/>
      <c r="AT52" s="3831"/>
      <c r="AU52" s="3831"/>
      <c r="AV52" s="3831"/>
      <c r="AW52" s="3831"/>
      <c r="AX52" s="3831"/>
      <c r="AY52" s="3831"/>
      <c r="AZ52" s="3831"/>
      <c r="BA52" s="3831"/>
      <c r="BB52" s="3831"/>
      <c r="BC52" s="3831"/>
      <c r="BD52" s="3831"/>
      <c r="BE52" s="3831"/>
      <c r="BF52" s="4007"/>
      <c r="BG52" s="4007"/>
      <c r="BH52" s="3972"/>
      <c r="BI52" s="2581"/>
      <c r="BJ52" s="2581"/>
      <c r="BK52" s="4003"/>
      <c r="BL52" s="3376"/>
      <c r="BM52" s="4003"/>
      <c r="BN52" s="3376"/>
      <c r="BO52" s="2581"/>
    </row>
    <row r="53" spans="1:67" s="99" customFormat="1" ht="50.25" customHeight="1" x14ac:dyDescent="0.2">
      <c r="A53" s="518"/>
      <c r="B53" s="519"/>
      <c r="C53" s="550"/>
      <c r="D53" s="551"/>
      <c r="E53" s="550"/>
      <c r="F53" s="551"/>
      <c r="G53" s="3319"/>
      <c r="H53" s="3871" t="s">
        <v>553</v>
      </c>
      <c r="I53" s="3962" t="s">
        <v>554</v>
      </c>
      <c r="J53" s="3997">
        <v>1</v>
      </c>
      <c r="K53" s="3992">
        <v>0.9</v>
      </c>
      <c r="L53" s="3915"/>
      <c r="M53" s="3891"/>
      <c r="N53" s="3872"/>
      <c r="O53" s="3995">
        <f>SUM(T53:T55)/P44</f>
        <v>0.30952380952380953</v>
      </c>
      <c r="P53" s="3877"/>
      <c r="Q53" s="3872"/>
      <c r="R53" s="3419"/>
      <c r="S53" s="395" t="s">
        <v>555</v>
      </c>
      <c r="T53" s="584">
        <v>42000000</v>
      </c>
      <c r="U53" s="371">
        <v>0</v>
      </c>
      <c r="V53" s="371"/>
      <c r="W53" s="385">
        <v>20</v>
      </c>
      <c r="X53" s="385" t="s">
        <v>70</v>
      </c>
      <c r="Y53" s="3831"/>
      <c r="Z53" s="3831"/>
      <c r="AA53" s="3400"/>
      <c r="AB53" s="3400"/>
      <c r="AC53" s="3831"/>
      <c r="AD53" s="3831"/>
      <c r="AE53" s="3831"/>
      <c r="AF53" s="3831"/>
      <c r="AG53" s="3831"/>
      <c r="AH53" s="3831"/>
      <c r="AI53" s="3831"/>
      <c r="AJ53" s="3831"/>
      <c r="AK53" s="4010"/>
      <c r="AL53" s="4010"/>
      <c r="AM53" s="3831"/>
      <c r="AN53" s="3831"/>
      <c r="AO53" s="3831"/>
      <c r="AP53" s="3831"/>
      <c r="AQ53" s="3831"/>
      <c r="AR53" s="3831"/>
      <c r="AS53" s="3831"/>
      <c r="AT53" s="3831"/>
      <c r="AU53" s="3831"/>
      <c r="AV53" s="3831"/>
      <c r="AW53" s="3831"/>
      <c r="AX53" s="3831"/>
      <c r="AY53" s="3831"/>
      <c r="AZ53" s="3831"/>
      <c r="BA53" s="3831"/>
      <c r="BB53" s="3831"/>
      <c r="BC53" s="3831"/>
      <c r="BD53" s="3831"/>
      <c r="BE53" s="3831"/>
      <c r="BF53" s="4007"/>
      <c r="BG53" s="4007"/>
      <c r="BH53" s="3972"/>
      <c r="BI53" s="2581"/>
      <c r="BJ53" s="2581"/>
      <c r="BK53" s="4003"/>
      <c r="BL53" s="3376"/>
      <c r="BM53" s="4003"/>
      <c r="BN53" s="3376"/>
      <c r="BO53" s="2581"/>
    </row>
    <row r="54" spans="1:67" s="99" customFormat="1" ht="54" customHeight="1" x14ac:dyDescent="0.2">
      <c r="A54" s="518"/>
      <c r="B54" s="519"/>
      <c r="C54" s="550"/>
      <c r="D54" s="551"/>
      <c r="E54" s="550"/>
      <c r="F54" s="551"/>
      <c r="G54" s="3319"/>
      <c r="H54" s="3872"/>
      <c r="I54" s="3419"/>
      <c r="J54" s="3998"/>
      <c r="K54" s="3993"/>
      <c r="L54" s="3915"/>
      <c r="M54" s="3891"/>
      <c r="N54" s="3872"/>
      <c r="O54" s="3996"/>
      <c r="P54" s="3877"/>
      <c r="Q54" s="3872"/>
      <c r="R54" s="3419"/>
      <c r="S54" s="395" t="s">
        <v>556</v>
      </c>
      <c r="T54" s="584">
        <v>14000000</v>
      </c>
      <c r="U54" s="371">
        <v>0</v>
      </c>
      <c r="V54" s="371"/>
      <c r="W54" s="385">
        <v>20</v>
      </c>
      <c r="X54" s="385" t="s">
        <v>70</v>
      </c>
      <c r="Y54" s="3831"/>
      <c r="Z54" s="3831"/>
      <c r="AA54" s="3400"/>
      <c r="AB54" s="3400"/>
      <c r="AC54" s="3831"/>
      <c r="AD54" s="3831"/>
      <c r="AE54" s="3831"/>
      <c r="AF54" s="3831"/>
      <c r="AG54" s="3831"/>
      <c r="AH54" s="3831"/>
      <c r="AI54" s="3831"/>
      <c r="AJ54" s="3831"/>
      <c r="AK54" s="4010"/>
      <c r="AL54" s="4010"/>
      <c r="AM54" s="3831"/>
      <c r="AN54" s="3831"/>
      <c r="AO54" s="3831"/>
      <c r="AP54" s="3831"/>
      <c r="AQ54" s="3831"/>
      <c r="AR54" s="3831"/>
      <c r="AS54" s="3831"/>
      <c r="AT54" s="3831"/>
      <c r="AU54" s="3831"/>
      <c r="AV54" s="3831"/>
      <c r="AW54" s="3831"/>
      <c r="AX54" s="3831"/>
      <c r="AY54" s="3831"/>
      <c r="AZ54" s="3831"/>
      <c r="BA54" s="3831"/>
      <c r="BB54" s="3831"/>
      <c r="BC54" s="3831"/>
      <c r="BD54" s="3831"/>
      <c r="BE54" s="3831"/>
      <c r="BF54" s="4007"/>
      <c r="BG54" s="4007"/>
      <c r="BH54" s="3972"/>
      <c r="BI54" s="2581"/>
      <c r="BJ54" s="2581"/>
      <c r="BK54" s="4003"/>
      <c r="BL54" s="3376"/>
      <c r="BM54" s="4003"/>
      <c r="BN54" s="3376"/>
      <c r="BO54" s="2581"/>
    </row>
    <row r="55" spans="1:67" s="99" customFormat="1" ht="48.75" customHeight="1" x14ac:dyDescent="0.2">
      <c r="A55" s="518"/>
      <c r="B55" s="519"/>
      <c r="C55" s="550"/>
      <c r="D55" s="551"/>
      <c r="E55" s="550"/>
      <c r="F55" s="551"/>
      <c r="G55" s="4016"/>
      <c r="H55" s="3872"/>
      <c r="I55" s="3419"/>
      <c r="J55" s="3998"/>
      <c r="K55" s="3994"/>
      <c r="L55" s="3915"/>
      <c r="M55" s="3891"/>
      <c r="N55" s="3872"/>
      <c r="O55" s="3996"/>
      <c r="P55" s="3877"/>
      <c r="Q55" s="3872"/>
      <c r="R55" s="3963"/>
      <c r="S55" s="395" t="s">
        <v>557</v>
      </c>
      <c r="T55" s="584">
        <v>9000000</v>
      </c>
      <c r="U55" s="371">
        <v>0</v>
      </c>
      <c r="V55" s="371"/>
      <c r="W55" s="385">
        <v>20</v>
      </c>
      <c r="X55" s="385" t="s">
        <v>70</v>
      </c>
      <c r="Y55" s="3858"/>
      <c r="Z55" s="3858"/>
      <c r="AA55" s="3400"/>
      <c r="AB55" s="4012"/>
      <c r="AC55" s="3858"/>
      <c r="AD55" s="3858"/>
      <c r="AE55" s="3831"/>
      <c r="AF55" s="3858"/>
      <c r="AG55" s="3831"/>
      <c r="AH55" s="3858"/>
      <c r="AI55" s="3831"/>
      <c r="AJ55" s="3858"/>
      <c r="AK55" s="4010"/>
      <c r="AL55" s="4011"/>
      <c r="AM55" s="3831"/>
      <c r="AN55" s="3858"/>
      <c r="AO55" s="3831"/>
      <c r="AP55" s="3858"/>
      <c r="AQ55" s="3831"/>
      <c r="AR55" s="3858"/>
      <c r="AS55" s="3831"/>
      <c r="AT55" s="3858"/>
      <c r="AU55" s="3831"/>
      <c r="AV55" s="3858"/>
      <c r="AW55" s="3831"/>
      <c r="AX55" s="3858"/>
      <c r="AY55" s="3831"/>
      <c r="AZ55" s="3858"/>
      <c r="BA55" s="3831"/>
      <c r="BB55" s="3858"/>
      <c r="BC55" s="3831"/>
      <c r="BD55" s="3858"/>
      <c r="BE55" s="3858"/>
      <c r="BF55" s="4008"/>
      <c r="BG55" s="4008"/>
      <c r="BH55" s="3973"/>
      <c r="BI55" s="2582"/>
      <c r="BJ55" s="2582"/>
      <c r="BK55" s="4004"/>
      <c r="BL55" s="3376"/>
      <c r="BM55" s="4004"/>
      <c r="BN55" s="3376"/>
      <c r="BO55" s="2582"/>
    </row>
    <row r="56" spans="1:67" ht="15" x14ac:dyDescent="0.2">
      <c r="A56" s="518"/>
      <c r="B56" s="519"/>
      <c r="C56" s="550"/>
      <c r="D56" s="551"/>
      <c r="E56" s="529">
        <v>61</v>
      </c>
      <c r="F56" s="285" t="s">
        <v>558</v>
      </c>
      <c r="G56" s="531"/>
      <c r="H56" s="552"/>
      <c r="I56" s="552"/>
      <c r="J56" s="287"/>
      <c r="K56" s="553"/>
      <c r="L56" s="554"/>
      <c r="M56" s="554"/>
      <c r="N56" s="287"/>
      <c r="O56" s="287"/>
      <c r="P56" s="287"/>
      <c r="Q56" s="552"/>
      <c r="R56" s="552"/>
      <c r="S56" s="552"/>
      <c r="T56" s="585"/>
      <c r="U56" s="583"/>
      <c r="V56" s="583"/>
      <c r="W56" s="531"/>
      <c r="X56" s="531"/>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287"/>
      <c r="BE56" s="530"/>
      <c r="BF56" s="583"/>
      <c r="BG56" s="583"/>
      <c r="BH56" s="530"/>
      <c r="BI56" s="530"/>
      <c r="BJ56" s="530"/>
      <c r="BK56" s="530"/>
      <c r="BL56" s="530"/>
      <c r="BM56" s="530"/>
      <c r="BN56" s="530"/>
      <c r="BO56" s="534"/>
    </row>
    <row r="57" spans="1:67" ht="57" x14ac:dyDescent="0.2">
      <c r="A57" s="518"/>
      <c r="B57" s="519"/>
      <c r="C57" s="550"/>
      <c r="D57" s="551"/>
      <c r="E57" s="563"/>
      <c r="F57" s="551"/>
      <c r="G57" s="4032">
        <v>190</v>
      </c>
      <c r="H57" s="3849" t="s">
        <v>559</v>
      </c>
      <c r="I57" s="3849" t="s">
        <v>560</v>
      </c>
      <c r="J57" s="3962">
        <v>1</v>
      </c>
      <c r="K57" s="3888">
        <v>0.95</v>
      </c>
      <c r="L57" s="3914" t="s">
        <v>561</v>
      </c>
      <c r="M57" s="3917" t="s">
        <v>562</v>
      </c>
      <c r="N57" s="3871" t="s">
        <v>563</v>
      </c>
      <c r="O57" s="3874">
        <f>SUM(T57:T73)/P57</f>
        <v>1</v>
      </c>
      <c r="P57" s="3988">
        <f>SUM(T57:T73)</f>
        <v>200000000</v>
      </c>
      <c r="Q57" s="3990" t="s">
        <v>564</v>
      </c>
      <c r="R57" s="2496" t="s">
        <v>565</v>
      </c>
      <c r="S57" s="380" t="s">
        <v>566</v>
      </c>
      <c r="T57" s="579">
        <v>5500000</v>
      </c>
      <c r="U57" s="371">
        <v>0</v>
      </c>
      <c r="V57" s="371"/>
      <c r="W57" s="385">
        <v>20</v>
      </c>
      <c r="X57" s="385" t="s">
        <v>70</v>
      </c>
      <c r="Y57" s="3983">
        <v>2360</v>
      </c>
      <c r="Z57" s="3980">
        <v>35</v>
      </c>
      <c r="AA57" s="3983">
        <v>2360</v>
      </c>
      <c r="AB57" s="3980">
        <v>40</v>
      </c>
      <c r="AC57" s="3983">
        <v>1500</v>
      </c>
      <c r="AD57" s="3980">
        <v>11</v>
      </c>
      <c r="AE57" s="3983">
        <v>480</v>
      </c>
      <c r="AF57" s="3983">
        <v>19</v>
      </c>
      <c r="AG57" s="3983">
        <v>1200</v>
      </c>
      <c r="AH57" s="3983">
        <v>37</v>
      </c>
      <c r="AI57" s="3983">
        <v>1500</v>
      </c>
      <c r="AJ57" s="3983">
        <v>8</v>
      </c>
      <c r="AK57" s="3983">
        <v>20</v>
      </c>
      <c r="AL57" s="3980"/>
      <c r="AM57" s="3983">
        <v>20</v>
      </c>
      <c r="AN57" s="3980"/>
      <c r="AO57" s="3983"/>
      <c r="AP57" s="3980"/>
      <c r="AQ57" s="3983"/>
      <c r="AR57" s="3983"/>
      <c r="AS57" s="3983"/>
      <c r="AT57" s="3983"/>
      <c r="AU57" s="3983"/>
      <c r="AV57" s="3983"/>
      <c r="AW57" s="3983"/>
      <c r="AX57" s="3983"/>
      <c r="AY57" s="3983">
        <v>1000</v>
      </c>
      <c r="AZ57" s="3983">
        <v>75</v>
      </c>
      <c r="BA57" s="3928"/>
      <c r="BB57" s="3832"/>
      <c r="BC57" s="3984">
        <f>SUM(BA57+AY57+AW57+AU57+AS57+AQ57+AO57+AM57+AK57+AI57+AG57+AE57+AC57)</f>
        <v>5720</v>
      </c>
      <c r="BD57" s="3985">
        <f>SUM(BB57+AZ57+AX57+AV57+AT57+AR57+AP57+AN57+AL57+AJ57+AH57+AF57+AD57)</f>
        <v>150</v>
      </c>
      <c r="BE57" s="3833">
        <v>4</v>
      </c>
      <c r="BF57" s="3834">
        <f>SUM(U57:U73)</f>
        <v>32053333</v>
      </c>
      <c r="BG57" s="3834">
        <f>SUM(V57:V73)</f>
        <v>14400000</v>
      </c>
      <c r="BH57" s="3827">
        <f>BG57/BF57</f>
        <v>0.44925125259204712</v>
      </c>
      <c r="BI57" s="3833">
        <v>20</v>
      </c>
      <c r="BJ57" s="3828" t="s">
        <v>567</v>
      </c>
      <c r="BK57" s="3829">
        <v>43832</v>
      </c>
      <c r="BL57" s="3821">
        <v>43832</v>
      </c>
      <c r="BM57" s="3978">
        <v>43982</v>
      </c>
      <c r="BN57" s="3821">
        <v>43982</v>
      </c>
      <c r="BO57" s="2448" t="s">
        <v>478</v>
      </c>
    </row>
    <row r="58" spans="1:67" ht="28.5" x14ac:dyDescent="0.2">
      <c r="A58" s="518"/>
      <c r="B58" s="519"/>
      <c r="C58" s="550"/>
      <c r="D58" s="551"/>
      <c r="E58" s="550"/>
      <c r="F58" s="551"/>
      <c r="G58" s="2955"/>
      <c r="H58" s="3842"/>
      <c r="I58" s="3842"/>
      <c r="J58" s="3419"/>
      <c r="K58" s="3889"/>
      <c r="L58" s="3915"/>
      <c r="M58" s="3891"/>
      <c r="N58" s="3872"/>
      <c r="O58" s="3875"/>
      <c r="P58" s="3989"/>
      <c r="Q58" s="3991"/>
      <c r="R58" s="2497"/>
      <c r="S58" s="380" t="s">
        <v>568</v>
      </c>
      <c r="T58" s="579">
        <v>8000000</v>
      </c>
      <c r="U58" s="371">
        <v>0</v>
      </c>
      <c r="V58" s="371"/>
      <c r="W58" s="385">
        <v>20</v>
      </c>
      <c r="X58" s="385" t="s">
        <v>70</v>
      </c>
      <c r="Y58" s="3983"/>
      <c r="Z58" s="3981"/>
      <c r="AA58" s="3983"/>
      <c r="AB58" s="3981"/>
      <c r="AC58" s="3983"/>
      <c r="AD58" s="3981"/>
      <c r="AE58" s="3983"/>
      <c r="AF58" s="3983"/>
      <c r="AG58" s="3983"/>
      <c r="AH58" s="3983"/>
      <c r="AI58" s="3983"/>
      <c r="AJ58" s="3983"/>
      <c r="AK58" s="3983"/>
      <c r="AL58" s="3981"/>
      <c r="AM58" s="3983"/>
      <c r="AN58" s="3981"/>
      <c r="AO58" s="3983"/>
      <c r="AP58" s="3981"/>
      <c r="AQ58" s="3983"/>
      <c r="AR58" s="3983"/>
      <c r="AS58" s="3983"/>
      <c r="AT58" s="3983"/>
      <c r="AU58" s="3983"/>
      <c r="AV58" s="3983"/>
      <c r="AW58" s="3983"/>
      <c r="AX58" s="3983"/>
      <c r="AY58" s="3983"/>
      <c r="AZ58" s="3983"/>
      <c r="BA58" s="3928"/>
      <c r="BB58" s="3831"/>
      <c r="BC58" s="3928"/>
      <c r="BD58" s="3986"/>
      <c r="BE58" s="3409"/>
      <c r="BF58" s="3835"/>
      <c r="BG58" s="3835"/>
      <c r="BH58" s="2665"/>
      <c r="BI58" s="3409"/>
      <c r="BJ58" s="3427"/>
      <c r="BK58" s="3829"/>
      <c r="BL58" s="3822"/>
      <c r="BM58" s="3979"/>
      <c r="BN58" s="3822"/>
      <c r="BO58" s="2448"/>
    </row>
    <row r="59" spans="1:67" ht="42.75" x14ac:dyDescent="0.2">
      <c r="A59" s="518"/>
      <c r="B59" s="519"/>
      <c r="C59" s="550"/>
      <c r="D59" s="551"/>
      <c r="E59" s="550"/>
      <c r="F59" s="551"/>
      <c r="G59" s="2955"/>
      <c r="H59" s="3842"/>
      <c r="I59" s="3842"/>
      <c r="J59" s="3419"/>
      <c r="K59" s="3889"/>
      <c r="L59" s="3915"/>
      <c r="M59" s="3891"/>
      <c r="N59" s="3872"/>
      <c r="O59" s="3875"/>
      <c r="P59" s="3989"/>
      <c r="Q59" s="3991"/>
      <c r="R59" s="2497"/>
      <c r="S59" s="380" t="s">
        <v>569</v>
      </c>
      <c r="T59" s="579">
        <v>5000000</v>
      </c>
      <c r="U59" s="371">
        <v>0</v>
      </c>
      <c r="V59" s="371"/>
      <c r="W59" s="385">
        <v>20</v>
      </c>
      <c r="X59" s="385" t="s">
        <v>70</v>
      </c>
      <c r="Y59" s="3983"/>
      <c r="Z59" s="3981"/>
      <c r="AA59" s="3983"/>
      <c r="AB59" s="3981"/>
      <c r="AC59" s="3983"/>
      <c r="AD59" s="3981"/>
      <c r="AE59" s="3983"/>
      <c r="AF59" s="3983"/>
      <c r="AG59" s="3983"/>
      <c r="AH59" s="3983"/>
      <c r="AI59" s="3983"/>
      <c r="AJ59" s="3983"/>
      <c r="AK59" s="3983"/>
      <c r="AL59" s="3981"/>
      <c r="AM59" s="3983"/>
      <c r="AN59" s="3981"/>
      <c r="AO59" s="3983"/>
      <c r="AP59" s="3981"/>
      <c r="AQ59" s="3983"/>
      <c r="AR59" s="3983"/>
      <c r="AS59" s="3983"/>
      <c r="AT59" s="3983"/>
      <c r="AU59" s="3983"/>
      <c r="AV59" s="3983"/>
      <c r="AW59" s="3983"/>
      <c r="AX59" s="3983"/>
      <c r="AY59" s="3983"/>
      <c r="AZ59" s="3983"/>
      <c r="BA59" s="3928"/>
      <c r="BB59" s="3831"/>
      <c r="BC59" s="3928"/>
      <c r="BD59" s="3986"/>
      <c r="BE59" s="3409"/>
      <c r="BF59" s="3835"/>
      <c r="BG59" s="3835"/>
      <c r="BH59" s="2665"/>
      <c r="BI59" s="3409"/>
      <c r="BJ59" s="3427"/>
      <c r="BK59" s="3829"/>
      <c r="BL59" s="3822"/>
      <c r="BM59" s="3979"/>
      <c r="BN59" s="3822"/>
      <c r="BO59" s="2448"/>
    </row>
    <row r="60" spans="1:67" ht="57" x14ac:dyDescent="0.2">
      <c r="A60" s="518"/>
      <c r="B60" s="519"/>
      <c r="C60" s="550"/>
      <c r="D60" s="551"/>
      <c r="E60" s="550"/>
      <c r="F60" s="551"/>
      <c r="G60" s="2955"/>
      <c r="H60" s="3842"/>
      <c r="I60" s="3842"/>
      <c r="J60" s="3419"/>
      <c r="K60" s="3889"/>
      <c r="L60" s="3915"/>
      <c r="M60" s="3891"/>
      <c r="N60" s="3872"/>
      <c r="O60" s="3875"/>
      <c r="P60" s="3989"/>
      <c r="Q60" s="3991"/>
      <c r="R60" s="2497"/>
      <c r="S60" s="380" t="s">
        <v>570</v>
      </c>
      <c r="T60" s="579">
        <v>4000000</v>
      </c>
      <c r="U60" s="371">
        <v>0</v>
      </c>
      <c r="V60" s="371"/>
      <c r="W60" s="385">
        <v>20</v>
      </c>
      <c r="X60" s="385" t="s">
        <v>70</v>
      </c>
      <c r="Y60" s="3983"/>
      <c r="Z60" s="3981"/>
      <c r="AA60" s="3983"/>
      <c r="AB60" s="3981"/>
      <c r="AC60" s="3983"/>
      <c r="AD60" s="3981"/>
      <c r="AE60" s="3983"/>
      <c r="AF60" s="3983"/>
      <c r="AG60" s="3983"/>
      <c r="AH60" s="3983"/>
      <c r="AI60" s="3983"/>
      <c r="AJ60" s="3983"/>
      <c r="AK60" s="3983"/>
      <c r="AL60" s="3981"/>
      <c r="AM60" s="3983"/>
      <c r="AN60" s="3981"/>
      <c r="AO60" s="3983"/>
      <c r="AP60" s="3981"/>
      <c r="AQ60" s="3983"/>
      <c r="AR60" s="3983"/>
      <c r="AS60" s="3983"/>
      <c r="AT60" s="3983"/>
      <c r="AU60" s="3983"/>
      <c r="AV60" s="3983"/>
      <c r="AW60" s="3983"/>
      <c r="AX60" s="3983"/>
      <c r="AY60" s="3983"/>
      <c r="AZ60" s="3983"/>
      <c r="BA60" s="3928"/>
      <c r="BB60" s="3831"/>
      <c r="BC60" s="3928"/>
      <c r="BD60" s="3986"/>
      <c r="BE60" s="3409"/>
      <c r="BF60" s="3835"/>
      <c r="BG60" s="3835"/>
      <c r="BH60" s="2665"/>
      <c r="BI60" s="3409"/>
      <c r="BJ60" s="3427"/>
      <c r="BK60" s="3829"/>
      <c r="BL60" s="3822"/>
      <c r="BM60" s="3979"/>
      <c r="BN60" s="3822"/>
      <c r="BO60" s="2448"/>
    </row>
    <row r="61" spans="1:67" ht="110.25" customHeight="1" x14ac:dyDescent="0.2">
      <c r="A61" s="518"/>
      <c r="B61" s="519"/>
      <c r="C61" s="550"/>
      <c r="D61" s="551"/>
      <c r="E61" s="550"/>
      <c r="F61" s="551"/>
      <c r="G61" s="2955"/>
      <c r="H61" s="3842"/>
      <c r="I61" s="3842"/>
      <c r="J61" s="3419"/>
      <c r="K61" s="3889"/>
      <c r="L61" s="3915"/>
      <c r="M61" s="3891"/>
      <c r="N61" s="3872"/>
      <c r="O61" s="3875"/>
      <c r="P61" s="3989"/>
      <c r="Q61" s="3991"/>
      <c r="R61" s="2497"/>
      <c r="S61" s="380" t="s">
        <v>571</v>
      </c>
      <c r="T61" s="579">
        <v>20000000</v>
      </c>
      <c r="U61" s="371">
        <v>3561482</v>
      </c>
      <c r="V61" s="371">
        <v>1600000</v>
      </c>
      <c r="W61" s="385">
        <v>20</v>
      </c>
      <c r="X61" s="385" t="s">
        <v>70</v>
      </c>
      <c r="Y61" s="3983"/>
      <c r="Z61" s="3981"/>
      <c r="AA61" s="3983"/>
      <c r="AB61" s="3981"/>
      <c r="AC61" s="3983"/>
      <c r="AD61" s="3981"/>
      <c r="AE61" s="3983"/>
      <c r="AF61" s="3983"/>
      <c r="AG61" s="3983"/>
      <c r="AH61" s="3983"/>
      <c r="AI61" s="3983"/>
      <c r="AJ61" s="3983"/>
      <c r="AK61" s="3983"/>
      <c r="AL61" s="3981"/>
      <c r="AM61" s="3983"/>
      <c r="AN61" s="3981"/>
      <c r="AO61" s="3983"/>
      <c r="AP61" s="3981"/>
      <c r="AQ61" s="3983"/>
      <c r="AR61" s="3983"/>
      <c r="AS61" s="3983"/>
      <c r="AT61" s="3983"/>
      <c r="AU61" s="3983"/>
      <c r="AV61" s="3983"/>
      <c r="AW61" s="3983"/>
      <c r="AX61" s="3983"/>
      <c r="AY61" s="3983"/>
      <c r="AZ61" s="3983"/>
      <c r="BA61" s="3928"/>
      <c r="BB61" s="3831"/>
      <c r="BC61" s="3928"/>
      <c r="BD61" s="3986"/>
      <c r="BE61" s="3409"/>
      <c r="BF61" s="3835"/>
      <c r="BG61" s="3835"/>
      <c r="BH61" s="2665"/>
      <c r="BI61" s="3409"/>
      <c r="BJ61" s="3427"/>
      <c r="BK61" s="3829"/>
      <c r="BL61" s="3822"/>
      <c r="BM61" s="3979"/>
      <c r="BN61" s="3822"/>
      <c r="BO61" s="2448"/>
    </row>
    <row r="62" spans="1:67" ht="55.5" customHeight="1" x14ac:dyDescent="0.2">
      <c r="A62" s="518"/>
      <c r="B62" s="519"/>
      <c r="C62" s="550"/>
      <c r="D62" s="551"/>
      <c r="E62" s="550"/>
      <c r="F62" s="551"/>
      <c r="G62" s="2955"/>
      <c r="H62" s="3842"/>
      <c r="I62" s="3842"/>
      <c r="J62" s="3419"/>
      <c r="K62" s="3889"/>
      <c r="L62" s="3915"/>
      <c r="M62" s="3891"/>
      <c r="N62" s="3872"/>
      <c r="O62" s="3875"/>
      <c r="P62" s="3989"/>
      <c r="Q62" s="3991"/>
      <c r="R62" s="2497"/>
      <c r="S62" s="380" t="s">
        <v>572</v>
      </c>
      <c r="T62" s="579">
        <v>8500000</v>
      </c>
      <c r="U62" s="371">
        <v>3561482</v>
      </c>
      <c r="V62" s="371">
        <v>1600000</v>
      </c>
      <c r="W62" s="385">
        <v>20</v>
      </c>
      <c r="X62" s="385" t="s">
        <v>70</v>
      </c>
      <c r="Y62" s="3983"/>
      <c r="Z62" s="3981"/>
      <c r="AA62" s="3983"/>
      <c r="AB62" s="3981"/>
      <c r="AC62" s="3983"/>
      <c r="AD62" s="3981"/>
      <c r="AE62" s="3983"/>
      <c r="AF62" s="3983"/>
      <c r="AG62" s="3983"/>
      <c r="AH62" s="3983"/>
      <c r="AI62" s="3983"/>
      <c r="AJ62" s="3983"/>
      <c r="AK62" s="3983"/>
      <c r="AL62" s="3981"/>
      <c r="AM62" s="3983"/>
      <c r="AN62" s="3981"/>
      <c r="AO62" s="3983"/>
      <c r="AP62" s="3981"/>
      <c r="AQ62" s="3983"/>
      <c r="AR62" s="3983"/>
      <c r="AS62" s="3983"/>
      <c r="AT62" s="3983"/>
      <c r="AU62" s="3983"/>
      <c r="AV62" s="3983"/>
      <c r="AW62" s="3983"/>
      <c r="AX62" s="3983"/>
      <c r="AY62" s="3983"/>
      <c r="AZ62" s="3983"/>
      <c r="BA62" s="3928"/>
      <c r="BB62" s="3831"/>
      <c r="BC62" s="3928"/>
      <c r="BD62" s="3986"/>
      <c r="BE62" s="3409"/>
      <c r="BF62" s="3835"/>
      <c r="BG62" s="3835"/>
      <c r="BH62" s="2665"/>
      <c r="BI62" s="3409"/>
      <c r="BJ62" s="3427"/>
      <c r="BK62" s="3829"/>
      <c r="BL62" s="3822"/>
      <c r="BM62" s="3979"/>
      <c r="BN62" s="3822"/>
      <c r="BO62" s="2448"/>
    </row>
    <row r="63" spans="1:67" ht="102.75" customHeight="1" x14ac:dyDescent="0.2">
      <c r="A63" s="518"/>
      <c r="B63" s="519"/>
      <c r="C63" s="550"/>
      <c r="D63" s="551"/>
      <c r="E63" s="550"/>
      <c r="F63" s="551"/>
      <c r="G63" s="2955"/>
      <c r="H63" s="3842"/>
      <c r="I63" s="3842"/>
      <c r="J63" s="3419"/>
      <c r="K63" s="3889"/>
      <c r="L63" s="3915"/>
      <c r="M63" s="3891"/>
      <c r="N63" s="3872"/>
      <c r="O63" s="3875"/>
      <c r="P63" s="3989"/>
      <c r="Q63" s="3991"/>
      <c r="R63" s="2497"/>
      <c r="S63" s="380" t="s">
        <v>573</v>
      </c>
      <c r="T63" s="579">
        <v>6000000</v>
      </c>
      <c r="U63" s="371">
        <v>3561481</v>
      </c>
      <c r="V63" s="371">
        <v>1600000</v>
      </c>
      <c r="W63" s="385">
        <v>20</v>
      </c>
      <c r="X63" s="385" t="s">
        <v>70</v>
      </c>
      <c r="Y63" s="3983"/>
      <c r="Z63" s="3981"/>
      <c r="AA63" s="3983"/>
      <c r="AB63" s="3981"/>
      <c r="AC63" s="3983"/>
      <c r="AD63" s="3981"/>
      <c r="AE63" s="3983"/>
      <c r="AF63" s="3983"/>
      <c r="AG63" s="3983"/>
      <c r="AH63" s="3983"/>
      <c r="AI63" s="3983"/>
      <c r="AJ63" s="3983"/>
      <c r="AK63" s="3983"/>
      <c r="AL63" s="3981"/>
      <c r="AM63" s="3983"/>
      <c r="AN63" s="3981"/>
      <c r="AO63" s="3983"/>
      <c r="AP63" s="3981"/>
      <c r="AQ63" s="3983"/>
      <c r="AR63" s="3983"/>
      <c r="AS63" s="3983"/>
      <c r="AT63" s="3983"/>
      <c r="AU63" s="3983"/>
      <c r="AV63" s="3983"/>
      <c r="AW63" s="3983"/>
      <c r="AX63" s="3983"/>
      <c r="AY63" s="3983"/>
      <c r="AZ63" s="3983"/>
      <c r="BA63" s="3928"/>
      <c r="BB63" s="3831"/>
      <c r="BC63" s="3928"/>
      <c r="BD63" s="3986"/>
      <c r="BE63" s="3409"/>
      <c r="BF63" s="3835"/>
      <c r="BG63" s="3835"/>
      <c r="BH63" s="2665"/>
      <c r="BI63" s="3409"/>
      <c r="BJ63" s="3427"/>
      <c r="BK63" s="3829"/>
      <c r="BL63" s="3822"/>
      <c r="BM63" s="3979"/>
      <c r="BN63" s="3822"/>
      <c r="BO63" s="2448"/>
    </row>
    <row r="64" spans="1:67" ht="42.75" x14ac:dyDescent="0.2">
      <c r="A64" s="518"/>
      <c r="B64" s="519"/>
      <c r="C64" s="550"/>
      <c r="D64" s="551"/>
      <c r="E64" s="550"/>
      <c r="F64" s="551"/>
      <c r="G64" s="2955"/>
      <c r="H64" s="3842"/>
      <c r="I64" s="3842"/>
      <c r="J64" s="3419"/>
      <c r="K64" s="3889"/>
      <c r="L64" s="3915"/>
      <c r="M64" s="3891"/>
      <c r="N64" s="3872"/>
      <c r="O64" s="3875"/>
      <c r="P64" s="3989"/>
      <c r="Q64" s="3991"/>
      <c r="R64" s="2497"/>
      <c r="S64" s="380" t="s">
        <v>574</v>
      </c>
      <c r="T64" s="579">
        <v>10000000</v>
      </c>
      <c r="U64" s="371">
        <v>0</v>
      </c>
      <c r="V64" s="371"/>
      <c r="W64" s="385">
        <v>20</v>
      </c>
      <c r="X64" s="385" t="s">
        <v>70</v>
      </c>
      <c r="Y64" s="3983"/>
      <c r="Z64" s="3981"/>
      <c r="AA64" s="3983"/>
      <c r="AB64" s="3981"/>
      <c r="AC64" s="3983"/>
      <c r="AD64" s="3981"/>
      <c r="AE64" s="3983"/>
      <c r="AF64" s="3983"/>
      <c r="AG64" s="3983"/>
      <c r="AH64" s="3983"/>
      <c r="AI64" s="3983"/>
      <c r="AJ64" s="3983"/>
      <c r="AK64" s="3983"/>
      <c r="AL64" s="3981"/>
      <c r="AM64" s="3983"/>
      <c r="AN64" s="3981"/>
      <c r="AO64" s="3983"/>
      <c r="AP64" s="3981"/>
      <c r="AQ64" s="3983"/>
      <c r="AR64" s="3983"/>
      <c r="AS64" s="3983"/>
      <c r="AT64" s="3983"/>
      <c r="AU64" s="3983"/>
      <c r="AV64" s="3983"/>
      <c r="AW64" s="3983"/>
      <c r="AX64" s="3983"/>
      <c r="AY64" s="3983"/>
      <c r="AZ64" s="3983"/>
      <c r="BA64" s="3928"/>
      <c r="BB64" s="3831"/>
      <c r="BC64" s="3928"/>
      <c r="BD64" s="3986"/>
      <c r="BE64" s="3409"/>
      <c r="BF64" s="3835"/>
      <c r="BG64" s="3835"/>
      <c r="BH64" s="2665"/>
      <c r="BI64" s="3409"/>
      <c r="BJ64" s="3427"/>
      <c r="BK64" s="3829"/>
      <c r="BL64" s="3822"/>
      <c r="BM64" s="3979"/>
      <c r="BN64" s="3822"/>
      <c r="BO64" s="2448"/>
    </row>
    <row r="65" spans="1:276" ht="42.75" x14ac:dyDescent="0.2">
      <c r="A65" s="518"/>
      <c r="B65" s="519"/>
      <c r="C65" s="550"/>
      <c r="D65" s="551"/>
      <c r="E65" s="550"/>
      <c r="F65" s="551"/>
      <c r="G65" s="2955"/>
      <c r="H65" s="3842"/>
      <c r="I65" s="3842"/>
      <c r="J65" s="3419"/>
      <c r="K65" s="3889"/>
      <c r="L65" s="3915"/>
      <c r="M65" s="3891"/>
      <c r="N65" s="3872"/>
      <c r="O65" s="3875"/>
      <c r="P65" s="3989"/>
      <c r="Q65" s="3991"/>
      <c r="R65" s="2498"/>
      <c r="S65" s="380" t="s">
        <v>575</v>
      </c>
      <c r="T65" s="579">
        <v>31000000</v>
      </c>
      <c r="U65" s="371">
        <v>0</v>
      </c>
      <c r="V65" s="371"/>
      <c r="W65" s="385">
        <v>20</v>
      </c>
      <c r="X65" s="385" t="s">
        <v>70</v>
      </c>
      <c r="Y65" s="3983"/>
      <c r="Z65" s="3981"/>
      <c r="AA65" s="3983"/>
      <c r="AB65" s="3981"/>
      <c r="AC65" s="3983"/>
      <c r="AD65" s="3981"/>
      <c r="AE65" s="3983"/>
      <c r="AF65" s="3983"/>
      <c r="AG65" s="3983"/>
      <c r="AH65" s="3983"/>
      <c r="AI65" s="3983"/>
      <c r="AJ65" s="3983"/>
      <c r="AK65" s="3983"/>
      <c r="AL65" s="3981"/>
      <c r="AM65" s="3983"/>
      <c r="AN65" s="3981"/>
      <c r="AO65" s="3983"/>
      <c r="AP65" s="3981"/>
      <c r="AQ65" s="3983"/>
      <c r="AR65" s="3983"/>
      <c r="AS65" s="3983"/>
      <c r="AT65" s="3983"/>
      <c r="AU65" s="3983"/>
      <c r="AV65" s="3983"/>
      <c r="AW65" s="3983"/>
      <c r="AX65" s="3983"/>
      <c r="AY65" s="3983"/>
      <c r="AZ65" s="3983"/>
      <c r="BA65" s="3928"/>
      <c r="BB65" s="3831"/>
      <c r="BC65" s="3928"/>
      <c r="BD65" s="3986"/>
      <c r="BE65" s="3409"/>
      <c r="BF65" s="3835"/>
      <c r="BG65" s="3835"/>
      <c r="BH65" s="2665"/>
      <c r="BI65" s="3409"/>
      <c r="BJ65" s="3427"/>
      <c r="BK65" s="3829"/>
      <c r="BL65" s="3822"/>
      <c r="BM65" s="3979"/>
      <c r="BN65" s="3822"/>
      <c r="BO65" s="2448"/>
    </row>
    <row r="66" spans="1:276" ht="57" x14ac:dyDescent="0.2">
      <c r="A66" s="518"/>
      <c r="B66" s="519"/>
      <c r="C66" s="550"/>
      <c r="D66" s="551"/>
      <c r="E66" s="550"/>
      <c r="F66" s="551"/>
      <c r="G66" s="2955"/>
      <c r="H66" s="3842"/>
      <c r="I66" s="3842"/>
      <c r="J66" s="3419"/>
      <c r="K66" s="3889"/>
      <c r="L66" s="3915"/>
      <c r="M66" s="3891"/>
      <c r="N66" s="3872"/>
      <c r="O66" s="3875"/>
      <c r="P66" s="3989"/>
      <c r="Q66" s="3991"/>
      <c r="R66" s="2496" t="s">
        <v>576</v>
      </c>
      <c r="S66" s="54" t="s">
        <v>577</v>
      </c>
      <c r="T66" s="586">
        <v>8000000</v>
      </c>
      <c r="U66" s="371">
        <v>3561481</v>
      </c>
      <c r="V66" s="371">
        <v>1600000</v>
      </c>
      <c r="W66" s="385">
        <v>20</v>
      </c>
      <c r="X66" s="385" t="s">
        <v>70</v>
      </c>
      <c r="Y66" s="3983"/>
      <c r="Z66" s="3981"/>
      <c r="AA66" s="3983"/>
      <c r="AB66" s="3981"/>
      <c r="AC66" s="3983"/>
      <c r="AD66" s="3981"/>
      <c r="AE66" s="3983"/>
      <c r="AF66" s="3983"/>
      <c r="AG66" s="3983"/>
      <c r="AH66" s="3983"/>
      <c r="AI66" s="3983"/>
      <c r="AJ66" s="3983"/>
      <c r="AK66" s="3983"/>
      <c r="AL66" s="3981"/>
      <c r="AM66" s="3983"/>
      <c r="AN66" s="3981"/>
      <c r="AO66" s="3983"/>
      <c r="AP66" s="3981"/>
      <c r="AQ66" s="3983"/>
      <c r="AR66" s="3983"/>
      <c r="AS66" s="3983"/>
      <c r="AT66" s="3983"/>
      <c r="AU66" s="3983"/>
      <c r="AV66" s="3983"/>
      <c r="AW66" s="3983"/>
      <c r="AX66" s="3983"/>
      <c r="AY66" s="3983"/>
      <c r="AZ66" s="3983"/>
      <c r="BA66" s="3928"/>
      <c r="BB66" s="3831"/>
      <c r="BC66" s="3928"/>
      <c r="BD66" s="3986"/>
      <c r="BE66" s="3409"/>
      <c r="BF66" s="3835"/>
      <c r="BG66" s="3835"/>
      <c r="BH66" s="2665"/>
      <c r="BI66" s="3409"/>
      <c r="BJ66" s="3427"/>
      <c r="BK66" s="3829"/>
      <c r="BL66" s="3822"/>
      <c r="BM66" s="3979"/>
      <c r="BN66" s="3822"/>
      <c r="BO66" s="2448"/>
    </row>
    <row r="67" spans="1:276" ht="57" x14ac:dyDescent="0.2">
      <c r="A67" s="518"/>
      <c r="B67" s="519"/>
      <c r="C67" s="550"/>
      <c r="D67" s="551"/>
      <c r="E67" s="550"/>
      <c r="F67" s="551"/>
      <c r="G67" s="2955"/>
      <c r="H67" s="3842"/>
      <c r="I67" s="3842"/>
      <c r="J67" s="3419"/>
      <c r="K67" s="3889"/>
      <c r="L67" s="3915"/>
      <c r="M67" s="3891"/>
      <c r="N67" s="3872"/>
      <c r="O67" s="3875"/>
      <c r="P67" s="3989"/>
      <c r="Q67" s="3991"/>
      <c r="R67" s="2497"/>
      <c r="S67" s="54" t="s">
        <v>578</v>
      </c>
      <c r="T67" s="586">
        <v>8500000</v>
      </c>
      <c r="U67" s="371">
        <v>3561481</v>
      </c>
      <c r="V67" s="371">
        <v>1600000</v>
      </c>
      <c r="W67" s="385">
        <v>20</v>
      </c>
      <c r="X67" s="385" t="s">
        <v>70</v>
      </c>
      <c r="Y67" s="3983"/>
      <c r="Z67" s="3981"/>
      <c r="AA67" s="3983"/>
      <c r="AB67" s="3981"/>
      <c r="AC67" s="3983"/>
      <c r="AD67" s="3981"/>
      <c r="AE67" s="3983"/>
      <c r="AF67" s="3983"/>
      <c r="AG67" s="3983"/>
      <c r="AH67" s="3983"/>
      <c r="AI67" s="3983"/>
      <c r="AJ67" s="3983"/>
      <c r="AK67" s="3983"/>
      <c r="AL67" s="3981"/>
      <c r="AM67" s="3983"/>
      <c r="AN67" s="3981"/>
      <c r="AO67" s="3983"/>
      <c r="AP67" s="3981"/>
      <c r="AQ67" s="3983"/>
      <c r="AR67" s="3983"/>
      <c r="AS67" s="3983"/>
      <c r="AT67" s="3983"/>
      <c r="AU67" s="3983"/>
      <c r="AV67" s="3983"/>
      <c r="AW67" s="3983"/>
      <c r="AX67" s="3983"/>
      <c r="AY67" s="3983"/>
      <c r="AZ67" s="3983"/>
      <c r="BA67" s="3928"/>
      <c r="BB67" s="3831"/>
      <c r="BC67" s="3928"/>
      <c r="BD67" s="3986"/>
      <c r="BE67" s="3409"/>
      <c r="BF67" s="3835"/>
      <c r="BG67" s="3835"/>
      <c r="BH67" s="2665"/>
      <c r="BI67" s="3409"/>
      <c r="BJ67" s="3427"/>
      <c r="BK67" s="3829"/>
      <c r="BL67" s="3822"/>
      <c r="BM67" s="3979"/>
      <c r="BN67" s="3822"/>
      <c r="BO67" s="2448"/>
    </row>
    <row r="68" spans="1:276" ht="42.75" x14ac:dyDescent="0.2">
      <c r="A68" s="518"/>
      <c r="B68" s="519"/>
      <c r="C68" s="550"/>
      <c r="D68" s="551"/>
      <c r="E68" s="550"/>
      <c r="F68" s="551"/>
      <c r="G68" s="2955"/>
      <c r="H68" s="3842"/>
      <c r="I68" s="3842"/>
      <c r="J68" s="3419"/>
      <c r="K68" s="3889"/>
      <c r="L68" s="3915"/>
      <c r="M68" s="3891"/>
      <c r="N68" s="3872"/>
      <c r="O68" s="3875"/>
      <c r="P68" s="3989"/>
      <c r="Q68" s="3991"/>
      <c r="R68" s="2497"/>
      <c r="S68" s="565" t="s">
        <v>579</v>
      </c>
      <c r="T68" s="579">
        <v>10500000</v>
      </c>
      <c r="U68" s="371">
        <v>3561481</v>
      </c>
      <c r="V68" s="371">
        <v>1600000</v>
      </c>
      <c r="W68" s="385">
        <v>20</v>
      </c>
      <c r="X68" s="385" t="s">
        <v>70</v>
      </c>
      <c r="Y68" s="3983"/>
      <c r="Z68" s="3981"/>
      <c r="AA68" s="3983"/>
      <c r="AB68" s="3981"/>
      <c r="AC68" s="3983"/>
      <c r="AD68" s="3981"/>
      <c r="AE68" s="3983"/>
      <c r="AF68" s="3983"/>
      <c r="AG68" s="3983"/>
      <c r="AH68" s="3983"/>
      <c r="AI68" s="3983"/>
      <c r="AJ68" s="3983"/>
      <c r="AK68" s="3983"/>
      <c r="AL68" s="3981"/>
      <c r="AM68" s="3983"/>
      <c r="AN68" s="3981"/>
      <c r="AO68" s="3983"/>
      <c r="AP68" s="3981"/>
      <c r="AQ68" s="3983"/>
      <c r="AR68" s="3983"/>
      <c r="AS68" s="3983"/>
      <c r="AT68" s="3983"/>
      <c r="AU68" s="3983"/>
      <c r="AV68" s="3983"/>
      <c r="AW68" s="3983"/>
      <c r="AX68" s="3983"/>
      <c r="AY68" s="3983"/>
      <c r="AZ68" s="3983"/>
      <c r="BA68" s="3928"/>
      <c r="BB68" s="3831"/>
      <c r="BC68" s="3928"/>
      <c r="BD68" s="3986"/>
      <c r="BE68" s="3409"/>
      <c r="BF68" s="3835"/>
      <c r="BG68" s="3835"/>
      <c r="BH68" s="2665"/>
      <c r="BI68" s="3409"/>
      <c r="BJ68" s="3427"/>
      <c r="BK68" s="3829"/>
      <c r="BL68" s="3822"/>
      <c r="BM68" s="3979"/>
      <c r="BN68" s="3822"/>
      <c r="BO68" s="2448"/>
    </row>
    <row r="69" spans="1:276" ht="28.5" x14ac:dyDescent="0.2">
      <c r="A69" s="518"/>
      <c r="B69" s="519"/>
      <c r="C69" s="550"/>
      <c r="D69" s="551"/>
      <c r="E69" s="550"/>
      <c r="F69" s="551"/>
      <c r="G69" s="2955"/>
      <c r="H69" s="3842"/>
      <c r="I69" s="3842"/>
      <c r="J69" s="3419"/>
      <c r="K69" s="3889"/>
      <c r="L69" s="3915"/>
      <c r="M69" s="3891"/>
      <c r="N69" s="3872"/>
      <c r="O69" s="3875"/>
      <c r="P69" s="3989"/>
      <c r="Q69" s="3991"/>
      <c r="R69" s="2497"/>
      <c r="S69" s="565" t="s">
        <v>580</v>
      </c>
      <c r="T69" s="579">
        <v>2500000</v>
      </c>
      <c r="U69" s="371">
        <v>3561481</v>
      </c>
      <c r="V69" s="371">
        <v>1600000</v>
      </c>
      <c r="W69" s="385">
        <v>20</v>
      </c>
      <c r="X69" s="385" t="s">
        <v>70</v>
      </c>
      <c r="Y69" s="3983"/>
      <c r="Z69" s="3981"/>
      <c r="AA69" s="3983"/>
      <c r="AB69" s="3981"/>
      <c r="AC69" s="3983"/>
      <c r="AD69" s="3981"/>
      <c r="AE69" s="3983"/>
      <c r="AF69" s="3983"/>
      <c r="AG69" s="3983"/>
      <c r="AH69" s="3983"/>
      <c r="AI69" s="3983"/>
      <c r="AJ69" s="3983"/>
      <c r="AK69" s="3983"/>
      <c r="AL69" s="3981"/>
      <c r="AM69" s="3983"/>
      <c r="AN69" s="3981"/>
      <c r="AO69" s="3983"/>
      <c r="AP69" s="3981"/>
      <c r="AQ69" s="3983"/>
      <c r="AR69" s="3983"/>
      <c r="AS69" s="3983"/>
      <c r="AT69" s="3983"/>
      <c r="AU69" s="3983"/>
      <c r="AV69" s="3983"/>
      <c r="AW69" s="3983"/>
      <c r="AX69" s="3983"/>
      <c r="AY69" s="3983"/>
      <c r="AZ69" s="3983"/>
      <c r="BA69" s="3928"/>
      <c r="BB69" s="3831"/>
      <c r="BC69" s="3928"/>
      <c r="BD69" s="3986"/>
      <c r="BE69" s="3409"/>
      <c r="BF69" s="3835"/>
      <c r="BG69" s="3835"/>
      <c r="BH69" s="2665"/>
      <c r="BI69" s="3409"/>
      <c r="BJ69" s="3427"/>
      <c r="BK69" s="3829"/>
      <c r="BL69" s="3822"/>
      <c r="BM69" s="3979"/>
      <c r="BN69" s="3822"/>
      <c r="BO69" s="2448"/>
    </row>
    <row r="70" spans="1:276" ht="42.75" x14ac:dyDescent="0.2">
      <c r="A70" s="518"/>
      <c r="B70" s="519"/>
      <c r="C70" s="550"/>
      <c r="D70" s="551"/>
      <c r="E70" s="550"/>
      <c r="F70" s="551"/>
      <c r="G70" s="2955"/>
      <c r="H70" s="3842"/>
      <c r="I70" s="3842"/>
      <c r="J70" s="3419"/>
      <c r="K70" s="3889"/>
      <c r="L70" s="3915"/>
      <c r="M70" s="3891"/>
      <c r="N70" s="3872"/>
      <c r="O70" s="3875"/>
      <c r="P70" s="3989"/>
      <c r="Q70" s="3991"/>
      <c r="R70" s="2497"/>
      <c r="S70" s="565" t="s">
        <v>581</v>
      </c>
      <c r="T70" s="579">
        <v>15000000</v>
      </c>
      <c r="U70" s="371">
        <v>3561481</v>
      </c>
      <c r="V70" s="371">
        <v>1600000</v>
      </c>
      <c r="W70" s="385">
        <v>20</v>
      </c>
      <c r="X70" s="385" t="s">
        <v>70</v>
      </c>
      <c r="Y70" s="3983"/>
      <c r="Z70" s="3981"/>
      <c r="AA70" s="3983"/>
      <c r="AB70" s="3981"/>
      <c r="AC70" s="3983"/>
      <c r="AD70" s="3981"/>
      <c r="AE70" s="3983"/>
      <c r="AF70" s="3983"/>
      <c r="AG70" s="3983"/>
      <c r="AH70" s="3983"/>
      <c r="AI70" s="3983"/>
      <c r="AJ70" s="3983"/>
      <c r="AK70" s="3983"/>
      <c r="AL70" s="3981"/>
      <c r="AM70" s="3983"/>
      <c r="AN70" s="3981"/>
      <c r="AO70" s="3983"/>
      <c r="AP70" s="3981"/>
      <c r="AQ70" s="3983"/>
      <c r="AR70" s="3983"/>
      <c r="AS70" s="3983"/>
      <c r="AT70" s="3983"/>
      <c r="AU70" s="3983"/>
      <c r="AV70" s="3983"/>
      <c r="AW70" s="3983"/>
      <c r="AX70" s="3983"/>
      <c r="AY70" s="3983"/>
      <c r="AZ70" s="3983"/>
      <c r="BA70" s="3928"/>
      <c r="BB70" s="3831"/>
      <c r="BC70" s="3928"/>
      <c r="BD70" s="3986"/>
      <c r="BE70" s="3409"/>
      <c r="BF70" s="3835"/>
      <c r="BG70" s="3835"/>
      <c r="BH70" s="2665"/>
      <c r="BI70" s="3409"/>
      <c r="BJ70" s="3427"/>
      <c r="BK70" s="3829"/>
      <c r="BL70" s="3822"/>
      <c r="BM70" s="3979"/>
      <c r="BN70" s="3822"/>
      <c r="BO70" s="2448"/>
    </row>
    <row r="71" spans="1:276" ht="28.5" x14ac:dyDescent="0.2">
      <c r="A71" s="518"/>
      <c r="B71" s="519"/>
      <c r="C71" s="550"/>
      <c r="D71" s="551"/>
      <c r="E71" s="550"/>
      <c r="F71" s="551"/>
      <c r="G71" s="2955"/>
      <c r="H71" s="3842"/>
      <c r="I71" s="3842"/>
      <c r="J71" s="3419"/>
      <c r="K71" s="3889"/>
      <c r="L71" s="3915"/>
      <c r="M71" s="3891"/>
      <c r="N71" s="3872"/>
      <c r="O71" s="3875"/>
      <c r="P71" s="3989"/>
      <c r="Q71" s="3991"/>
      <c r="R71" s="2497"/>
      <c r="S71" s="54" t="s">
        <v>582</v>
      </c>
      <c r="T71" s="579">
        <v>5500000</v>
      </c>
      <c r="U71" s="371">
        <v>3561483</v>
      </c>
      <c r="V71" s="371">
        <v>1600000</v>
      </c>
      <c r="W71" s="385">
        <v>20</v>
      </c>
      <c r="X71" s="385" t="s">
        <v>70</v>
      </c>
      <c r="Y71" s="3983"/>
      <c r="Z71" s="3981"/>
      <c r="AA71" s="3983"/>
      <c r="AB71" s="3981"/>
      <c r="AC71" s="3983"/>
      <c r="AD71" s="3981"/>
      <c r="AE71" s="3983"/>
      <c r="AF71" s="3983"/>
      <c r="AG71" s="3983"/>
      <c r="AH71" s="3983"/>
      <c r="AI71" s="3983"/>
      <c r="AJ71" s="3983"/>
      <c r="AK71" s="3983"/>
      <c r="AL71" s="3981"/>
      <c r="AM71" s="3983"/>
      <c r="AN71" s="3981"/>
      <c r="AO71" s="3983"/>
      <c r="AP71" s="3981"/>
      <c r="AQ71" s="3983"/>
      <c r="AR71" s="3983"/>
      <c r="AS71" s="3983"/>
      <c r="AT71" s="3983"/>
      <c r="AU71" s="3983"/>
      <c r="AV71" s="3983"/>
      <c r="AW71" s="3983"/>
      <c r="AX71" s="3983"/>
      <c r="AY71" s="3983"/>
      <c r="AZ71" s="3983"/>
      <c r="BA71" s="3928"/>
      <c r="BB71" s="3831"/>
      <c r="BC71" s="3928"/>
      <c r="BD71" s="3986"/>
      <c r="BE71" s="3409"/>
      <c r="BF71" s="3835"/>
      <c r="BG71" s="3835"/>
      <c r="BH71" s="2665"/>
      <c r="BI71" s="3409"/>
      <c r="BJ71" s="3427"/>
      <c r="BK71" s="3829"/>
      <c r="BL71" s="3822"/>
      <c r="BM71" s="3979"/>
      <c r="BN71" s="3822"/>
      <c r="BO71" s="2448"/>
    </row>
    <row r="72" spans="1:276" ht="28.5" x14ac:dyDescent="0.2">
      <c r="A72" s="518"/>
      <c r="B72" s="519"/>
      <c r="C72" s="550"/>
      <c r="D72" s="551"/>
      <c r="E72" s="550"/>
      <c r="F72" s="551"/>
      <c r="G72" s="2955"/>
      <c r="H72" s="3842"/>
      <c r="I72" s="3842"/>
      <c r="J72" s="3419"/>
      <c r="K72" s="3889"/>
      <c r="L72" s="3915"/>
      <c r="M72" s="3891"/>
      <c r="N72" s="3872"/>
      <c r="O72" s="3875"/>
      <c r="P72" s="3989"/>
      <c r="Q72" s="3991"/>
      <c r="R72" s="2497"/>
      <c r="S72" s="54" t="s">
        <v>583</v>
      </c>
      <c r="T72" s="579">
        <v>35000000</v>
      </c>
      <c r="U72" s="371">
        <v>0</v>
      </c>
      <c r="V72" s="371"/>
      <c r="W72" s="385">
        <v>20</v>
      </c>
      <c r="X72" s="385" t="s">
        <v>70</v>
      </c>
      <c r="Y72" s="3983"/>
      <c r="Z72" s="3981"/>
      <c r="AA72" s="3983"/>
      <c r="AB72" s="3981"/>
      <c r="AC72" s="3983"/>
      <c r="AD72" s="3981"/>
      <c r="AE72" s="3983"/>
      <c r="AF72" s="3983"/>
      <c r="AG72" s="3983"/>
      <c r="AH72" s="3983"/>
      <c r="AI72" s="3983"/>
      <c r="AJ72" s="3983"/>
      <c r="AK72" s="3983"/>
      <c r="AL72" s="3981"/>
      <c r="AM72" s="3983"/>
      <c r="AN72" s="3981"/>
      <c r="AO72" s="3983"/>
      <c r="AP72" s="3981"/>
      <c r="AQ72" s="3983"/>
      <c r="AR72" s="3983"/>
      <c r="AS72" s="3983"/>
      <c r="AT72" s="3983"/>
      <c r="AU72" s="3983"/>
      <c r="AV72" s="3983"/>
      <c r="AW72" s="3983"/>
      <c r="AX72" s="3983"/>
      <c r="AY72" s="3983"/>
      <c r="AZ72" s="3983"/>
      <c r="BA72" s="3928"/>
      <c r="BB72" s="3831"/>
      <c r="BC72" s="3928"/>
      <c r="BD72" s="3986"/>
      <c r="BE72" s="3409"/>
      <c r="BF72" s="3835"/>
      <c r="BG72" s="3835"/>
      <c r="BH72" s="2665"/>
      <c r="BI72" s="3409"/>
      <c r="BJ72" s="3427"/>
      <c r="BK72" s="3829"/>
      <c r="BL72" s="3822"/>
      <c r="BM72" s="3979"/>
      <c r="BN72" s="3822"/>
      <c r="BO72" s="2448"/>
    </row>
    <row r="73" spans="1:276" ht="42.75" x14ac:dyDescent="0.2">
      <c r="A73" s="518"/>
      <c r="B73" s="519"/>
      <c r="C73" s="550"/>
      <c r="D73" s="551"/>
      <c r="E73" s="550"/>
      <c r="F73" s="551"/>
      <c r="G73" s="2955"/>
      <c r="H73" s="3842"/>
      <c r="I73" s="3842"/>
      <c r="J73" s="3419"/>
      <c r="K73" s="3890"/>
      <c r="L73" s="3915"/>
      <c r="M73" s="3891"/>
      <c r="N73" s="3872"/>
      <c r="O73" s="3875"/>
      <c r="P73" s="3989"/>
      <c r="Q73" s="3991"/>
      <c r="R73" s="2498"/>
      <c r="S73" s="565" t="s">
        <v>584</v>
      </c>
      <c r="T73" s="579">
        <v>17000000</v>
      </c>
      <c r="U73" s="371">
        <v>0</v>
      </c>
      <c r="V73" s="371"/>
      <c r="W73" s="385">
        <v>20</v>
      </c>
      <c r="X73" s="385" t="s">
        <v>70</v>
      </c>
      <c r="Y73" s="3980"/>
      <c r="Z73" s="3982"/>
      <c r="AA73" s="3980"/>
      <c r="AB73" s="3982"/>
      <c r="AC73" s="3980"/>
      <c r="AD73" s="3982"/>
      <c r="AE73" s="3980"/>
      <c r="AF73" s="3980"/>
      <c r="AG73" s="3980"/>
      <c r="AH73" s="3980"/>
      <c r="AI73" s="3980"/>
      <c r="AJ73" s="3980"/>
      <c r="AK73" s="3980"/>
      <c r="AL73" s="3982"/>
      <c r="AM73" s="3980"/>
      <c r="AN73" s="3982"/>
      <c r="AO73" s="3980"/>
      <c r="AP73" s="3982"/>
      <c r="AQ73" s="3980"/>
      <c r="AR73" s="3980"/>
      <c r="AS73" s="3980"/>
      <c r="AT73" s="3980"/>
      <c r="AU73" s="3980"/>
      <c r="AV73" s="3980"/>
      <c r="AW73" s="3980"/>
      <c r="AX73" s="3980"/>
      <c r="AY73" s="3980"/>
      <c r="AZ73" s="3980"/>
      <c r="BA73" s="3832"/>
      <c r="BB73" s="3858"/>
      <c r="BC73" s="3832"/>
      <c r="BD73" s="3987"/>
      <c r="BE73" s="3923"/>
      <c r="BF73" s="3864"/>
      <c r="BG73" s="3864"/>
      <c r="BH73" s="3896"/>
      <c r="BI73" s="3923"/>
      <c r="BJ73" s="3919"/>
      <c r="BK73" s="3821"/>
      <c r="BL73" s="3854"/>
      <c r="BM73" s="3979"/>
      <c r="BN73" s="3854"/>
      <c r="BO73" s="2496"/>
    </row>
    <row r="74" spans="1:276" ht="15" x14ac:dyDescent="0.25">
      <c r="A74" s="518"/>
      <c r="B74" s="519"/>
      <c r="C74" s="520">
        <v>18</v>
      </c>
      <c r="D74" s="521" t="s">
        <v>585</v>
      </c>
      <c r="E74" s="587"/>
      <c r="F74" s="587"/>
      <c r="G74" s="230"/>
      <c r="H74" s="40"/>
      <c r="I74" s="40"/>
      <c r="J74" s="544"/>
      <c r="K74" s="545"/>
      <c r="L74" s="546"/>
      <c r="M74" s="546"/>
      <c r="N74" s="544"/>
      <c r="O74" s="544"/>
      <c r="P74" s="544"/>
      <c r="Q74" s="40"/>
      <c r="R74" s="40"/>
      <c r="S74" s="40"/>
      <c r="T74" s="588"/>
      <c r="U74" s="588"/>
      <c r="V74" s="548"/>
      <c r="W74" s="230"/>
      <c r="X74" s="230"/>
      <c r="Y74" s="544"/>
      <c r="Z74" s="544"/>
      <c r="AA74" s="544"/>
      <c r="AB74" s="544"/>
      <c r="AC74" s="544"/>
      <c r="AD74" s="544"/>
      <c r="AE74" s="544"/>
      <c r="AF74" s="544"/>
      <c r="AG74" s="544"/>
      <c r="AH74" s="544"/>
      <c r="AI74" s="544"/>
      <c r="AJ74" s="544"/>
      <c r="AK74" s="544"/>
      <c r="AL74" s="544"/>
      <c r="AM74" s="544"/>
      <c r="AN74" s="544"/>
      <c r="AO74" s="544"/>
      <c r="AP74" s="544"/>
      <c r="AQ74" s="544"/>
      <c r="AR74" s="544"/>
      <c r="AS74" s="544"/>
      <c r="AT74" s="544"/>
      <c r="AU74" s="544"/>
      <c r="AV74" s="544"/>
      <c r="AW74" s="544"/>
      <c r="AX74" s="544"/>
      <c r="AY74" s="544"/>
      <c r="AZ74" s="544"/>
      <c r="BA74" s="544"/>
      <c r="BB74" s="544"/>
      <c r="BC74" s="544"/>
      <c r="BD74" s="544"/>
      <c r="BE74" s="587"/>
      <c r="BF74" s="588"/>
      <c r="BG74" s="588"/>
      <c r="BH74" s="587"/>
      <c r="BI74" s="587"/>
      <c r="BJ74" s="587"/>
      <c r="BK74" s="587"/>
      <c r="BL74" s="587"/>
      <c r="BM74" s="587"/>
      <c r="BN74" s="587"/>
      <c r="BO74" s="549"/>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c r="DU74" s="212"/>
      <c r="DV74" s="212"/>
      <c r="DW74" s="212"/>
      <c r="DX74" s="212"/>
      <c r="DY74" s="212"/>
      <c r="DZ74" s="212"/>
      <c r="EA74" s="212"/>
      <c r="EB74" s="212"/>
      <c r="EC74" s="212"/>
      <c r="ED74" s="212"/>
      <c r="EE74" s="212"/>
      <c r="EF74" s="212"/>
      <c r="EG74" s="212"/>
      <c r="EH74" s="212"/>
      <c r="EI74" s="212"/>
      <c r="EJ74" s="212"/>
      <c r="EK74" s="212"/>
      <c r="EL74" s="212"/>
      <c r="EM74" s="212"/>
      <c r="EN74" s="212"/>
      <c r="EO74" s="212"/>
      <c r="EP74" s="212"/>
      <c r="EQ74" s="212"/>
      <c r="ER74" s="212"/>
      <c r="ES74" s="212"/>
      <c r="ET74" s="212"/>
      <c r="EU74" s="212"/>
      <c r="EV74" s="212"/>
      <c r="EW74" s="212"/>
      <c r="EX74" s="212"/>
      <c r="EY74" s="212"/>
      <c r="EZ74" s="212"/>
      <c r="FA74" s="212"/>
      <c r="FB74" s="212"/>
      <c r="FC74" s="212"/>
      <c r="FD74" s="212"/>
      <c r="FE74" s="212"/>
      <c r="FF74" s="212"/>
      <c r="FG74" s="212"/>
      <c r="FH74" s="212"/>
      <c r="FI74" s="212"/>
      <c r="FJ74" s="212"/>
      <c r="FK74" s="212"/>
      <c r="FL74" s="212"/>
      <c r="FM74" s="212"/>
      <c r="FN74" s="212"/>
      <c r="FO74" s="212"/>
      <c r="FP74" s="212"/>
      <c r="FQ74" s="212"/>
      <c r="FR74" s="212"/>
      <c r="FS74" s="212"/>
      <c r="FT74" s="212"/>
      <c r="FU74" s="212"/>
      <c r="FV74" s="212"/>
      <c r="FW74" s="212"/>
      <c r="FX74" s="212"/>
      <c r="FY74" s="212"/>
      <c r="FZ74" s="212"/>
      <c r="GA74" s="212"/>
      <c r="GB74" s="212"/>
      <c r="GC74" s="212"/>
      <c r="GD74" s="212"/>
      <c r="GE74" s="212"/>
      <c r="GF74" s="212"/>
      <c r="GG74" s="212"/>
      <c r="GH74" s="212"/>
      <c r="GI74" s="212"/>
      <c r="GJ74" s="212"/>
      <c r="GK74" s="212"/>
      <c r="GL74" s="212"/>
      <c r="GM74" s="212"/>
      <c r="GN74" s="212"/>
      <c r="GO74" s="212"/>
      <c r="GP74" s="212"/>
      <c r="GQ74" s="212"/>
      <c r="GR74" s="212"/>
      <c r="GS74" s="212"/>
      <c r="GT74" s="212"/>
      <c r="GU74" s="212"/>
      <c r="GV74" s="212"/>
      <c r="GW74" s="212"/>
      <c r="GX74" s="212"/>
      <c r="GY74" s="212"/>
      <c r="GZ74" s="212"/>
      <c r="HA74" s="212"/>
      <c r="HB74" s="212"/>
      <c r="HC74" s="212"/>
      <c r="HD74" s="212"/>
      <c r="HE74" s="212"/>
      <c r="HF74" s="212"/>
      <c r="HG74" s="212"/>
      <c r="HH74" s="212"/>
      <c r="HI74" s="212"/>
      <c r="HJ74" s="212"/>
      <c r="HK74" s="212"/>
      <c r="HL74" s="212"/>
      <c r="HM74" s="212"/>
      <c r="HN74" s="212"/>
      <c r="HO74" s="212"/>
      <c r="HP74" s="212"/>
      <c r="HQ74" s="212"/>
      <c r="HR74" s="212"/>
      <c r="HS74" s="212"/>
      <c r="HT74" s="212"/>
      <c r="HU74" s="212"/>
      <c r="HV74" s="212"/>
      <c r="HW74" s="212"/>
      <c r="HX74" s="212"/>
      <c r="HY74" s="212"/>
      <c r="HZ74" s="212"/>
      <c r="IA74" s="212"/>
      <c r="IB74" s="212"/>
      <c r="IC74" s="212"/>
      <c r="ID74" s="212"/>
      <c r="IE74" s="212"/>
      <c r="IF74" s="212"/>
      <c r="IG74" s="212"/>
      <c r="IH74" s="212"/>
      <c r="II74" s="212"/>
      <c r="IJ74" s="212"/>
      <c r="IK74" s="212"/>
      <c r="IL74" s="212"/>
      <c r="IM74" s="212"/>
      <c r="IN74" s="212"/>
      <c r="IO74" s="212"/>
      <c r="IP74" s="212"/>
      <c r="IQ74" s="212"/>
      <c r="IR74" s="212"/>
      <c r="IS74" s="212"/>
      <c r="IT74" s="212"/>
      <c r="IU74" s="212"/>
      <c r="IV74" s="212"/>
      <c r="IW74" s="212"/>
      <c r="IX74" s="212"/>
      <c r="IY74" s="212"/>
      <c r="IZ74" s="212"/>
      <c r="JA74" s="212"/>
      <c r="JB74" s="212"/>
      <c r="JC74" s="212"/>
      <c r="JD74" s="212"/>
      <c r="JE74" s="212"/>
      <c r="JF74" s="212"/>
      <c r="JG74" s="212"/>
      <c r="JH74" s="212"/>
      <c r="JI74" s="212"/>
      <c r="JJ74" s="212"/>
      <c r="JK74" s="212"/>
      <c r="JL74" s="212"/>
      <c r="JM74" s="212"/>
      <c r="JN74" s="212"/>
      <c r="JO74" s="212"/>
      <c r="JP74" s="212"/>
    </row>
    <row r="75" spans="1:276" ht="15" x14ac:dyDescent="0.2">
      <c r="A75" s="518"/>
      <c r="B75" s="519"/>
      <c r="C75" s="550"/>
      <c r="D75" s="551"/>
      <c r="E75" s="529">
        <v>62</v>
      </c>
      <c r="F75" s="285" t="s">
        <v>586</v>
      </c>
      <c r="G75" s="531"/>
      <c r="H75" s="552"/>
      <c r="I75" s="552"/>
      <c r="J75" s="287"/>
      <c r="K75" s="553"/>
      <c r="L75" s="554"/>
      <c r="M75" s="554"/>
      <c r="N75" s="287"/>
      <c r="O75" s="287"/>
      <c r="P75" s="287"/>
      <c r="Q75" s="552"/>
      <c r="R75" s="552"/>
      <c r="S75" s="552"/>
      <c r="T75" s="556"/>
      <c r="U75" s="556"/>
      <c r="V75" s="557"/>
      <c r="W75" s="558"/>
      <c r="X75" s="558"/>
      <c r="Y75" s="377"/>
      <c r="Z75" s="377"/>
      <c r="AA75" s="377"/>
      <c r="AB75" s="377"/>
      <c r="AC75" s="377"/>
      <c r="AD75" s="377"/>
      <c r="AE75" s="377"/>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530"/>
      <c r="BE75" s="530"/>
      <c r="BF75" s="583"/>
      <c r="BG75" s="583"/>
      <c r="BH75" s="530"/>
      <c r="BI75" s="530"/>
      <c r="BJ75" s="530"/>
      <c r="BK75" s="530"/>
      <c r="BL75" s="530"/>
      <c r="BM75" s="530"/>
      <c r="BN75" s="530"/>
      <c r="BO75" s="534"/>
    </row>
    <row r="76" spans="1:276" s="99" customFormat="1" ht="42" customHeight="1" x14ac:dyDescent="0.2">
      <c r="A76" s="518"/>
      <c r="B76" s="519"/>
      <c r="C76" s="550"/>
      <c r="D76" s="551"/>
      <c r="E76" s="563"/>
      <c r="F76" s="564"/>
      <c r="G76" s="4576">
        <v>191</v>
      </c>
      <c r="H76" s="3961" t="s">
        <v>587</v>
      </c>
      <c r="I76" s="3468" t="s">
        <v>588</v>
      </c>
      <c r="J76" s="3944">
        <v>1</v>
      </c>
      <c r="K76" s="3945">
        <v>0.73</v>
      </c>
      <c r="L76" s="3914" t="s">
        <v>589</v>
      </c>
      <c r="M76" s="3891" t="s">
        <v>590</v>
      </c>
      <c r="N76" s="3873" t="s">
        <v>591</v>
      </c>
      <c r="O76" s="3874">
        <v>1</v>
      </c>
      <c r="P76" s="3976">
        <f>SUM(T76:T92)</f>
        <v>566924000</v>
      </c>
      <c r="Q76" s="3872" t="s">
        <v>592</v>
      </c>
      <c r="R76" s="3962" t="s">
        <v>593</v>
      </c>
      <c r="S76" s="589" t="s">
        <v>594</v>
      </c>
      <c r="T76" s="590">
        <v>50000000</v>
      </c>
      <c r="U76" s="591">
        <v>0</v>
      </c>
      <c r="V76" s="376"/>
      <c r="W76" s="385">
        <v>20</v>
      </c>
      <c r="X76" s="385" t="s">
        <v>70</v>
      </c>
      <c r="Y76" s="3832"/>
      <c r="Z76" s="3832"/>
      <c r="AA76" s="3832"/>
      <c r="AB76" s="3832"/>
      <c r="AC76" s="3974"/>
      <c r="AD76" s="592"/>
      <c r="AE76" s="3836"/>
      <c r="AF76" s="593"/>
      <c r="AG76" s="3836"/>
      <c r="AH76" s="593"/>
      <c r="AI76" s="3836"/>
      <c r="AJ76" s="593"/>
      <c r="AK76" s="3836"/>
      <c r="AL76" s="593"/>
      <c r="AM76" s="3836"/>
      <c r="AN76" s="593"/>
      <c r="AO76" s="3836"/>
      <c r="AP76" s="593"/>
      <c r="AQ76" s="3836"/>
      <c r="AR76" s="593"/>
      <c r="AS76" s="3836"/>
      <c r="AT76" s="593"/>
      <c r="AU76" s="3836"/>
      <c r="AV76" s="593"/>
      <c r="AW76" s="3836"/>
      <c r="AX76" s="593"/>
      <c r="AY76" s="3836"/>
      <c r="AZ76" s="593"/>
      <c r="BA76" s="3836"/>
      <c r="BB76" s="593"/>
      <c r="BC76" s="3832"/>
      <c r="BD76" s="3832"/>
      <c r="BE76" s="3832">
        <v>0</v>
      </c>
      <c r="BF76" s="3924">
        <f>SUM(U76:U92)</f>
        <v>0</v>
      </c>
      <c r="BG76" s="3924">
        <f>SUM(V76:V92)</f>
        <v>0</v>
      </c>
      <c r="BH76" s="3971" t="s">
        <v>595</v>
      </c>
      <c r="BI76" s="3832">
        <v>20</v>
      </c>
      <c r="BJ76" s="2580" t="s">
        <v>596</v>
      </c>
      <c r="BK76" s="3936"/>
      <c r="BL76" s="3934"/>
      <c r="BM76" s="3936"/>
      <c r="BN76" s="3934"/>
      <c r="BO76" s="3963" t="s">
        <v>597</v>
      </c>
    </row>
    <row r="77" spans="1:276" s="99" customFormat="1" ht="60" customHeight="1" x14ac:dyDescent="0.2">
      <c r="A77" s="518"/>
      <c r="B77" s="519"/>
      <c r="C77" s="550"/>
      <c r="D77" s="551"/>
      <c r="E77" s="550"/>
      <c r="F77" s="551"/>
      <c r="G77" s="4576"/>
      <c r="H77" s="3961"/>
      <c r="I77" s="3468"/>
      <c r="J77" s="3944"/>
      <c r="K77" s="3965"/>
      <c r="L77" s="3915"/>
      <c r="M77" s="3891"/>
      <c r="N77" s="3873"/>
      <c r="O77" s="3875"/>
      <c r="P77" s="3976"/>
      <c r="Q77" s="3872"/>
      <c r="R77" s="3419"/>
      <c r="S77" s="589" t="s">
        <v>598</v>
      </c>
      <c r="T77" s="590">
        <v>20000000</v>
      </c>
      <c r="U77" s="591">
        <v>0</v>
      </c>
      <c r="V77" s="376"/>
      <c r="W77" s="385">
        <v>20</v>
      </c>
      <c r="X77" s="385" t="s">
        <v>70</v>
      </c>
      <c r="Y77" s="3831"/>
      <c r="Z77" s="3831"/>
      <c r="AA77" s="3831"/>
      <c r="AB77" s="3831"/>
      <c r="AC77" s="3975"/>
      <c r="AD77" s="594"/>
      <c r="AE77" s="3830"/>
      <c r="AF77" s="595"/>
      <c r="AG77" s="3830"/>
      <c r="AH77" s="595"/>
      <c r="AI77" s="3830"/>
      <c r="AJ77" s="595"/>
      <c r="AK77" s="3830"/>
      <c r="AL77" s="595"/>
      <c r="AM77" s="3830"/>
      <c r="AN77" s="595"/>
      <c r="AO77" s="3830"/>
      <c r="AP77" s="595"/>
      <c r="AQ77" s="3830"/>
      <c r="AR77" s="595"/>
      <c r="AS77" s="3830"/>
      <c r="AT77" s="595"/>
      <c r="AU77" s="3830"/>
      <c r="AV77" s="595"/>
      <c r="AW77" s="3830"/>
      <c r="AX77" s="595"/>
      <c r="AY77" s="3830"/>
      <c r="AZ77" s="595"/>
      <c r="BA77" s="3830"/>
      <c r="BB77" s="595"/>
      <c r="BC77" s="3831"/>
      <c r="BD77" s="3831"/>
      <c r="BE77" s="3831"/>
      <c r="BF77" s="3925"/>
      <c r="BG77" s="3925"/>
      <c r="BH77" s="3972"/>
      <c r="BI77" s="3831"/>
      <c r="BJ77" s="2581"/>
      <c r="BK77" s="3936"/>
      <c r="BL77" s="3935"/>
      <c r="BM77" s="3936"/>
      <c r="BN77" s="3935"/>
      <c r="BO77" s="3963"/>
    </row>
    <row r="78" spans="1:276" s="99" customFormat="1" ht="56.25" customHeight="1" x14ac:dyDescent="0.2">
      <c r="A78" s="518"/>
      <c r="B78" s="519"/>
      <c r="C78" s="550"/>
      <c r="D78" s="551"/>
      <c r="E78" s="550"/>
      <c r="F78" s="551"/>
      <c r="G78" s="4576"/>
      <c r="H78" s="3961"/>
      <c r="I78" s="3468"/>
      <c r="J78" s="3944"/>
      <c r="K78" s="3965"/>
      <c r="L78" s="3915"/>
      <c r="M78" s="3891"/>
      <c r="N78" s="3873"/>
      <c r="O78" s="3875"/>
      <c r="P78" s="3976"/>
      <c r="Q78" s="3872"/>
      <c r="R78" s="3419"/>
      <c r="S78" s="589" t="s">
        <v>599</v>
      </c>
      <c r="T78" s="590">
        <v>30000000</v>
      </c>
      <c r="U78" s="591">
        <v>0</v>
      </c>
      <c r="V78" s="376"/>
      <c r="W78" s="385">
        <v>20</v>
      </c>
      <c r="X78" s="385" t="s">
        <v>70</v>
      </c>
      <c r="Y78" s="3831"/>
      <c r="Z78" s="3831"/>
      <c r="AA78" s="3831"/>
      <c r="AB78" s="3831"/>
      <c r="AC78" s="3975"/>
      <c r="AD78" s="594"/>
      <c r="AE78" s="3830"/>
      <c r="AF78" s="595"/>
      <c r="AG78" s="3830"/>
      <c r="AH78" s="595"/>
      <c r="AI78" s="3830"/>
      <c r="AJ78" s="595"/>
      <c r="AK78" s="3830"/>
      <c r="AL78" s="595"/>
      <c r="AM78" s="3830"/>
      <c r="AN78" s="595"/>
      <c r="AO78" s="3830"/>
      <c r="AP78" s="595"/>
      <c r="AQ78" s="3830"/>
      <c r="AR78" s="595"/>
      <c r="AS78" s="3830"/>
      <c r="AT78" s="595"/>
      <c r="AU78" s="3830"/>
      <c r="AV78" s="595"/>
      <c r="AW78" s="3830"/>
      <c r="AX78" s="595"/>
      <c r="AY78" s="3830"/>
      <c r="AZ78" s="595"/>
      <c r="BA78" s="3830"/>
      <c r="BB78" s="595"/>
      <c r="BC78" s="3831"/>
      <c r="BD78" s="3831"/>
      <c r="BE78" s="3831"/>
      <c r="BF78" s="3925"/>
      <c r="BG78" s="3925"/>
      <c r="BH78" s="3972"/>
      <c r="BI78" s="3831"/>
      <c r="BJ78" s="2581"/>
      <c r="BK78" s="3936"/>
      <c r="BL78" s="3935"/>
      <c r="BM78" s="3936"/>
      <c r="BN78" s="3935"/>
      <c r="BO78" s="3963"/>
    </row>
    <row r="79" spans="1:276" s="99" customFormat="1" ht="59.25" customHeight="1" x14ac:dyDescent="0.2">
      <c r="A79" s="518"/>
      <c r="B79" s="519"/>
      <c r="C79" s="550"/>
      <c r="D79" s="551"/>
      <c r="E79" s="550"/>
      <c r="F79" s="551"/>
      <c r="G79" s="4576"/>
      <c r="H79" s="3961"/>
      <c r="I79" s="3468"/>
      <c r="J79" s="3944"/>
      <c r="K79" s="3965"/>
      <c r="L79" s="3915"/>
      <c r="M79" s="3891"/>
      <c r="N79" s="3873"/>
      <c r="O79" s="3875"/>
      <c r="P79" s="3976"/>
      <c r="Q79" s="3872"/>
      <c r="R79" s="3419"/>
      <c r="S79" s="589" t="s">
        <v>600</v>
      </c>
      <c r="T79" s="590">
        <v>50000000</v>
      </c>
      <c r="U79" s="591">
        <v>0</v>
      </c>
      <c r="V79" s="376"/>
      <c r="W79" s="385">
        <v>20</v>
      </c>
      <c r="X79" s="385" t="s">
        <v>70</v>
      </c>
      <c r="Y79" s="3831"/>
      <c r="Z79" s="3831"/>
      <c r="AA79" s="3831"/>
      <c r="AB79" s="3831"/>
      <c r="AC79" s="3975"/>
      <c r="AD79" s="594"/>
      <c r="AE79" s="3830"/>
      <c r="AF79" s="595"/>
      <c r="AG79" s="3830"/>
      <c r="AH79" s="595"/>
      <c r="AI79" s="3830"/>
      <c r="AJ79" s="595"/>
      <c r="AK79" s="3830"/>
      <c r="AL79" s="595"/>
      <c r="AM79" s="3830"/>
      <c r="AN79" s="595"/>
      <c r="AO79" s="3830"/>
      <c r="AP79" s="595"/>
      <c r="AQ79" s="3830"/>
      <c r="AR79" s="595"/>
      <c r="AS79" s="3830"/>
      <c r="AT79" s="595"/>
      <c r="AU79" s="3830"/>
      <c r="AV79" s="595"/>
      <c r="AW79" s="3830"/>
      <c r="AX79" s="595"/>
      <c r="AY79" s="3830"/>
      <c r="AZ79" s="595"/>
      <c r="BA79" s="3830"/>
      <c r="BB79" s="595"/>
      <c r="BC79" s="3831"/>
      <c r="BD79" s="3831"/>
      <c r="BE79" s="3831"/>
      <c r="BF79" s="3925"/>
      <c r="BG79" s="3925"/>
      <c r="BH79" s="3972"/>
      <c r="BI79" s="3831"/>
      <c r="BJ79" s="2581"/>
      <c r="BK79" s="3936"/>
      <c r="BL79" s="3935"/>
      <c r="BM79" s="3936"/>
      <c r="BN79" s="3935"/>
      <c r="BO79" s="3963"/>
    </row>
    <row r="80" spans="1:276" s="99" customFormat="1" ht="105" customHeight="1" x14ac:dyDescent="0.2">
      <c r="A80" s="518"/>
      <c r="B80" s="519"/>
      <c r="C80" s="550"/>
      <c r="D80" s="551"/>
      <c r="E80" s="550"/>
      <c r="F80" s="551"/>
      <c r="G80" s="4576"/>
      <c r="H80" s="3961"/>
      <c r="I80" s="3468"/>
      <c r="J80" s="3944"/>
      <c r="K80" s="3965"/>
      <c r="L80" s="3915"/>
      <c r="M80" s="3891"/>
      <c r="N80" s="3873"/>
      <c r="O80" s="3875"/>
      <c r="P80" s="3976"/>
      <c r="Q80" s="3872"/>
      <c r="R80" s="3419"/>
      <c r="S80" s="589" t="s">
        <v>601</v>
      </c>
      <c r="T80" s="590">
        <v>80000000</v>
      </c>
      <c r="U80" s="591">
        <v>0</v>
      </c>
      <c r="V80" s="376"/>
      <c r="W80" s="385">
        <v>20</v>
      </c>
      <c r="X80" s="385" t="s">
        <v>70</v>
      </c>
      <c r="Y80" s="3831"/>
      <c r="Z80" s="3831"/>
      <c r="AA80" s="3831"/>
      <c r="AB80" s="3831"/>
      <c r="AC80" s="3975"/>
      <c r="AD80" s="594"/>
      <c r="AE80" s="3830"/>
      <c r="AF80" s="595"/>
      <c r="AG80" s="3830"/>
      <c r="AH80" s="595"/>
      <c r="AI80" s="3830"/>
      <c r="AJ80" s="595"/>
      <c r="AK80" s="3830"/>
      <c r="AL80" s="595"/>
      <c r="AM80" s="3830"/>
      <c r="AN80" s="595"/>
      <c r="AO80" s="3830"/>
      <c r="AP80" s="595"/>
      <c r="AQ80" s="3830"/>
      <c r="AR80" s="595"/>
      <c r="AS80" s="3830"/>
      <c r="AT80" s="595"/>
      <c r="AU80" s="3830"/>
      <c r="AV80" s="595"/>
      <c r="AW80" s="3830"/>
      <c r="AX80" s="595"/>
      <c r="AY80" s="3830"/>
      <c r="AZ80" s="595"/>
      <c r="BA80" s="3830"/>
      <c r="BB80" s="595"/>
      <c r="BC80" s="3831"/>
      <c r="BD80" s="3831"/>
      <c r="BE80" s="3831"/>
      <c r="BF80" s="3925"/>
      <c r="BG80" s="3925"/>
      <c r="BH80" s="3972"/>
      <c r="BI80" s="3831"/>
      <c r="BJ80" s="2581"/>
      <c r="BK80" s="3936"/>
      <c r="BL80" s="3935"/>
      <c r="BM80" s="3936"/>
      <c r="BN80" s="3935"/>
      <c r="BO80" s="3963"/>
    </row>
    <row r="81" spans="1:67" s="99" customFormat="1" ht="98.25" customHeight="1" x14ac:dyDescent="0.2">
      <c r="A81" s="518"/>
      <c r="B81" s="519"/>
      <c r="C81" s="550"/>
      <c r="D81" s="551"/>
      <c r="E81" s="550"/>
      <c r="F81" s="551"/>
      <c r="G81" s="4576"/>
      <c r="H81" s="3961"/>
      <c r="I81" s="3468"/>
      <c r="J81" s="3944"/>
      <c r="K81" s="3965"/>
      <c r="L81" s="3915"/>
      <c r="M81" s="3891"/>
      <c r="N81" s="3873"/>
      <c r="O81" s="3875"/>
      <c r="P81" s="3976"/>
      <c r="Q81" s="3872"/>
      <c r="R81" s="3419"/>
      <c r="S81" s="589" t="s">
        <v>602</v>
      </c>
      <c r="T81" s="590">
        <v>25000000</v>
      </c>
      <c r="U81" s="591">
        <v>0</v>
      </c>
      <c r="V81" s="376"/>
      <c r="W81" s="385">
        <v>20</v>
      </c>
      <c r="X81" s="385" t="s">
        <v>70</v>
      </c>
      <c r="Y81" s="3831"/>
      <c r="Z81" s="3831"/>
      <c r="AA81" s="3831"/>
      <c r="AB81" s="3831"/>
      <c r="AC81" s="3975"/>
      <c r="AD81" s="594"/>
      <c r="AE81" s="3830"/>
      <c r="AF81" s="595"/>
      <c r="AG81" s="3830"/>
      <c r="AH81" s="595"/>
      <c r="AI81" s="3830"/>
      <c r="AJ81" s="595"/>
      <c r="AK81" s="3830"/>
      <c r="AL81" s="595"/>
      <c r="AM81" s="3830"/>
      <c r="AN81" s="595"/>
      <c r="AO81" s="3830"/>
      <c r="AP81" s="595"/>
      <c r="AQ81" s="3830"/>
      <c r="AR81" s="595"/>
      <c r="AS81" s="3830"/>
      <c r="AT81" s="595"/>
      <c r="AU81" s="3830"/>
      <c r="AV81" s="595"/>
      <c r="AW81" s="3830"/>
      <c r="AX81" s="595"/>
      <c r="AY81" s="3830"/>
      <c r="AZ81" s="595"/>
      <c r="BA81" s="3830"/>
      <c r="BB81" s="595"/>
      <c r="BC81" s="3831"/>
      <c r="BD81" s="3831"/>
      <c r="BE81" s="3831"/>
      <c r="BF81" s="3925"/>
      <c r="BG81" s="3925"/>
      <c r="BH81" s="3972"/>
      <c r="BI81" s="3831"/>
      <c r="BJ81" s="2581"/>
      <c r="BK81" s="3936"/>
      <c r="BL81" s="3935"/>
      <c r="BM81" s="3936"/>
      <c r="BN81" s="3935"/>
      <c r="BO81" s="3963"/>
    </row>
    <row r="82" spans="1:67" s="99" customFormat="1" ht="75" customHeight="1" x14ac:dyDescent="0.2">
      <c r="A82" s="518"/>
      <c r="B82" s="519"/>
      <c r="C82" s="550"/>
      <c r="D82" s="551"/>
      <c r="E82" s="550"/>
      <c r="F82" s="551"/>
      <c r="G82" s="4576"/>
      <c r="H82" s="3961"/>
      <c r="I82" s="3468"/>
      <c r="J82" s="3944"/>
      <c r="K82" s="3965"/>
      <c r="L82" s="3915"/>
      <c r="M82" s="3891"/>
      <c r="N82" s="3873"/>
      <c r="O82" s="3875"/>
      <c r="P82" s="3976"/>
      <c r="Q82" s="3872"/>
      <c r="R82" s="3419"/>
      <c r="S82" s="589" t="s">
        <v>603</v>
      </c>
      <c r="T82" s="590">
        <v>20000000</v>
      </c>
      <c r="U82" s="591">
        <v>0</v>
      </c>
      <c r="V82" s="376"/>
      <c r="W82" s="385">
        <v>20</v>
      </c>
      <c r="X82" s="385" t="s">
        <v>70</v>
      </c>
      <c r="Y82" s="3831"/>
      <c r="Z82" s="3831"/>
      <c r="AA82" s="3831"/>
      <c r="AB82" s="3831"/>
      <c r="AC82" s="3975"/>
      <c r="AD82" s="594"/>
      <c r="AE82" s="3830"/>
      <c r="AF82" s="595"/>
      <c r="AG82" s="3830"/>
      <c r="AH82" s="595"/>
      <c r="AI82" s="3830"/>
      <c r="AJ82" s="595"/>
      <c r="AK82" s="3830"/>
      <c r="AL82" s="595"/>
      <c r="AM82" s="3830"/>
      <c r="AN82" s="595"/>
      <c r="AO82" s="3830"/>
      <c r="AP82" s="595"/>
      <c r="AQ82" s="3830"/>
      <c r="AR82" s="595"/>
      <c r="AS82" s="3830"/>
      <c r="AT82" s="595"/>
      <c r="AU82" s="3830"/>
      <c r="AV82" s="595"/>
      <c r="AW82" s="3830"/>
      <c r="AX82" s="595"/>
      <c r="AY82" s="3830"/>
      <c r="AZ82" s="595"/>
      <c r="BA82" s="3830"/>
      <c r="BB82" s="595"/>
      <c r="BC82" s="3831"/>
      <c r="BD82" s="3831"/>
      <c r="BE82" s="3831"/>
      <c r="BF82" s="3925"/>
      <c r="BG82" s="3925"/>
      <c r="BH82" s="3972"/>
      <c r="BI82" s="3831"/>
      <c r="BJ82" s="2581"/>
      <c r="BK82" s="3936"/>
      <c r="BL82" s="3935"/>
      <c r="BM82" s="3936"/>
      <c r="BN82" s="3935"/>
      <c r="BO82" s="3963"/>
    </row>
    <row r="83" spans="1:67" s="99" customFormat="1" ht="60.75" customHeight="1" x14ac:dyDescent="0.2">
      <c r="A83" s="518"/>
      <c r="B83" s="519"/>
      <c r="C83" s="550"/>
      <c r="D83" s="551"/>
      <c r="E83" s="550"/>
      <c r="F83" s="551"/>
      <c r="G83" s="4576"/>
      <c r="H83" s="3961"/>
      <c r="I83" s="3468"/>
      <c r="J83" s="3944"/>
      <c r="K83" s="3965"/>
      <c r="L83" s="3915"/>
      <c r="M83" s="3891"/>
      <c r="N83" s="3873"/>
      <c r="O83" s="3875"/>
      <c r="P83" s="3976"/>
      <c r="Q83" s="3872"/>
      <c r="R83" s="3419"/>
      <c r="S83" s="589" t="s">
        <v>604</v>
      </c>
      <c r="T83" s="590">
        <v>20000000</v>
      </c>
      <c r="U83" s="591">
        <v>0</v>
      </c>
      <c r="V83" s="376"/>
      <c r="W83" s="385">
        <v>20</v>
      </c>
      <c r="X83" s="385" t="s">
        <v>70</v>
      </c>
      <c r="Y83" s="3831"/>
      <c r="Z83" s="3831"/>
      <c r="AA83" s="3831"/>
      <c r="AB83" s="3831"/>
      <c r="AC83" s="3975"/>
      <c r="AD83" s="594"/>
      <c r="AE83" s="3830"/>
      <c r="AF83" s="595"/>
      <c r="AG83" s="3830"/>
      <c r="AH83" s="595"/>
      <c r="AI83" s="3830"/>
      <c r="AJ83" s="595"/>
      <c r="AK83" s="3830"/>
      <c r="AL83" s="595"/>
      <c r="AM83" s="3830"/>
      <c r="AN83" s="595"/>
      <c r="AO83" s="3830"/>
      <c r="AP83" s="595"/>
      <c r="AQ83" s="3830"/>
      <c r="AR83" s="595"/>
      <c r="AS83" s="3830"/>
      <c r="AT83" s="595"/>
      <c r="AU83" s="3830"/>
      <c r="AV83" s="595"/>
      <c r="AW83" s="3830"/>
      <c r="AX83" s="595"/>
      <c r="AY83" s="3830"/>
      <c r="AZ83" s="595"/>
      <c r="BA83" s="3830"/>
      <c r="BB83" s="595"/>
      <c r="BC83" s="3831"/>
      <c r="BD83" s="3831"/>
      <c r="BE83" s="3831"/>
      <c r="BF83" s="3925"/>
      <c r="BG83" s="3925"/>
      <c r="BH83" s="3972"/>
      <c r="BI83" s="3831"/>
      <c r="BJ83" s="2581"/>
      <c r="BK83" s="3936"/>
      <c r="BL83" s="3935"/>
      <c r="BM83" s="3936"/>
      <c r="BN83" s="3935"/>
      <c r="BO83" s="3963"/>
    </row>
    <row r="84" spans="1:67" s="99" customFormat="1" ht="55.5" customHeight="1" x14ac:dyDescent="0.2">
      <c r="A84" s="518"/>
      <c r="B84" s="519"/>
      <c r="C84" s="550"/>
      <c r="D84" s="551"/>
      <c r="E84" s="550"/>
      <c r="F84" s="551"/>
      <c r="G84" s="4576"/>
      <c r="H84" s="3961"/>
      <c r="I84" s="3468"/>
      <c r="J84" s="3944"/>
      <c r="K84" s="3965"/>
      <c r="L84" s="3915"/>
      <c r="M84" s="3891"/>
      <c r="N84" s="3873"/>
      <c r="O84" s="3875"/>
      <c r="P84" s="3976"/>
      <c r="Q84" s="3872"/>
      <c r="R84" s="3419"/>
      <c r="S84" s="589" t="s">
        <v>605</v>
      </c>
      <c r="T84" s="590">
        <v>17000000</v>
      </c>
      <c r="U84" s="591">
        <v>0</v>
      </c>
      <c r="V84" s="376"/>
      <c r="W84" s="385">
        <v>20</v>
      </c>
      <c r="X84" s="385" t="s">
        <v>70</v>
      </c>
      <c r="Y84" s="3831"/>
      <c r="Z84" s="3831"/>
      <c r="AA84" s="3831"/>
      <c r="AB84" s="3831"/>
      <c r="AC84" s="3975"/>
      <c r="AD84" s="594"/>
      <c r="AE84" s="3830"/>
      <c r="AF84" s="595"/>
      <c r="AG84" s="3830"/>
      <c r="AH84" s="595"/>
      <c r="AI84" s="3830"/>
      <c r="AJ84" s="595"/>
      <c r="AK84" s="3830"/>
      <c r="AL84" s="595"/>
      <c r="AM84" s="3830"/>
      <c r="AN84" s="595"/>
      <c r="AO84" s="3830"/>
      <c r="AP84" s="595"/>
      <c r="AQ84" s="3830"/>
      <c r="AR84" s="595"/>
      <c r="AS84" s="3830"/>
      <c r="AT84" s="595"/>
      <c r="AU84" s="3830"/>
      <c r="AV84" s="595"/>
      <c r="AW84" s="3830"/>
      <c r="AX84" s="595"/>
      <c r="AY84" s="3830"/>
      <c r="AZ84" s="595"/>
      <c r="BA84" s="3830"/>
      <c r="BB84" s="595"/>
      <c r="BC84" s="3831"/>
      <c r="BD84" s="3831"/>
      <c r="BE84" s="3831"/>
      <c r="BF84" s="3925"/>
      <c r="BG84" s="3925"/>
      <c r="BH84" s="3972"/>
      <c r="BI84" s="3831"/>
      <c r="BJ84" s="2581"/>
      <c r="BK84" s="3936"/>
      <c r="BL84" s="3935"/>
      <c r="BM84" s="3936"/>
      <c r="BN84" s="3935"/>
      <c r="BO84" s="3963"/>
    </row>
    <row r="85" spans="1:67" s="99" customFormat="1" ht="124.5" customHeight="1" x14ac:dyDescent="0.2">
      <c r="A85" s="518"/>
      <c r="B85" s="519"/>
      <c r="C85" s="550"/>
      <c r="D85" s="551"/>
      <c r="E85" s="550"/>
      <c r="F85" s="551"/>
      <c r="G85" s="4576"/>
      <c r="H85" s="3961"/>
      <c r="I85" s="3468"/>
      <c r="J85" s="3944"/>
      <c r="K85" s="3965"/>
      <c r="L85" s="3915"/>
      <c r="M85" s="3891"/>
      <c r="N85" s="3873"/>
      <c r="O85" s="3875"/>
      <c r="P85" s="3976"/>
      <c r="Q85" s="3872"/>
      <c r="R85" s="3419"/>
      <c r="S85" s="589" t="s">
        <v>606</v>
      </c>
      <c r="T85" s="590">
        <v>20000000</v>
      </c>
      <c r="U85" s="591">
        <v>0</v>
      </c>
      <c r="V85" s="376"/>
      <c r="W85" s="385">
        <v>20</v>
      </c>
      <c r="X85" s="385" t="s">
        <v>70</v>
      </c>
      <c r="Y85" s="3831"/>
      <c r="Z85" s="3831"/>
      <c r="AA85" s="3831"/>
      <c r="AB85" s="3831"/>
      <c r="AC85" s="3975"/>
      <c r="AD85" s="594"/>
      <c r="AE85" s="3830"/>
      <c r="AF85" s="595"/>
      <c r="AG85" s="3830"/>
      <c r="AH85" s="595"/>
      <c r="AI85" s="3830"/>
      <c r="AJ85" s="595"/>
      <c r="AK85" s="3830"/>
      <c r="AL85" s="595"/>
      <c r="AM85" s="3830"/>
      <c r="AN85" s="595"/>
      <c r="AO85" s="3830"/>
      <c r="AP85" s="595"/>
      <c r="AQ85" s="3830"/>
      <c r="AR85" s="595"/>
      <c r="AS85" s="3830"/>
      <c r="AT85" s="595"/>
      <c r="AU85" s="3830"/>
      <c r="AV85" s="595"/>
      <c r="AW85" s="3830"/>
      <c r="AX85" s="595"/>
      <c r="AY85" s="3830"/>
      <c r="AZ85" s="595"/>
      <c r="BA85" s="3830"/>
      <c r="BB85" s="595"/>
      <c r="BC85" s="3831"/>
      <c r="BD85" s="3831"/>
      <c r="BE85" s="3831"/>
      <c r="BF85" s="3925"/>
      <c r="BG85" s="3925"/>
      <c r="BH85" s="3972"/>
      <c r="BI85" s="3831"/>
      <c r="BJ85" s="2581"/>
      <c r="BK85" s="3936"/>
      <c r="BL85" s="3935"/>
      <c r="BM85" s="3936"/>
      <c r="BN85" s="3935"/>
      <c r="BO85" s="3963"/>
    </row>
    <row r="86" spans="1:67" s="99" customFormat="1" ht="67.5" customHeight="1" x14ac:dyDescent="0.2">
      <c r="A86" s="518"/>
      <c r="B86" s="519"/>
      <c r="C86" s="550"/>
      <c r="D86" s="551"/>
      <c r="E86" s="550"/>
      <c r="F86" s="551"/>
      <c r="G86" s="4576"/>
      <c r="H86" s="3961"/>
      <c r="I86" s="3468"/>
      <c r="J86" s="3944"/>
      <c r="K86" s="3965"/>
      <c r="L86" s="3915"/>
      <c r="M86" s="3891"/>
      <c r="N86" s="3873"/>
      <c r="O86" s="3875"/>
      <c r="P86" s="3976"/>
      <c r="Q86" s="3872"/>
      <c r="R86" s="3963"/>
      <c r="S86" s="589" t="s">
        <v>607</v>
      </c>
      <c r="T86" s="590">
        <v>15000000</v>
      </c>
      <c r="U86" s="591">
        <v>0</v>
      </c>
      <c r="V86" s="376"/>
      <c r="W86" s="385">
        <v>20</v>
      </c>
      <c r="X86" s="385" t="s">
        <v>70</v>
      </c>
      <c r="Y86" s="3831"/>
      <c r="Z86" s="3831"/>
      <c r="AA86" s="3831"/>
      <c r="AB86" s="3831"/>
      <c r="AC86" s="3975"/>
      <c r="AD86" s="594"/>
      <c r="AE86" s="3830"/>
      <c r="AF86" s="595"/>
      <c r="AG86" s="3830"/>
      <c r="AH86" s="595"/>
      <c r="AI86" s="3830"/>
      <c r="AJ86" s="595"/>
      <c r="AK86" s="3830"/>
      <c r="AL86" s="595"/>
      <c r="AM86" s="3830"/>
      <c r="AN86" s="595"/>
      <c r="AO86" s="3830"/>
      <c r="AP86" s="595"/>
      <c r="AQ86" s="3830"/>
      <c r="AR86" s="595"/>
      <c r="AS86" s="3830"/>
      <c r="AT86" s="595"/>
      <c r="AU86" s="3830"/>
      <c r="AV86" s="595"/>
      <c r="AW86" s="3830"/>
      <c r="AX86" s="595"/>
      <c r="AY86" s="3830"/>
      <c r="AZ86" s="595"/>
      <c r="BA86" s="3830"/>
      <c r="BB86" s="595"/>
      <c r="BC86" s="3831"/>
      <c r="BD86" s="3831"/>
      <c r="BE86" s="3831"/>
      <c r="BF86" s="3925"/>
      <c r="BG86" s="3925"/>
      <c r="BH86" s="3972"/>
      <c r="BI86" s="3831"/>
      <c r="BJ86" s="2581"/>
      <c r="BK86" s="3936"/>
      <c r="BL86" s="3935"/>
      <c r="BM86" s="3936"/>
      <c r="BN86" s="3935"/>
      <c r="BO86" s="3963"/>
    </row>
    <row r="87" spans="1:67" s="99" customFormat="1" ht="81.75" customHeight="1" x14ac:dyDescent="0.2">
      <c r="A87" s="518"/>
      <c r="B87" s="519"/>
      <c r="C87" s="550"/>
      <c r="D87" s="551"/>
      <c r="E87" s="550"/>
      <c r="F87" s="551"/>
      <c r="G87" s="4576"/>
      <c r="H87" s="3961"/>
      <c r="I87" s="3468"/>
      <c r="J87" s="3944"/>
      <c r="K87" s="3965"/>
      <c r="L87" s="3915"/>
      <c r="M87" s="3891"/>
      <c r="N87" s="3873"/>
      <c r="O87" s="3875"/>
      <c r="P87" s="3976"/>
      <c r="Q87" s="3872"/>
      <c r="R87" s="3468" t="s">
        <v>608</v>
      </c>
      <c r="S87" s="589" t="s">
        <v>609</v>
      </c>
      <c r="T87" s="590">
        <v>79924000</v>
      </c>
      <c r="U87" s="591">
        <v>0</v>
      </c>
      <c r="V87" s="376"/>
      <c r="W87" s="385">
        <v>20</v>
      </c>
      <c r="X87" s="385" t="s">
        <v>70</v>
      </c>
      <c r="Y87" s="3831"/>
      <c r="Z87" s="3831"/>
      <c r="AA87" s="3831"/>
      <c r="AB87" s="3831"/>
      <c r="AC87" s="3975"/>
      <c r="AD87" s="594"/>
      <c r="AE87" s="3830"/>
      <c r="AF87" s="595"/>
      <c r="AG87" s="3830"/>
      <c r="AH87" s="595"/>
      <c r="AI87" s="3830"/>
      <c r="AJ87" s="595"/>
      <c r="AK87" s="3830"/>
      <c r="AL87" s="595"/>
      <c r="AM87" s="3830"/>
      <c r="AN87" s="595"/>
      <c r="AO87" s="3830"/>
      <c r="AP87" s="595"/>
      <c r="AQ87" s="3830"/>
      <c r="AR87" s="595"/>
      <c r="AS87" s="3830"/>
      <c r="AT87" s="595"/>
      <c r="AU87" s="3830"/>
      <c r="AV87" s="595"/>
      <c r="AW87" s="3830"/>
      <c r="AX87" s="595"/>
      <c r="AY87" s="3830"/>
      <c r="AZ87" s="595"/>
      <c r="BA87" s="3830"/>
      <c r="BB87" s="595"/>
      <c r="BC87" s="3831"/>
      <c r="BD87" s="3831"/>
      <c r="BE87" s="3831"/>
      <c r="BF87" s="3925"/>
      <c r="BG87" s="3925"/>
      <c r="BH87" s="3972"/>
      <c r="BI87" s="3831"/>
      <c r="BJ87" s="2581"/>
      <c r="BK87" s="3936"/>
      <c r="BL87" s="3935"/>
      <c r="BM87" s="3936"/>
      <c r="BN87" s="3935"/>
      <c r="BO87" s="3963"/>
    </row>
    <row r="88" spans="1:67" s="99" customFormat="1" ht="85.5" x14ac:dyDescent="0.2">
      <c r="A88" s="518"/>
      <c r="B88" s="519"/>
      <c r="C88" s="550"/>
      <c r="D88" s="551"/>
      <c r="E88" s="550"/>
      <c r="F88" s="551"/>
      <c r="G88" s="4576"/>
      <c r="H88" s="3961"/>
      <c r="I88" s="3468"/>
      <c r="J88" s="3944"/>
      <c r="K88" s="3965"/>
      <c r="L88" s="3915"/>
      <c r="M88" s="3891"/>
      <c r="N88" s="3873"/>
      <c r="O88" s="3875"/>
      <c r="P88" s="3976"/>
      <c r="Q88" s="3872"/>
      <c r="R88" s="3468"/>
      <c r="S88" s="589" t="s">
        <v>610</v>
      </c>
      <c r="T88" s="590">
        <v>30000000</v>
      </c>
      <c r="U88" s="591">
        <v>0</v>
      </c>
      <c r="V88" s="376"/>
      <c r="W88" s="385">
        <v>20</v>
      </c>
      <c r="X88" s="385" t="s">
        <v>70</v>
      </c>
      <c r="Y88" s="3831"/>
      <c r="Z88" s="3831"/>
      <c r="AA88" s="3831"/>
      <c r="AB88" s="3831"/>
      <c r="AC88" s="3975"/>
      <c r="AD88" s="594"/>
      <c r="AE88" s="3830"/>
      <c r="AF88" s="595"/>
      <c r="AG88" s="3830"/>
      <c r="AH88" s="595"/>
      <c r="AI88" s="3830"/>
      <c r="AJ88" s="595"/>
      <c r="AK88" s="3830"/>
      <c r="AL88" s="595"/>
      <c r="AM88" s="3830"/>
      <c r="AN88" s="595"/>
      <c r="AO88" s="3830"/>
      <c r="AP88" s="595"/>
      <c r="AQ88" s="3830"/>
      <c r="AR88" s="595"/>
      <c r="AS88" s="3830"/>
      <c r="AT88" s="595"/>
      <c r="AU88" s="3830"/>
      <c r="AV88" s="595"/>
      <c r="AW88" s="3830"/>
      <c r="AX88" s="595"/>
      <c r="AY88" s="3830"/>
      <c r="AZ88" s="595"/>
      <c r="BA88" s="3830"/>
      <c r="BB88" s="595"/>
      <c r="BC88" s="3831"/>
      <c r="BD88" s="3831"/>
      <c r="BE88" s="3831"/>
      <c r="BF88" s="3925"/>
      <c r="BG88" s="3925"/>
      <c r="BH88" s="3972"/>
      <c r="BI88" s="3831"/>
      <c r="BJ88" s="2581"/>
      <c r="BK88" s="3936"/>
      <c r="BL88" s="3935"/>
      <c r="BM88" s="3936"/>
      <c r="BN88" s="3935"/>
      <c r="BO88" s="3963"/>
    </row>
    <row r="89" spans="1:67" s="99" customFormat="1" ht="78.75" customHeight="1" x14ac:dyDescent="0.2">
      <c r="A89" s="518"/>
      <c r="B89" s="519"/>
      <c r="C89" s="550"/>
      <c r="D89" s="551"/>
      <c r="E89" s="550"/>
      <c r="F89" s="551"/>
      <c r="G89" s="4576"/>
      <c r="H89" s="3961"/>
      <c r="I89" s="3468"/>
      <c r="J89" s="3944"/>
      <c r="K89" s="3965"/>
      <c r="L89" s="3915"/>
      <c r="M89" s="3891"/>
      <c r="N89" s="3961"/>
      <c r="O89" s="3875"/>
      <c r="P89" s="3977"/>
      <c r="Q89" s="3872"/>
      <c r="R89" s="3468"/>
      <c r="S89" s="589" t="s">
        <v>611</v>
      </c>
      <c r="T89" s="590">
        <v>70000000</v>
      </c>
      <c r="U89" s="591">
        <v>0</v>
      </c>
      <c r="V89" s="376"/>
      <c r="W89" s="385">
        <v>20</v>
      </c>
      <c r="X89" s="385" t="s">
        <v>70</v>
      </c>
      <c r="Y89" s="3831"/>
      <c r="Z89" s="3831"/>
      <c r="AA89" s="3831"/>
      <c r="AB89" s="3831"/>
      <c r="AC89" s="3975"/>
      <c r="AD89" s="594"/>
      <c r="AE89" s="3830"/>
      <c r="AF89" s="595"/>
      <c r="AG89" s="3830"/>
      <c r="AH89" s="595"/>
      <c r="AI89" s="3830"/>
      <c r="AJ89" s="595"/>
      <c r="AK89" s="3830"/>
      <c r="AL89" s="595"/>
      <c r="AM89" s="3830"/>
      <c r="AN89" s="595"/>
      <c r="AO89" s="3830"/>
      <c r="AP89" s="595"/>
      <c r="AQ89" s="3830"/>
      <c r="AR89" s="595"/>
      <c r="AS89" s="3830"/>
      <c r="AT89" s="595"/>
      <c r="AU89" s="3830"/>
      <c r="AV89" s="595"/>
      <c r="AW89" s="3830"/>
      <c r="AX89" s="595"/>
      <c r="AY89" s="3830"/>
      <c r="AZ89" s="595"/>
      <c r="BA89" s="3830"/>
      <c r="BB89" s="595"/>
      <c r="BC89" s="3831"/>
      <c r="BD89" s="3831"/>
      <c r="BE89" s="3831"/>
      <c r="BF89" s="3925"/>
      <c r="BG89" s="3925"/>
      <c r="BH89" s="3972"/>
      <c r="BI89" s="3831"/>
      <c r="BJ89" s="2581"/>
      <c r="BK89" s="3928"/>
      <c r="BL89" s="3935"/>
      <c r="BM89" s="3928"/>
      <c r="BN89" s="3935"/>
      <c r="BO89" s="3468"/>
    </row>
    <row r="90" spans="1:67" s="99" customFormat="1" ht="60" customHeight="1" x14ac:dyDescent="0.2">
      <c r="A90" s="518"/>
      <c r="B90" s="519"/>
      <c r="C90" s="550"/>
      <c r="D90" s="551"/>
      <c r="E90" s="550"/>
      <c r="F90" s="551"/>
      <c r="G90" s="4576"/>
      <c r="H90" s="3961"/>
      <c r="I90" s="3468"/>
      <c r="J90" s="3944"/>
      <c r="K90" s="3965"/>
      <c r="L90" s="3915"/>
      <c r="M90" s="3891"/>
      <c r="N90" s="3961"/>
      <c r="O90" s="3875"/>
      <c r="P90" s="3977"/>
      <c r="Q90" s="3872"/>
      <c r="R90" s="3468"/>
      <c r="S90" s="589" t="s">
        <v>612</v>
      </c>
      <c r="T90" s="590">
        <v>20000000</v>
      </c>
      <c r="U90" s="591">
        <v>0</v>
      </c>
      <c r="V90" s="376"/>
      <c r="W90" s="385">
        <v>20</v>
      </c>
      <c r="X90" s="385" t="s">
        <v>70</v>
      </c>
      <c r="Y90" s="3831"/>
      <c r="Z90" s="3831"/>
      <c r="AA90" s="3831"/>
      <c r="AB90" s="3831"/>
      <c r="AC90" s="3975"/>
      <c r="AD90" s="594"/>
      <c r="AE90" s="3830"/>
      <c r="AF90" s="595"/>
      <c r="AG90" s="3830"/>
      <c r="AH90" s="595"/>
      <c r="AI90" s="3830"/>
      <c r="AJ90" s="595"/>
      <c r="AK90" s="3830"/>
      <c r="AL90" s="595"/>
      <c r="AM90" s="3830"/>
      <c r="AN90" s="595"/>
      <c r="AO90" s="3830"/>
      <c r="AP90" s="595"/>
      <c r="AQ90" s="3830"/>
      <c r="AR90" s="595"/>
      <c r="AS90" s="3830"/>
      <c r="AT90" s="595"/>
      <c r="AU90" s="3830"/>
      <c r="AV90" s="595"/>
      <c r="AW90" s="3830"/>
      <c r="AX90" s="595"/>
      <c r="AY90" s="3830"/>
      <c r="AZ90" s="595"/>
      <c r="BA90" s="3830"/>
      <c r="BB90" s="595"/>
      <c r="BC90" s="3831"/>
      <c r="BD90" s="3831"/>
      <c r="BE90" s="3831"/>
      <c r="BF90" s="3925"/>
      <c r="BG90" s="3925"/>
      <c r="BH90" s="3972"/>
      <c r="BI90" s="3831"/>
      <c r="BJ90" s="2581"/>
      <c r="BK90" s="3928"/>
      <c r="BL90" s="3935"/>
      <c r="BM90" s="3928"/>
      <c r="BN90" s="3935"/>
      <c r="BO90" s="3468"/>
    </row>
    <row r="91" spans="1:67" s="99" customFormat="1" ht="38.25" customHeight="1" x14ac:dyDescent="0.2">
      <c r="A91" s="518"/>
      <c r="B91" s="519"/>
      <c r="C91" s="550"/>
      <c r="D91" s="551"/>
      <c r="E91" s="550"/>
      <c r="F91" s="551"/>
      <c r="G91" s="4576"/>
      <c r="H91" s="3961"/>
      <c r="I91" s="3468"/>
      <c r="J91" s="3944"/>
      <c r="K91" s="3965"/>
      <c r="L91" s="3915"/>
      <c r="M91" s="3891"/>
      <c r="N91" s="3961"/>
      <c r="O91" s="3875"/>
      <c r="P91" s="3977"/>
      <c r="Q91" s="3872"/>
      <c r="R91" s="3468"/>
      <c r="S91" s="589" t="s">
        <v>613</v>
      </c>
      <c r="T91" s="596">
        <v>10000000</v>
      </c>
      <c r="U91" s="591">
        <v>0</v>
      </c>
      <c r="V91" s="376"/>
      <c r="W91" s="385">
        <v>20</v>
      </c>
      <c r="X91" s="385" t="s">
        <v>70</v>
      </c>
      <c r="Y91" s="3831"/>
      <c r="Z91" s="3831"/>
      <c r="AA91" s="3831"/>
      <c r="AB91" s="3831"/>
      <c r="AC91" s="3975"/>
      <c r="AD91" s="594"/>
      <c r="AE91" s="3830"/>
      <c r="AF91" s="595"/>
      <c r="AG91" s="3830"/>
      <c r="AH91" s="595"/>
      <c r="AI91" s="3830"/>
      <c r="AJ91" s="595"/>
      <c r="AK91" s="3830"/>
      <c r="AL91" s="595"/>
      <c r="AM91" s="3830"/>
      <c r="AN91" s="595"/>
      <c r="AO91" s="3830"/>
      <c r="AP91" s="595"/>
      <c r="AQ91" s="3830"/>
      <c r="AR91" s="595"/>
      <c r="AS91" s="3830"/>
      <c r="AT91" s="595"/>
      <c r="AU91" s="3830"/>
      <c r="AV91" s="595"/>
      <c r="AW91" s="3830"/>
      <c r="AX91" s="595"/>
      <c r="AY91" s="3830"/>
      <c r="AZ91" s="595"/>
      <c r="BA91" s="3830"/>
      <c r="BB91" s="595"/>
      <c r="BC91" s="3831"/>
      <c r="BD91" s="3831"/>
      <c r="BE91" s="3831"/>
      <c r="BF91" s="3925"/>
      <c r="BG91" s="3925"/>
      <c r="BH91" s="3972"/>
      <c r="BI91" s="3831"/>
      <c r="BJ91" s="2581"/>
      <c r="BK91" s="3928"/>
      <c r="BL91" s="3935"/>
      <c r="BM91" s="3928"/>
      <c r="BN91" s="3935"/>
      <c r="BO91" s="3468"/>
    </row>
    <row r="92" spans="1:67" s="99" customFormat="1" ht="51" customHeight="1" x14ac:dyDescent="0.2">
      <c r="A92" s="518"/>
      <c r="B92" s="519"/>
      <c r="C92" s="550"/>
      <c r="D92" s="551"/>
      <c r="E92" s="550"/>
      <c r="F92" s="551"/>
      <c r="G92" s="4576"/>
      <c r="H92" s="3961"/>
      <c r="I92" s="3468"/>
      <c r="J92" s="3944"/>
      <c r="K92" s="3946"/>
      <c r="L92" s="3915"/>
      <c r="M92" s="3891"/>
      <c r="N92" s="3961"/>
      <c r="O92" s="3875"/>
      <c r="P92" s="3977"/>
      <c r="Q92" s="3872"/>
      <c r="R92" s="3468"/>
      <c r="S92" s="589" t="s">
        <v>614</v>
      </c>
      <c r="T92" s="596">
        <v>10000000</v>
      </c>
      <c r="U92" s="591">
        <v>0</v>
      </c>
      <c r="V92" s="376"/>
      <c r="W92" s="385">
        <v>20</v>
      </c>
      <c r="X92" s="385" t="s">
        <v>70</v>
      </c>
      <c r="Y92" s="3858"/>
      <c r="Z92" s="3858"/>
      <c r="AA92" s="3858"/>
      <c r="AB92" s="3858"/>
      <c r="AC92" s="3975"/>
      <c r="AD92" s="594"/>
      <c r="AE92" s="3830"/>
      <c r="AF92" s="595"/>
      <c r="AG92" s="3830"/>
      <c r="AH92" s="595"/>
      <c r="AI92" s="3830"/>
      <c r="AJ92" s="595"/>
      <c r="AK92" s="3830"/>
      <c r="AL92" s="595"/>
      <c r="AM92" s="3830"/>
      <c r="AN92" s="595"/>
      <c r="AO92" s="3830"/>
      <c r="AP92" s="595"/>
      <c r="AQ92" s="3830"/>
      <c r="AR92" s="595"/>
      <c r="AS92" s="3830"/>
      <c r="AT92" s="595"/>
      <c r="AU92" s="3830"/>
      <c r="AV92" s="595"/>
      <c r="AW92" s="3830"/>
      <c r="AX92" s="595"/>
      <c r="AY92" s="3830"/>
      <c r="AZ92" s="595"/>
      <c r="BA92" s="3830"/>
      <c r="BB92" s="595"/>
      <c r="BC92" s="3831"/>
      <c r="BD92" s="3858"/>
      <c r="BE92" s="3858"/>
      <c r="BF92" s="3926"/>
      <c r="BG92" s="3926"/>
      <c r="BH92" s="3973"/>
      <c r="BI92" s="3858"/>
      <c r="BJ92" s="2582"/>
      <c r="BK92" s="3928"/>
      <c r="BL92" s="3936"/>
      <c r="BM92" s="3928"/>
      <c r="BN92" s="3936"/>
      <c r="BO92" s="3468"/>
    </row>
    <row r="93" spans="1:67" s="99" customFormat="1" ht="66" customHeight="1" x14ac:dyDescent="0.2">
      <c r="A93" s="518"/>
      <c r="B93" s="519"/>
      <c r="C93" s="550"/>
      <c r="D93" s="551"/>
      <c r="E93" s="550"/>
      <c r="F93" s="551"/>
      <c r="G93" s="4576">
        <v>192</v>
      </c>
      <c r="H93" s="3871" t="s">
        <v>615</v>
      </c>
      <c r="I93" s="3871" t="s">
        <v>616</v>
      </c>
      <c r="J93" s="3968">
        <v>1</v>
      </c>
      <c r="K93" s="3969">
        <v>0.7</v>
      </c>
      <c r="L93" s="3914" t="s">
        <v>617</v>
      </c>
      <c r="M93" s="3917" t="s">
        <v>618</v>
      </c>
      <c r="N93" s="3871" t="s">
        <v>619</v>
      </c>
      <c r="O93" s="3918">
        <f>SUM(T93:T94)/P93</f>
        <v>1</v>
      </c>
      <c r="P93" s="3877">
        <f>SUM(T93:T94)</f>
        <v>79500000</v>
      </c>
      <c r="Q93" s="3961" t="s">
        <v>620</v>
      </c>
      <c r="R93" s="3962" t="s">
        <v>621</v>
      </c>
      <c r="S93" s="597" t="s">
        <v>622</v>
      </c>
      <c r="T93" s="579">
        <v>44500000</v>
      </c>
      <c r="U93" s="371">
        <v>9520000</v>
      </c>
      <c r="V93" s="371">
        <v>2800000</v>
      </c>
      <c r="W93" s="385">
        <v>20</v>
      </c>
      <c r="X93" s="385" t="s">
        <v>70</v>
      </c>
      <c r="Y93" s="3967">
        <v>704</v>
      </c>
      <c r="Z93" s="3957">
        <v>27</v>
      </c>
      <c r="AA93" s="3957">
        <v>896</v>
      </c>
      <c r="AB93" s="3957">
        <v>25</v>
      </c>
      <c r="AC93" s="3832"/>
      <c r="AD93" s="3832">
        <v>4</v>
      </c>
      <c r="AE93" s="3832"/>
      <c r="AF93" s="3832"/>
      <c r="AG93" s="3832">
        <v>1600</v>
      </c>
      <c r="AH93" s="3832"/>
      <c r="AI93" s="3832"/>
      <c r="AJ93" s="3832"/>
      <c r="AK93" s="3832"/>
      <c r="AL93" s="3832"/>
      <c r="AM93" s="3832"/>
      <c r="AN93" s="3832"/>
      <c r="AO93" s="3832"/>
      <c r="AP93" s="3832"/>
      <c r="AQ93" s="3832"/>
      <c r="AR93" s="3832"/>
      <c r="AS93" s="3832"/>
      <c r="AT93" s="3832"/>
      <c r="AU93" s="3832"/>
      <c r="AV93" s="3832"/>
      <c r="AW93" s="3832"/>
      <c r="AX93" s="3832"/>
      <c r="AY93" s="3832"/>
      <c r="AZ93" s="3832"/>
      <c r="BA93" s="3966"/>
      <c r="BB93" s="3832"/>
      <c r="BC93" s="3903">
        <f>SUM(BA93+AY93+AW93+AU93+AS93+AQ93+AO93+AM93+AK93+AI93+AG93+AE93+AC93)</f>
        <v>1600</v>
      </c>
      <c r="BD93" s="3903">
        <f>SUM(BB93+AZ93+AX93+AV93+AT93+AR93+AP93+AN93+AL93+AJ93+AH93+AF93+AD93)</f>
        <v>4</v>
      </c>
      <c r="BE93" s="3903">
        <v>2</v>
      </c>
      <c r="BF93" s="3834">
        <f>SUM(U93:U94)</f>
        <v>44520000</v>
      </c>
      <c r="BG93" s="3834">
        <f>SUM(V93:V94)</f>
        <v>2800000</v>
      </c>
      <c r="BH93" s="3937">
        <f>BG93/BF93</f>
        <v>6.2893081761006289E-2</v>
      </c>
      <c r="BI93" s="3903">
        <v>20</v>
      </c>
      <c r="BJ93" s="3948" t="s">
        <v>623</v>
      </c>
      <c r="BK93" s="3376">
        <v>43832</v>
      </c>
      <c r="BL93" s="3934">
        <v>43832</v>
      </c>
      <c r="BM93" s="3376">
        <v>43982</v>
      </c>
      <c r="BN93" s="3934">
        <v>43982</v>
      </c>
      <c r="BO93" s="3419" t="s">
        <v>478</v>
      </c>
    </row>
    <row r="94" spans="1:67" s="99" customFormat="1" ht="52.5" customHeight="1" x14ac:dyDescent="0.2">
      <c r="A94" s="518"/>
      <c r="B94" s="519"/>
      <c r="C94" s="550"/>
      <c r="D94" s="551"/>
      <c r="E94" s="550"/>
      <c r="F94" s="551"/>
      <c r="G94" s="4576"/>
      <c r="H94" s="3872"/>
      <c r="I94" s="3872"/>
      <c r="J94" s="3968"/>
      <c r="K94" s="3970"/>
      <c r="L94" s="3915"/>
      <c r="M94" s="3891"/>
      <c r="N94" s="3872"/>
      <c r="O94" s="3918"/>
      <c r="P94" s="3877"/>
      <c r="Q94" s="3961"/>
      <c r="R94" s="3419"/>
      <c r="S94" s="597" t="s">
        <v>624</v>
      </c>
      <c r="T94" s="536">
        <v>35000000</v>
      </c>
      <c r="U94" s="371">
        <v>35000000</v>
      </c>
      <c r="V94" s="376"/>
      <c r="W94" s="385">
        <v>20</v>
      </c>
      <c r="X94" s="385" t="s">
        <v>70</v>
      </c>
      <c r="Y94" s="3967"/>
      <c r="Z94" s="3958"/>
      <c r="AA94" s="3958"/>
      <c r="AB94" s="3958"/>
      <c r="AC94" s="3831"/>
      <c r="AD94" s="3831"/>
      <c r="AE94" s="3831"/>
      <c r="AF94" s="3831"/>
      <c r="AG94" s="3831"/>
      <c r="AH94" s="3831"/>
      <c r="AI94" s="3831"/>
      <c r="AJ94" s="3831"/>
      <c r="AK94" s="3831"/>
      <c r="AL94" s="3831"/>
      <c r="AM94" s="3831"/>
      <c r="AN94" s="3831"/>
      <c r="AO94" s="3831"/>
      <c r="AP94" s="3831"/>
      <c r="AQ94" s="3831"/>
      <c r="AR94" s="3831"/>
      <c r="AS94" s="3831"/>
      <c r="AT94" s="3831"/>
      <c r="AU94" s="3831"/>
      <c r="AV94" s="3831"/>
      <c r="AW94" s="3831"/>
      <c r="AX94" s="3831"/>
      <c r="AY94" s="3831"/>
      <c r="AZ94" s="3831"/>
      <c r="BA94" s="3831"/>
      <c r="BB94" s="3831"/>
      <c r="BC94" s="3904"/>
      <c r="BD94" s="3904"/>
      <c r="BE94" s="3904"/>
      <c r="BF94" s="3835"/>
      <c r="BG94" s="3835"/>
      <c r="BH94" s="3947"/>
      <c r="BI94" s="3904"/>
      <c r="BJ94" s="3949"/>
      <c r="BK94" s="3376"/>
      <c r="BL94" s="3935"/>
      <c r="BM94" s="3376"/>
      <c r="BN94" s="3935"/>
      <c r="BO94" s="3419"/>
    </row>
    <row r="95" spans="1:67" ht="15" x14ac:dyDescent="0.2">
      <c r="A95" s="518"/>
      <c r="B95" s="519"/>
      <c r="C95" s="550"/>
      <c r="D95" s="551"/>
      <c r="E95" s="598">
        <v>63</v>
      </c>
      <c r="F95" s="599" t="s">
        <v>625</v>
      </c>
      <c r="G95" s="605"/>
      <c r="H95" s="601"/>
      <c r="I95" s="601"/>
      <c r="J95" s="600"/>
      <c r="K95" s="602"/>
      <c r="L95" s="603"/>
      <c r="M95" s="603"/>
      <c r="N95" s="600"/>
      <c r="O95" s="600"/>
      <c r="P95" s="600"/>
      <c r="Q95" s="601"/>
      <c r="R95" s="601"/>
      <c r="S95" s="601"/>
      <c r="T95" s="604"/>
      <c r="U95" s="604"/>
      <c r="V95" s="604"/>
      <c r="W95" s="605"/>
      <c r="X95" s="60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600"/>
      <c r="BE95" s="606"/>
      <c r="BF95" s="604"/>
      <c r="BG95" s="604"/>
      <c r="BH95" s="606"/>
      <c r="BI95" s="606"/>
      <c r="BJ95" s="606"/>
      <c r="BK95" s="606"/>
      <c r="BL95" s="606"/>
      <c r="BM95" s="606"/>
      <c r="BN95" s="606"/>
      <c r="BO95" s="607"/>
    </row>
    <row r="96" spans="1:67" s="99" customFormat="1" ht="72" customHeight="1" x14ac:dyDescent="0.2">
      <c r="A96" s="518"/>
      <c r="B96" s="519"/>
      <c r="C96" s="550"/>
      <c r="D96" s="551"/>
      <c r="E96" s="563"/>
      <c r="F96" s="551"/>
      <c r="G96" s="4577">
        <v>193</v>
      </c>
      <c r="H96" s="3872" t="s">
        <v>626</v>
      </c>
      <c r="I96" s="3872" t="s">
        <v>627</v>
      </c>
      <c r="J96" s="3964">
        <v>1</v>
      </c>
      <c r="K96" s="3945">
        <v>1</v>
      </c>
      <c r="L96" s="3914" t="s">
        <v>628</v>
      </c>
      <c r="M96" s="3891" t="s">
        <v>629</v>
      </c>
      <c r="N96" s="2690" t="s">
        <v>630</v>
      </c>
      <c r="O96" s="3918">
        <f>SUM(T96:T98)/P96</f>
        <v>1</v>
      </c>
      <c r="P96" s="3960">
        <f>SUM(T96:T98)</f>
        <v>30000000</v>
      </c>
      <c r="Q96" s="3961" t="s">
        <v>631</v>
      </c>
      <c r="R96" s="3962" t="s">
        <v>632</v>
      </c>
      <c r="S96" s="379" t="s">
        <v>633</v>
      </c>
      <c r="T96" s="536">
        <v>7550000</v>
      </c>
      <c r="U96" s="371">
        <v>0</v>
      </c>
      <c r="V96" s="371"/>
      <c r="W96" s="385">
        <v>20</v>
      </c>
      <c r="X96" s="385" t="s">
        <v>70</v>
      </c>
      <c r="Y96" s="3928">
        <v>18</v>
      </c>
      <c r="Z96" s="3928"/>
      <c r="AA96" s="3928">
        <v>17</v>
      </c>
      <c r="AB96" s="3928"/>
      <c r="AC96" s="3954"/>
      <c r="AD96" s="3954"/>
      <c r="AE96" s="3954"/>
      <c r="AF96" s="3954"/>
      <c r="AG96" s="3954"/>
      <c r="AH96" s="3954">
        <v>35</v>
      </c>
      <c r="AI96" s="3954"/>
      <c r="AJ96" s="3954"/>
      <c r="AK96" s="3957">
        <v>35</v>
      </c>
      <c r="AL96" s="3957">
        <v>6</v>
      </c>
      <c r="AM96" s="3954"/>
      <c r="AN96" s="3954"/>
      <c r="AO96" s="3951"/>
      <c r="AP96" s="3951"/>
      <c r="AQ96" s="3951"/>
      <c r="AR96" s="3951"/>
      <c r="AS96" s="3951"/>
      <c r="AT96" s="3951"/>
      <c r="AU96" s="3951"/>
      <c r="AV96" s="3951"/>
      <c r="AW96" s="3836"/>
      <c r="AX96" s="3836"/>
      <c r="AY96" s="3836"/>
      <c r="AZ96" s="3836"/>
      <c r="BA96" s="3836"/>
      <c r="BB96" s="3836"/>
      <c r="BC96" s="3903">
        <f>AK96</f>
        <v>35</v>
      </c>
      <c r="BD96" s="3903">
        <f>AL96</f>
        <v>6</v>
      </c>
      <c r="BE96" s="3903"/>
      <c r="BF96" s="3924"/>
      <c r="BG96" s="3924"/>
      <c r="BH96" s="3937"/>
      <c r="BI96" s="3903">
        <v>20</v>
      </c>
      <c r="BJ96" s="3948"/>
      <c r="BK96" s="3934"/>
      <c r="BL96" s="3934"/>
      <c r="BM96" s="3934"/>
      <c r="BN96" s="3934"/>
      <c r="BO96" s="3419" t="s">
        <v>478</v>
      </c>
    </row>
    <row r="97" spans="1:67" s="99" customFormat="1" ht="72" customHeight="1" x14ac:dyDescent="0.2">
      <c r="A97" s="518"/>
      <c r="B97" s="519"/>
      <c r="C97" s="550"/>
      <c r="D97" s="551"/>
      <c r="E97" s="550"/>
      <c r="F97" s="551"/>
      <c r="G97" s="4577"/>
      <c r="H97" s="3872"/>
      <c r="I97" s="3872"/>
      <c r="J97" s="3964"/>
      <c r="K97" s="3965"/>
      <c r="L97" s="3915"/>
      <c r="M97" s="3891"/>
      <c r="N97" s="2690"/>
      <c r="O97" s="3918"/>
      <c r="P97" s="3960"/>
      <c r="Q97" s="3961"/>
      <c r="R97" s="3963"/>
      <c r="S97" s="54" t="s">
        <v>634</v>
      </c>
      <c r="T97" s="536">
        <v>7550000</v>
      </c>
      <c r="U97" s="371">
        <v>0</v>
      </c>
      <c r="V97" s="371"/>
      <c r="W97" s="385">
        <v>20</v>
      </c>
      <c r="X97" s="385" t="s">
        <v>70</v>
      </c>
      <c r="Y97" s="3928"/>
      <c r="Z97" s="3928"/>
      <c r="AA97" s="3928"/>
      <c r="AB97" s="3928"/>
      <c r="AC97" s="3955"/>
      <c r="AD97" s="3955"/>
      <c r="AE97" s="3955"/>
      <c r="AF97" s="3955"/>
      <c r="AG97" s="3955"/>
      <c r="AH97" s="3955"/>
      <c r="AI97" s="3955"/>
      <c r="AJ97" s="3955"/>
      <c r="AK97" s="3958"/>
      <c r="AL97" s="3958"/>
      <c r="AM97" s="3955"/>
      <c r="AN97" s="3955"/>
      <c r="AO97" s="3952"/>
      <c r="AP97" s="3952"/>
      <c r="AQ97" s="3952"/>
      <c r="AR97" s="3952"/>
      <c r="AS97" s="3952"/>
      <c r="AT97" s="3952"/>
      <c r="AU97" s="3952"/>
      <c r="AV97" s="3952"/>
      <c r="AW97" s="3830"/>
      <c r="AX97" s="3830"/>
      <c r="AY97" s="3830"/>
      <c r="AZ97" s="3830"/>
      <c r="BA97" s="3830"/>
      <c r="BB97" s="3830"/>
      <c r="BC97" s="3904"/>
      <c r="BD97" s="3904"/>
      <c r="BE97" s="3904"/>
      <c r="BF97" s="3925"/>
      <c r="BG97" s="3925"/>
      <c r="BH97" s="3947"/>
      <c r="BI97" s="3904"/>
      <c r="BJ97" s="3949"/>
      <c r="BK97" s="3935"/>
      <c r="BL97" s="3935"/>
      <c r="BM97" s="3935"/>
      <c r="BN97" s="3935"/>
      <c r="BO97" s="3419"/>
    </row>
    <row r="98" spans="1:67" s="99" customFormat="1" ht="63.75" customHeight="1" x14ac:dyDescent="0.2">
      <c r="A98" s="518"/>
      <c r="B98" s="519"/>
      <c r="C98" s="550"/>
      <c r="D98" s="551"/>
      <c r="E98" s="550"/>
      <c r="F98" s="551"/>
      <c r="G98" s="4578"/>
      <c r="H98" s="3873"/>
      <c r="I98" s="3873"/>
      <c r="J98" s="3944"/>
      <c r="K98" s="3946"/>
      <c r="L98" s="3916"/>
      <c r="M98" s="3892"/>
      <c r="N98" s="3930"/>
      <c r="O98" s="3918"/>
      <c r="P98" s="3877"/>
      <c r="Q98" s="3961"/>
      <c r="R98" s="395" t="s">
        <v>635</v>
      </c>
      <c r="S98" s="54" t="s">
        <v>636</v>
      </c>
      <c r="T98" s="536">
        <v>14900000</v>
      </c>
      <c r="U98" s="371">
        <v>0</v>
      </c>
      <c r="V98" s="371"/>
      <c r="W98" s="385">
        <v>20</v>
      </c>
      <c r="X98" s="385" t="s">
        <v>70</v>
      </c>
      <c r="Y98" s="3928"/>
      <c r="Z98" s="3928"/>
      <c r="AA98" s="3928"/>
      <c r="AB98" s="3928"/>
      <c r="AC98" s="3956"/>
      <c r="AD98" s="3956"/>
      <c r="AE98" s="3956"/>
      <c r="AF98" s="3956"/>
      <c r="AG98" s="3956"/>
      <c r="AH98" s="3956"/>
      <c r="AI98" s="3956"/>
      <c r="AJ98" s="3956"/>
      <c r="AK98" s="3959"/>
      <c r="AL98" s="3959"/>
      <c r="AM98" s="3956"/>
      <c r="AN98" s="3956"/>
      <c r="AO98" s="3953"/>
      <c r="AP98" s="3953"/>
      <c r="AQ98" s="3953"/>
      <c r="AR98" s="3953"/>
      <c r="AS98" s="3953"/>
      <c r="AT98" s="3953"/>
      <c r="AU98" s="3953"/>
      <c r="AV98" s="3953"/>
      <c r="AW98" s="3830"/>
      <c r="AX98" s="3927"/>
      <c r="AY98" s="3830"/>
      <c r="AZ98" s="3927"/>
      <c r="BA98" s="3830"/>
      <c r="BB98" s="3927"/>
      <c r="BC98" s="3831"/>
      <c r="BD98" s="3905"/>
      <c r="BE98" s="3905"/>
      <c r="BF98" s="3926"/>
      <c r="BG98" s="3926"/>
      <c r="BH98" s="3947"/>
      <c r="BI98" s="3905"/>
      <c r="BJ98" s="3950"/>
      <c r="BK98" s="3936"/>
      <c r="BL98" s="3936"/>
      <c r="BM98" s="3936"/>
      <c r="BN98" s="3936"/>
      <c r="BO98" s="3419"/>
    </row>
    <row r="99" spans="1:67" s="99" customFormat="1" ht="60" customHeight="1" x14ac:dyDescent="0.2">
      <c r="A99" s="518"/>
      <c r="B99" s="519"/>
      <c r="C99" s="550"/>
      <c r="D99" s="551"/>
      <c r="E99" s="550"/>
      <c r="F99" s="551"/>
      <c r="G99" s="4579">
        <v>194</v>
      </c>
      <c r="H99" s="3871" t="s">
        <v>637</v>
      </c>
      <c r="I99" s="3943" t="s">
        <v>638</v>
      </c>
      <c r="J99" s="3944">
        <v>1</v>
      </c>
      <c r="K99" s="3945">
        <v>0.8</v>
      </c>
      <c r="L99" s="3914" t="s">
        <v>639</v>
      </c>
      <c r="M99" s="3917" t="s">
        <v>640</v>
      </c>
      <c r="N99" s="3871" t="s">
        <v>641</v>
      </c>
      <c r="O99" s="3918">
        <f>SUM(T99:T100)/P99</f>
        <v>1</v>
      </c>
      <c r="P99" s="3877">
        <f>SUM(T99:T100)</f>
        <v>69500000</v>
      </c>
      <c r="Q99" s="3871" t="s">
        <v>642</v>
      </c>
      <c r="R99" s="395" t="s">
        <v>643</v>
      </c>
      <c r="S99" s="379" t="s">
        <v>644</v>
      </c>
      <c r="T99" s="566">
        <v>64500000</v>
      </c>
      <c r="U99" s="608">
        <v>0</v>
      </c>
      <c r="V99" s="371"/>
      <c r="W99" s="385">
        <v>20</v>
      </c>
      <c r="X99" s="385" t="s">
        <v>70</v>
      </c>
      <c r="Y99" s="3941">
        <v>1481</v>
      </c>
      <c r="Z99" s="3832"/>
      <c r="AA99" s="3832">
        <v>1368</v>
      </c>
      <c r="AB99" s="3832"/>
      <c r="AC99" s="3836"/>
      <c r="AD99" s="3836"/>
      <c r="AE99" s="3836"/>
      <c r="AF99" s="3836"/>
      <c r="AG99" s="3836"/>
      <c r="AH99" s="3836"/>
      <c r="AI99" s="3836"/>
      <c r="AJ99" s="3836"/>
      <c r="AK99" s="3832">
        <v>2849</v>
      </c>
      <c r="AL99" s="3832">
        <v>60</v>
      </c>
      <c r="AM99" s="3836"/>
      <c r="AN99" s="3836"/>
      <c r="AO99" s="3836"/>
      <c r="AP99" s="3836"/>
      <c r="AQ99" s="3836"/>
      <c r="AR99" s="3836"/>
      <c r="AS99" s="3836"/>
      <c r="AT99" s="3836"/>
      <c r="AU99" s="3836"/>
      <c r="AV99" s="3836"/>
      <c r="AW99" s="3836"/>
      <c r="AX99" s="3836"/>
      <c r="AY99" s="3836"/>
      <c r="AZ99" s="3836"/>
      <c r="BA99" s="3836"/>
      <c r="BB99" s="3836"/>
      <c r="BC99" s="3832">
        <f>AK99</f>
        <v>2849</v>
      </c>
      <c r="BD99" s="3832">
        <f>AL99</f>
        <v>60</v>
      </c>
      <c r="BE99" s="3832"/>
      <c r="BF99" s="3924"/>
      <c r="BG99" s="3924"/>
      <c r="BH99" s="3937"/>
      <c r="BI99" s="3939">
        <v>20</v>
      </c>
      <c r="BJ99" s="2580"/>
      <c r="BK99" s="3934"/>
      <c r="BL99" s="3934"/>
      <c r="BM99" s="3934"/>
      <c r="BN99" s="3934"/>
      <c r="BO99" s="3468" t="s">
        <v>478</v>
      </c>
    </row>
    <row r="100" spans="1:67" s="99" customFormat="1" ht="52.5" customHeight="1" x14ac:dyDescent="0.2">
      <c r="A100" s="518"/>
      <c r="B100" s="519"/>
      <c r="C100" s="550"/>
      <c r="D100" s="551"/>
      <c r="E100" s="550"/>
      <c r="F100" s="551"/>
      <c r="G100" s="4577"/>
      <c r="H100" s="3872"/>
      <c r="I100" s="3943"/>
      <c r="J100" s="3944"/>
      <c r="K100" s="3946"/>
      <c r="L100" s="3916"/>
      <c r="M100" s="3891"/>
      <c r="N100" s="3872"/>
      <c r="O100" s="3918"/>
      <c r="P100" s="3877"/>
      <c r="Q100" s="3873"/>
      <c r="R100" s="609" t="s">
        <v>645</v>
      </c>
      <c r="S100" s="168" t="s">
        <v>646</v>
      </c>
      <c r="T100" s="579">
        <v>5000000</v>
      </c>
      <c r="U100" s="371">
        <v>0</v>
      </c>
      <c r="V100" s="371"/>
      <c r="W100" s="385">
        <v>20</v>
      </c>
      <c r="X100" s="385" t="s">
        <v>70</v>
      </c>
      <c r="Y100" s="3942"/>
      <c r="Z100" s="3858"/>
      <c r="AA100" s="3858"/>
      <c r="AB100" s="3858"/>
      <c r="AC100" s="3830"/>
      <c r="AD100" s="3927"/>
      <c r="AE100" s="3830"/>
      <c r="AF100" s="3927"/>
      <c r="AG100" s="3830"/>
      <c r="AH100" s="3927"/>
      <c r="AI100" s="3830"/>
      <c r="AJ100" s="3927"/>
      <c r="AK100" s="3831"/>
      <c r="AL100" s="3858"/>
      <c r="AM100" s="3830"/>
      <c r="AN100" s="3927"/>
      <c r="AO100" s="3830"/>
      <c r="AP100" s="3927"/>
      <c r="AQ100" s="3830"/>
      <c r="AR100" s="3927"/>
      <c r="AS100" s="3830"/>
      <c r="AT100" s="3927"/>
      <c r="AU100" s="3830"/>
      <c r="AV100" s="3927"/>
      <c r="AW100" s="3830"/>
      <c r="AX100" s="3927"/>
      <c r="AY100" s="3830"/>
      <c r="AZ100" s="3927"/>
      <c r="BA100" s="3830"/>
      <c r="BB100" s="3927"/>
      <c r="BC100" s="3831"/>
      <c r="BD100" s="3858"/>
      <c r="BE100" s="3858"/>
      <c r="BF100" s="3926"/>
      <c r="BG100" s="3926"/>
      <c r="BH100" s="3938"/>
      <c r="BI100" s="3940"/>
      <c r="BJ100" s="2582"/>
      <c r="BK100" s="3935"/>
      <c r="BL100" s="3936"/>
      <c r="BM100" s="3935"/>
      <c r="BN100" s="3936"/>
      <c r="BO100" s="3468"/>
    </row>
    <row r="101" spans="1:67" ht="15" x14ac:dyDescent="0.2">
      <c r="A101" s="518"/>
      <c r="B101" s="519"/>
      <c r="C101" s="550"/>
      <c r="D101" s="551"/>
      <c r="E101" s="529">
        <v>64</v>
      </c>
      <c r="F101" s="610" t="s">
        <v>647</v>
      </c>
      <c r="G101" s="605"/>
      <c r="H101" s="601"/>
      <c r="I101" s="601"/>
      <c r="J101" s="600"/>
      <c r="K101" s="602"/>
      <c r="L101" s="603"/>
      <c r="M101" s="603"/>
      <c r="N101" s="600"/>
      <c r="O101" s="600"/>
      <c r="P101" s="600"/>
      <c r="Q101" s="601"/>
      <c r="R101" s="601"/>
      <c r="S101" s="601"/>
      <c r="T101" s="611"/>
      <c r="U101" s="611"/>
      <c r="V101" s="611"/>
      <c r="W101" s="605"/>
      <c r="X101" s="60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600"/>
      <c r="BE101" s="612"/>
      <c r="BF101" s="611"/>
      <c r="BG101" s="611"/>
      <c r="BH101" s="612"/>
      <c r="BI101" s="612"/>
      <c r="BJ101" s="612"/>
      <c r="BK101" s="612"/>
      <c r="BL101" s="612"/>
      <c r="BM101" s="612"/>
      <c r="BN101" s="612"/>
      <c r="BO101" s="607"/>
    </row>
    <row r="102" spans="1:67" ht="39" customHeight="1" x14ac:dyDescent="0.2">
      <c r="A102" s="518"/>
      <c r="B102" s="519"/>
      <c r="C102" s="550"/>
      <c r="D102" s="551"/>
      <c r="E102" s="528"/>
      <c r="F102" s="519"/>
      <c r="G102" s="4580">
        <v>195</v>
      </c>
      <c r="H102" s="3849" t="s">
        <v>648</v>
      </c>
      <c r="I102" s="3931" t="s">
        <v>649</v>
      </c>
      <c r="J102" s="3887">
        <v>1</v>
      </c>
      <c r="K102" s="3888">
        <v>0.5</v>
      </c>
      <c r="L102" s="3914" t="s">
        <v>650</v>
      </c>
      <c r="M102" s="3917" t="s">
        <v>651</v>
      </c>
      <c r="N102" s="3929" t="s">
        <v>652</v>
      </c>
      <c r="O102" s="3918">
        <f>SUM(T102:T104)/P102</f>
        <v>1</v>
      </c>
      <c r="P102" s="3877">
        <f>SUM(T102:T104)</f>
        <v>100000000</v>
      </c>
      <c r="Q102" s="3871" t="s">
        <v>653</v>
      </c>
      <c r="R102" s="2448" t="s">
        <v>654</v>
      </c>
      <c r="S102" s="379" t="s">
        <v>655</v>
      </c>
      <c r="T102" s="536">
        <v>40000000</v>
      </c>
      <c r="U102" s="613">
        <v>0</v>
      </c>
      <c r="V102" s="371"/>
      <c r="W102" s="385">
        <v>20</v>
      </c>
      <c r="X102" s="385" t="s">
        <v>70</v>
      </c>
      <c r="Y102" s="3928">
        <v>1140</v>
      </c>
      <c r="Z102" s="3928"/>
      <c r="AA102" s="3928">
        <v>760</v>
      </c>
      <c r="AB102" s="3928"/>
      <c r="AC102" s="3836"/>
      <c r="AD102" s="3836"/>
      <c r="AE102" s="3836"/>
      <c r="AF102" s="3836"/>
      <c r="AG102" s="3836"/>
      <c r="AH102" s="3832">
        <v>1900</v>
      </c>
      <c r="AI102" s="3836"/>
      <c r="AJ102" s="3836"/>
      <c r="AK102" s="3836"/>
      <c r="AL102" s="3836"/>
      <c r="AM102" s="3832">
        <v>1900</v>
      </c>
      <c r="AN102" s="3832">
        <v>110</v>
      </c>
      <c r="AO102" s="3836"/>
      <c r="AP102" s="3832"/>
      <c r="AQ102" s="3836"/>
      <c r="AR102" s="3836"/>
      <c r="AS102" s="3836"/>
      <c r="AT102" s="3836"/>
      <c r="AU102" s="3836"/>
      <c r="AV102" s="3836"/>
      <c r="AW102" s="3836"/>
      <c r="AX102" s="3836"/>
      <c r="AY102" s="3836"/>
      <c r="AZ102" s="3836"/>
      <c r="BA102" s="3836"/>
      <c r="BB102" s="3836"/>
      <c r="BC102" s="3832">
        <f>AM102</f>
        <v>1900</v>
      </c>
      <c r="BD102" s="3832">
        <f>AN102</f>
        <v>110</v>
      </c>
      <c r="BE102" s="3833"/>
      <c r="BF102" s="3924"/>
      <c r="BG102" s="3924"/>
      <c r="BH102" s="2507"/>
      <c r="BI102" s="3897">
        <v>20</v>
      </c>
      <c r="BJ102" s="3828"/>
      <c r="BK102" s="3920"/>
      <c r="BL102" s="3920"/>
      <c r="BM102" s="3821"/>
      <c r="BN102" s="3821"/>
      <c r="BO102" s="2448" t="s">
        <v>478</v>
      </c>
    </row>
    <row r="103" spans="1:67" ht="63.75" customHeight="1" x14ac:dyDescent="0.2">
      <c r="A103" s="518"/>
      <c r="B103" s="519"/>
      <c r="C103" s="550"/>
      <c r="D103" s="551"/>
      <c r="E103" s="528"/>
      <c r="F103" s="519"/>
      <c r="G103" s="4581"/>
      <c r="H103" s="3842"/>
      <c r="I103" s="3932"/>
      <c r="J103" s="3887"/>
      <c r="K103" s="3889"/>
      <c r="L103" s="3915"/>
      <c r="M103" s="3891"/>
      <c r="N103" s="2690"/>
      <c r="O103" s="3918"/>
      <c r="P103" s="3877"/>
      <c r="Q103" s="3872"/>
      <c r="R103" s="2448"/>
      <c r="S103" s="168" t="s">
        <v>656</v>
      </c>
      <c r="T103" s="536">
        <v>55000000</v>
      </c>
      <c r="U103" s="613">
        <v>0</v>
      </c>
      <c r="V103" s="371"/>
      <c r="W103" s="385">
        <v>20</v>
      </c>
      <c r="X103" s="385" t="s">
        <v>70</v>
      </c>
      <c r="Y103" s="3928"/>
      <c r="Z103" s="3928"/>
      <c r="AA103" s="3928"/>
      <c r="AB103" s="3928"/>
      <c r="AC103" s="3830"/>
      <c r="AD103" s="3830"/>
      <c r="AE103" s="3830"/>
      <c r="AF103" s="3830"/>
      <c r="AG103" s="3830"/>
      <c r="AH103" s="3831"/>
      <c r="AI103" s="3830"/>
      <c r="AJ103" s="3830"/>
      <c r="AK103" s="3830"/>
      <c r="AL103" s="3830"/>
      <c r="AM103" s="3831"/>
      <c r="AN103" s="3831"/>
      <c r="AO103" s="3830"/>
      <c r="AP103" s="3831"/>
      <c r="AQ103" s="3830"/>
      <c r="AR103" s="3830"/>
      <c r="AS103" s="3830"/>
      <c r="AT103" s="3830"/>
      <c r="AU103" s="3830"/>
      <c r="AV103" s="3830"/>
      <c r="AW103" s="3830"/>
      <c r="AX103" s="3830"/>
      <c r="AY103" s="3830"/>
      <c r="AZ103" s="3830"/>
      <c r="BA103" s="3830"/>
      <c r="BB103" s="3830"/>
      <c r="BC103" s="3831"/>
      <c r="BD103" s="3831"/>
      <c r="BE103" s="3409"/>
      <c r="BF103" s="3925"/>
      <c r="BG103" s="3925"/>
      <c r="BH103" s="2508"/>
      <c r="BI103" s="3898"/>
      <c r="BJ103" s="3427"/>
      <c r="BK103" s="3921"/>
      <c r="BL103" s="3921"/>
      <c r="BM103" s="3822"/>
      <c r="BN103" s="3822"/>
      <c r="BO103" s="2448"/>
    </row>
    <row r="104" spans="1:67" ht="74.25" customHeight="1" x14ac:dyDescent="0.2">
      <c r="A104" s="518"/>
      <c r="B104" s="519"/>
      <c r="C104" s="550"/>
      <c r="D104" s="551"/>
      <c r="E104" s="540"/>
      <c r="F104" s="541"/>
      <c r="G104" s="4582"/>
      <c r="H104" s="3886"/>
      <c r="I104" s="3933"/>
      <c r="J104" s="3887"/>
      <c r="K104" s="3890"/>
      <c r="L104" s="3916"/>
      <c r="M104" s="3892"/>
      <c r="N104" s="3930"/>
      <c r="O104" s="3918"/>
      <c r="P104" s="3877"/>
      <c r="Q104" s="3873"/>
      <c r="R104" s="375" t="s">
        <v>657</v>
      </c>
      <c r="S104" s="168" t="s">
        <v>658</v>
      </c>
      <c r="T104" s="536">
        <v>5000000</v>
      </c>
      <c r="U104" s="613">
        <v>0</v>
      </c>
      <c r="V104" s="371"/>
      <c r="W104" s="385">
        <v>20</v>
      </c>
      <c r="X104" s="385" t="s">
        <v>70</v>
      </c>
      <c r="Y104" s="3928"/>
      <c r="Z104" s="3928"/>
      <c r="AA104" s="3928"/>
      <c r="AB104" s="3928"/>
      <c r="AC104" s="3927"/>
      <c r="AD104" s="3927"/>
      <c r="AE104" s="3927"/>
      <c r="AF104" s="3927"/>
      <c r="AG104" s="3927"/>
      <c r="AH104" s="3858"/>
      <c r="AI104" s="3927"/>
      <c r="AJ104" s="3927"/>
      <c r="AK104" s="3927"/>
      <c r="AL104" s="3927"/>
      <c r="AM104" s="3858"/>
      <c r="AN104" s="3858"/>
      <c r="AO104" s="3927"/>
      <c r="AP104" s="3858"/>
      <c r="AQ104" s="3927"/>
      <c r="AR104" s="3927"/>
      <c r="AS104" s="3927"/>
      <c r="AT104" s="3927"/>
      <c r="AU104" s="3927"/>
      <c r="AV104" s="3927"/>
      <c r="AW104" s="3927"/>
      <c r="AX104" s="3927"/>
      <c r="AY104" s="3927"/>
      <c r="AZ104" s="3927"/>
      <c r="BA104" s="3927"/>
      <c r="BB104" s="3927"/>
      <c r="BC104" s="3858"/>
      <c r="BD104" s="3858"/>
      <c r="BE104" s="3923"/>
      <c r="BF104" s="3926"/>
      <c r="BG104" s="3926"/>
      <c r="BH104" s="2509"/>
      <c r="BI104" s="3899"/>
      <c r="BJ104" s="3919"/>
      <c r="BK104" s="3922"/>
      <c r="BL104" s="3922"/>
      <c r="BM104" s="3854"/>
      <c r="BN104" s="3854"/>
      <c r="BO104" s="2448"/>
    </row>
    <row r="105" spans="1:67" ht="15" x14ac:dyDescent="0.2">
      <c r="A105" s="518"/>
      <c r="B105" s="519"/>
      <c r="C105" s="550"/>
      <c r="D105" s="551"/>
      <c r="E105" s="581">
        <v>65</v>
      </c>
      <c r="F105" s="599" t="s">
        <v>659</v>
      </c>
      <c r="G105" s="605"/>
      <c r="H105" s="601"/>
      <c r="I105" s="601"/>
      <c r="J105" s="600"/>
      <c r="K105" s="602"/>
      <c r="L105" s="603"/>
      <c r="M105" s="603"/>
      <c r="N105" s="600"/>
      <c r="O105" s="600"/>
      <c r="P105" s="600"/>
      <c r="Q105" s="601"/>
      <c r="R105" s="601"/>
      <c r="S105" s="601"/>
      <c r="T105" s="604"/>
      <c r="U105" s="604"/>
      <c r="V105" s="604"/>
      <c r="W105" s="605"/>
      <c r="X105" s="60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600"/>
      <c r="BE105" s="606"/>
      <c r="BF105" s="604"/>
      <c r="BG105" s="604"/>
      <c r="BH105" s="606"/>
      <c r="BI105" s="606"/>
      <c r="BJ105" s="606"/>
      <c r="BK105" s="606"/>
      <c r="BL105" s="606"/>
      <c r="BM105" s="606"/>
      <c r="BN105" s="606"/>
      <c r="BO105" s="607"/>
    </row>
    <row r="106" spans="1:67" ht="43.5" customHeight="1" x14ac:dyDescent="0.2">
      <c r="A106" s="518"/>
      <c r="B106" s="519"/>
      <c r="C106" s="550"/>
      <c r="D106" s="551"/>
      <c r="E106" s="563"/>
      <c r="F106" s="564"/>
      <c r="G106" s="4580">
        <v>196</v>
      </c>
      <c r="H106" s="3849" t="s">
        <v>660</v>
      </c>
      <c r="I106" s="3849" t="s">
        <v>661</v>
      </c>
      <c r="J106" s="3910">
        <v>1</v>
      </c>
      <c r="K106" s="3911">
        <v>1</v>
      </c>
      <c r="L106" s="3914" t="s">
        <v>662</v>
      </c>
      <c r="M106" s="3917" t="s">
        <v>663</v>
      </c>
      <c r="N106" s="3871" t="s">
        <v>664</v>
      </c>
      <c r="O106" s="3918">
        <f>SUM(T106:T110)/P106</f>
        <v>1</v>
      </c>
      <c r="P106" s="3877">
        <f>SUM(T106:T110)</f>
        <v>200000000</v>
      </c>
      <c r="Q106" s="3871" t="s">
        <v>665</v>
      </c>
      <c r="R106" s="2496" t="s">
        <v>666</v>
      </c>
      <c r="S106" s="535" t="s">
        <v>667</v>
      </c>
      <c r="T106" s="614">
        <v>40000000</v>
      </c>
      <c r="U106" s="615">
        <v>12993334</v>
      </c>
      <c r="V106" s="615">
        <v>4866668</v>
      </c>
      <c r="W106" s="385">
        <v>20</v>
      </c>
      <c r="X106" s="385" t="s">
        <v>70</v>
      </c>
      <c r="Y106" s="3906">
        <v>1323</v>
      </c>
      <c r="Z106" s="3906">
        <v>57</v>
      </c>
      <c r="AA106" s="3906">
        <v>1377</v>
      </c>
      <c r="AB106" s="3906">
        <v>29</v>
      </c>
      <c r="AC106" s="3906">
        <v>200</v>
      </c>
      <c r="AD106" s="3906"/>
      <c r="AE106" s="3906">
        <v>1200</v>
      </c>
      <c r="AF106" s="3906">
        <v>5</v>
      </c>
      <c r="AG106" s="3906">
        <v>800</v>
      </c>
      <c r="AH106" s="3906">
        <v>81</v>
      </c>
      <c r="AI106" s="3906">
        <v>300</v>
      </c>
      <c r="AJ106" s="3906"/>
      <c r="AK106" s="3878"/>
      <c r="AL106" s="3909"/>
      <c r="AM106" s="3878"/>
      <c r="AN106" s="3878"/>
      <c r="AO106" s="3862"/>
      <c r="AP106" s="3862"/>
      <c r="AQ106" s="3862"/>
      <c r="AR106" s="3862"/>
      <c r="AS106" s="3862"/>
      <c r="AT106" s="3862"/>
      <c r="AU106" s="3862"/>
      <c r="AV106" s="3862"/>
      <c r="AW106" s="3855"/>
      <c r="AX106" s="3855"/>
      <c r="AY106" s="3855"/>
      <c r="AZ106" s="3855"/>
      <c r="BA106" s="3903">
        <v>200</v>
      </c>
      <c r="BB106" s="3903"/>
      <c r="BC106" s="3903">
        <f>SUM(BA106+AY106+AW106+AU106+AS106+AQ106+AO106+AM106+AK106+AI106+AG106+AE106+AC106)</f>
        <v>2700</v>
      </c>
      <c r="BD106" s="3903">
        <f>SUM(BB106+AZ106+AX106+AV106+AT106+AR106+AP106+AN106+AL106+AJ106+AH106+AF106+AD106)</f>
        <v>86</v>
      </c>
      <c r="BE106" s="3897">
        <v>5</v>
      </c>
      <c r="BF106" s="3893">
        <f>SUM(U106:U110)</f>
        <v>38980000</v>
      </c>
      <c r="BG106" s="3893">
        <f>SUM(V106:V110)</f>
        <v>14600000</v>
      </c>
      <c r="BH106" s="3827">
        <f>BG106/BF106</f>
        <v>0.37455105182144688</v>
      </c>
      <c r="BI106" s="3897">
        <v>20</v>
      </c>
      <c r="BJ106" s="3900" t="s">
        <v>668</v>
      </c>
      <c r="BK106" s="3821">
        <v>43832</v>
      </c>
      <c r="BL106" s="3821">
        <v>43832</v>
      </c>
      <c r="BM106" s="3821">
        <v>43982</v>
      </c>
      <c r="BN106" s="3821">
        <v>43982</v>
      </c>
      <c r="BO106" s="2497" t="s">
        <v>478</v>
      </c>
    </row>
    <row r="107" spans="1:67" ht="43.5" customHeight="1" x14ac:dyDescent="0.2">
      <c r="A107" s="518"/>
      <c r="B107" s="519"/>
      <c r="C107" s="550"/>
      <c r="D107" s="551"/>
      <c r="E107" s="550"/>
      <c r="F107" s="551"/>
      <c r="G107" s="4581"/>
      <c r="H107" s="3842"/>
      <c r="I107" s="3842"/>
      <c r="J107" s="3910"/>
      <c r="K107" s="3912"/>
      <c r="L107" s="3915"/>
      <c r="M107" s="3891"/>
      <c r="N107" s="3872"/>
      <c r="O107" s="3918"/>
      <c r="P107" s="3877"/>
      <c r="Q107" s="3872"/>
      <c r="R107" s="2497"/>
      <c r="S107" s="535" t="s">
        <v>669</v>
      </c>
      <c r="T107" s="614">
        <v>90000000</v>
      </c>
      <c r="U107" s="615">
        <v>12993333</v>
      </c>
      <c r="V107" s="615">
        <v>4866666</v>
      </c>
      <c r="W107" s="385">
        <v>20</v>
      </c>
      <c r="X107" s="385" t="s">
        <v>70</v>
      </c>
      <c r="Y107" s="3907"/>
      <c r="Z107" s="3907"/>
      <c r="AA107" s="3907"/>
      <c r="AB107" s="3907"/>
      <c r="AC107" s="3907"/>
      <c r="AD107" s="3907"/>
      <c r="AE107" s="3907"/>
      <c r="AF107" s="3907"/>
      <c r="AG107" s="3907"/>
      <c r="AH107" s="3907"/>
      <c r="AI107" s="3907"/>
      <c r="AJ107" s="3907"/>
      <c r="AK107" s="3879"/>
      <c r="AL107" s="3909"/>
      <c r="AM107" s="3879"/>
      <c r="AN107" s="3879"/>
      <c r="AO107" s="3003"/>
      <c r="AP107" s="3003"/>
      <c r="AQ107" s="3003"/>
      <c r="AR107" s="3003"/>
      <c r="AS107" s="3003"/>
      <c r="AT107" s="3003"/>
      <c r="AU107" s="3003"/>
      <c r="AV107" s="3003"/>
      <c r="AW107" s="3856"/>
      <c r="AX107" s="3856"/>
      <c r="AY107" s="3856"/>
      <c r="AZ107" s="3856"/>
      <c r="BA107" s="3904"/>
      <c r="BB107" s="3904"/>
      <c r="BC107" s="3904"/>
      <c r="BD107" s="3904"/>
      <c r="BE107" s="3898"/>
      <c r="BF107" s="3894"/>
      <c r="BG107" s="3894"/>
      <c r="BH107" s="2665"/>
      <c r="BI107" s="3898"/>
      <c r="BJ107" s="3901"/>
      <c r="BK107" s="3822"/>
      <c r="BL107" s="3822"/>
      <c r="BM107" s="3822"/>
      <c r="BN107" s="3822"/>
      <c r="BO107" s="2497"/>
    </row>
    <row r="108" spans="1:67" ht="36.75" customHeight="1" x14ac:dyDescent="0.2">
      <c r="A108" s="518"/>
      <c r="B108" s="519"/>
      <c r="C108" s="550"/>
      <c r="D108" s="551"/>
      <c r="E108" s="550"/>
      <c r="F108" s="551"/>
      <c r="G108" s="4581"/>
      <c r="H108" s="3842"/>
      <c r="I108" s="3842"/>
      <c r="J108" s="3910"/>
      <c r="K108" s="3912"/>
      <c r="L108" s="3915"/>
      <c r="M108" s="3891"/>
      <c r="N108" s="3872"/>
      <c r="O108" s="3918"/>
      <c r="P108" s="3877"/>
      <c r="Q108" s="3872"/>
      <c r="R108" s="2497"/>
      <c r="S108" s="535" t="s">
        <v>670</v>
      </c>
      <c r="T108" s="614">
        <v>50000000</v>
      </c>
      <c r="U108" s="615">
        <v>12993333</v>
      </c>
      <c r="V108" s="615">
        <v>4866666</v>
      </c>
      <c r="W108" s="385">
        <v>20</v>
      </c>
      <c r="X108" s="385" t="s">
        <v>70</v>
      </c>
      <c r="Y108" s="3907"/>
      <c r="Z108" s="3907"/>
      <c r="AA108" s="3907"/>
      <c r="AB108" s="3907"/>
      <c r="AC108" s="3907"/>
      <c r="AD108" s="3907"/>
      <c r="AE108" s="3907"/>
      <c r="AF108" s="3907"/>
      <c r="AG108" s="3907"/>
      <c r="AH108" s="3907"/>
      <c r="AI108" s="3907"/>
      <c r="AJ108" s="3907"/>
      <c r="AK108" s="3879"/>
      <c r="AL108" s="3909"/>
      <c r="AM108" s="3879"/>
      <c r="AN108" s="3879"/>
      <c r="AO108" s="3003"/>
      <c r="AP108" s="3003"/>
      <c r="AQ108" s="3003"/>
      <c r="AR108" s="3003"/>
      <c r="AS108" s="3003"/>
      <c r="AT108" s="3003"/>
      <c r="AU108" s="3003"/>
      <c r="AV108" s="3003"/>
      <c r="AW108" s="3856"/>
      <c r="AX108" s="3856"/>
      <c r="AY108" s="3856"/>
      <c r="AZ108" s="3856"/>
      <c r="BA108" s="3904"/>
      <c r="BB108" s="3904"/>
      <c r="BC108" s="3904"/>
      <c r="BD108" s="3904"/>
      <c r="BE108" s="3898"/>
      <c r="BF108" s="3894"/>
      <c r="BG108" s="3894"/>
      <c r="BH108" s="2665"/>
      <c r="BI108" s="3898"/>
      <c r="BJ108" s="3901"/>
      <c r="BK108" s="3822"/>
      <c r="BL108" s="3822"/>
      <c r="BM108" s="3822"/>
      <c r="BN108" s="3822"/>
      <c r="BO108" s="2497"/>
    </row>
    <row r="109" spans="1:67" ht="36.75" customHeight="1" x14ac:dyDescent="0.2">
      <c r="A109" s="518"/>
      <c r="B109" s="519"/>
      <c r="C109" s="550"/>
      <c r="D109" s="551"/>
      <c r="E109" s="550"/>
      <c r="F109" s="551"/>
      <c r="G109" s="4581"/>
      <c r="H109" s="3842"/>
      <c r="I109" s="3842"/>
      <c r="J109" s="3910"/>
      <c r="K109" s="3912"/>
      <c r="L109" s="3915"/>
      <c r="M109" s="3891"/>
      <c r="N109" s="3872"/>
      <c r="O109" s="3918"/>
      <c r="P109" s="3877"/>
      <c r="Q109" s="3872"/>
      <c r="R109" s="2497"/>
      <c r="S109" s="54" t="s">
        <v>671</v>
      </c>
      <c r="T109" s="536">
        <v>5000000</v>
      </c>
      <c r="U109" s="615">
        <v>0</v>
      </c>
      <c r="V109" s="371"/>
      <c r="W109" s="385">
        <v>20</v>
      </c>
      <c r="X109" s="385" t="s">
        <v>70</v>
      </c>
      <c r="Y109" s="3907"/>
      <c r="Z109" s="3907"/>
      <c r="AA109" s="3907"/>
      <c r="AB109" s="3907"/>
      <c r="AC109" s="3907"/>
      <c r="AD109" s="3907"/>
      <c r="AE109" s="3907"/>
      <c r="AF109" s="3907"/>
      <c r="AG109" s="3907"/>
      <c r="AH109" s="3907"/>
      <c r="AI109" s="3907"/>
      <c r="AJ109" s="3907"/>
      <c r="AK109" s="3879"/>
      <c r="AL109" s="3909"/>
      <c r="AM109" s="3879"/>
      <c r="AN109" s="3879"/>
      <c r="AO109" s="3003"/>
      <c r="AP109" s="3003"/>
      <c r="AQ109" s="3003"/>
      <c r="AR109" s="3003"/>
      <c r="AS109" s="3003"/>
      <c r="AT109" s="3003"/>
      <c r="AU109" s="3003"/>
      <c r="AV109" s="3003"/>
      <c r="AW109" s="3856"/>
      <c r="AX109" s="3856"/>
      <c r="AY109" s="3856"/>
      <c r="AZ109" s="3856"/>
      <c r="BA109" s="3904"/>
      <c r="BB109" s="3904"/>
      <c r="BC109" s="3904"/>
      <c r="BD109" s="3904"/>
      <c r="BE109" s="3898"/>
      <c r="BF109" s="3894"/>
      <c r="BG109" s="3894"/>
      <c r="BH109" s="2665"/>
      <c r="BI109" s="3898"/>
      <c r="BJ109" s="3901"/>
      <c r="BK109" s="3822"/>
      <c r="BL109" s="3822"/>
      <c r="BM109" s="3822"/>
      <c r="BN109" s="3822"/>
      <c r="BO109" s="2497"/>
    </row>
    <row r="110" spans="1:67" ht="50.25" customHeight="1" x14ac:dyDescent="0.2">
      <c r="A110" s="518"/>
      <c r="B110" s="519"/>
      <c r="C110" s="550"/>
      <c r="D110" s="551"/>
      <c r="E110" s="550"/>
      <c r="F110" s="551"/>
      <c r="G110" s="4581"/>
      <c r="H110" s="3842"/>
      <c r="I110" s="3842"/>
      <c r="J110" s="3910"/>
      <c r="K110" s="3913"/>
      <c r="L110" s="3916"/>
      <c r="M110" s="3891"/>
      <c r="N110" s="3872"/>
      <c r="O110" s="3918"/>
      <c r="P110" s="3877"/>
      <c r="Q110" s="3872"/>
      <c r="R110" s="2498"/>
      <c r="S110" s="54" t="s">
        <v>672</v>
      </c>
      <c r="T110" s="536">
        <v>15000000</v>
      </c>
      <c r="U110" s="615">
        <v>0</v>
      </c>
      <c r="V110" s="371"/>
      <c r="W110" s="385">
        <v>20</v>
      </c>
      <c r="X110" s="385" t="s">
        <v>70</v>
      </c>
      <c r="Y110" s="3908"/>
      <c r="Z110" s="3908"/>
      <c r="AA110" s="3908"/>
      <c r="AB110" s="3908"/>
      <c r="AC110" s="3908"/>
      <c r="AD110" s="3908"/>
      <c r="AE110" s="3908"/>
      <c r="AF110" s="3908"/>
      <c r="AG110" s="3908"/>
      <c r="AH110" s="3908"/>
      <c r="AI110" s="3908"/>
      <c r="AJ110" s="3908"/>
      <c r="AK110" s="3880"/>
      <c r="AL110" s="3909"/>
      <c r="AM110" s="3880"/>
      <c r="AN110" s="3880"/>
      <c r="AO110" s="3863"/>
      <c r="AP110" s="3863"/>
      <c r="AQ110" s="3863"/>
      <c r="AR110" s="3863"/>
      <c r="AS110" s="3863"/>
      <c r="AT110" s="3863"/>
      <c r="AU110" s="3863"/>
      <c r="AV110" s="3863"/>
      <c r="AW110" s="3857"/>
      <c r="AX110" s="3857"/>
      <c r="AY110" s="3857"/>
      <c r="AZ110" s="3857"/>
      <c r="BA110" s="3905"/>
      <c r="BB110" s="3905"/>
      <c r="BC110" s="3831"/>
      <c r="BD110" s="3905"/>
      <c r="BE110" s="3899"/>
      <c r="BF110" s="3895"/>
      <c r="BG110" s="3895"/>
      <c r="BH110" s="3896"/>
      <c r="BI110" s="3899"/>
      <c r="BJ110" s="3902"/>
      <c r="BK110" s="3854"/>
      <c r="BL110" s="3854"/>
      <c r="BM110" s="3854"/>
      <c r="BN110" s="3854"/>
      <c r="BO110" s="2497"/>
    </row>
    <row r="111" spans="1:67" ht="15" x14ac:dyDescent="0.2">
      <c r="A111" s="518"/>
      <c r="B111" s="519"/>
      <c r="C111" s="550"/>
      <c r="D111" s="551"/>
      <c r="E111" s="616">
        <v>66</v>
      </c>
      <c r="F111" s="599" t="s">
        <v>673</v>
      </c>
      <c r="G111" s="605"/>
      <c r="H111" s="601"/>
      <c r="I111" s="601"/>
      <c r="J111" s="600"/>
      <c r="K111" s="602"/>
      <c r="L111" s="603"/>
      <c r="M111" s="603"/>
      <c r="N111" s="600"/>
      <c r="O111" s="600"/>
      <c r="P111" s="600"/>
      <c r="Q111" s="601"/>
      <c r="R111" s="601"/>
      <c r="S111" s="601"/>
      <c r="T111" s="604"/>
      <c r="U111" s="604"/>
      <c r="V111" s="604"/>
      <c r="W111" s="605"/>
      <c r="X111" s="60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600"/>
      <c r="BE111" s="606"/>
      <c r="BF111" s="604"/>
      <c r="BG111" s="604"/>
      <c r="BH111" s="606"/>
      <c r="BI111" s="606"/>
      <c r="BJ111" s="606"/>
      <c r="BK111" s="606"/>
      <c r="BL111" s="606"/>
      <c r="BM111" s="606"/>
      <c r="BN111" s="606"/>
      <c r="BO111" s="607"/>
    </row>
    <row r="112" spans="1:67" ht="55.5" customHeight="1" x14ac:dyDescent="0.2">
      <c r="A112" s="518"/>
      <c r="B112" s="519"/>
      <c r="C112" s="550"/>
      <c r="D112" s="551"/>
      <c r="E112" s="550"/>
      <c r="F112" s="551"/>
      <c r="G112" s="4580">
        <v>197</v>
      </c>
      <c r="H112" s="3883" t="s">
        <v>674</v>
      </c>
      <c r="I112" s="3849" t="s">
        <v>675</v>
      </c>
      <c r="J112" s="3887">
        <v>1</v>
      </c>
      <c r="K112" s="3888">
        <v>1</v>
      </c>
      <c r="L112" s="617"/>
      <c r="M112" s="3891" t="s">
        <v>676</v>
      </c>
      <c r="N112" s="3871" t="s">
        <v>677</v>
      </c>
      <c r="O112" s="3874">
        <f>SUM(T112:T117)/P112</f>
        <v>1</v>
      </c>
      <c r="P112" s="3877">
        <f>SUM(T112:T117)</f>
        <v>160000000</v>
      </c>
      <c r="Q112" s="3871" t="s">
        <v>678</v>
      </c>
      <c r="R112" s="2448" t="s">
        <v>679</v>
      </c>
      <c r="S112" s="379" t="s">
        <v>680</v>
      </c>
      <c r="T112" s="536">
        <v>34000000</v>
      </c>
      <c r="U112" s="371">
        <v>8681250</v>
      </c>
      <c r="V112" s="371">
        <v>3037500</v>
      </c>
      <c r="W112" s="385">
        <v>20</v>
      </c>
      <c r="X112" s="385" t="s">
        <v>70</v>
      </c>
      <c r="Y112" s="3878">
        <v>3000</v>
      </c>
      <c r="Z112" s="3868">
        <v>65</v>
      </c>
      <c r="AA112" s="3862">
        <v>0</v>
      </c>
      <c r="AB112" s="3862">
        <v>0</v>
      </c>
      <c r="AC112" s="3862">
        <v>500</v>
      </c>
      <c r="AD112" s="3862"/>
      <c r="AE112" s="3862">
        <v>1500</v>
      </c>
      <c r="AF112" s="3862">
        <v>2</v>
      </c>
      <c r="AG112" s="3862">
        <v>800</v>
      </c>
      <c r="AH112" s="3862">
        <v>61</v>
      </c>
      <c r="AI112" s="3862">
        <v>100</v>
      </c>
      <c r="AJ112" s="3862">
        <v>2</v>
      </c>
      <c r="AK112" s="3859">
        <v>100</v>
      </c>
      <c r="AL112" s="3859">
        <v>12</v>
      </c>
      <c r="AM112" s="3862"/>
      <c r="AN112" s="3862">
        <v>4</v>
      </c>
      <c r="AO112" s="3855"/>
      <c r="AP112" s="3855"/>
      <c r="AQ112" s="3832"/>
      <c r="AR112" s="3832"/>
      <c r="AS112" s="3855"/>
      <c r="AT112" s="3855"/>
      <c r="AU112" s="3855"/>
      <c r="AV112" s="3855"/>
      <c r="AW112" s="3855"/>
      <c r="AX112" s="3855"/>
      <c r="AY112" s="3855"/>
      <c r="AZ112" s="3855">
        <v>2</v>
      </c>
      <c r="BA112" s="3855"/>
      <c r="BB112" s="3855">
        <v>2</v>
      </c>
      <c r="BC112" s="3855">
        <f>SUM(BA112+AY112+AW112+AU112+AS112+AQ112+AO112+AM112+AK112+AI112+AG112+AE112+AC112)</f>
        <v>3000</v>
      </c>
      <c r="BD112" s="3855">
        <f>SUM(BB112+AZ112+AX112+AV112+AT112+AR112+AP112+AN112+AL112+AJ112+AH112+AF112+AD112)</f>
        <v>85</v>
      </c>
      <c r="BE112" s="2449">
        <v>4</v>
      </c>
      <c r="BF112" s="3834">
        <f>SUM(U112:U117)</f>
        <v>34725000</v>
      </c>
      <c r="BG112" s="3834">
        <f>SUM(V112:V117)</f>
        <v>12150000</v>
      </c>
      <c r="BH112" s="3865">
        <f>BG112/BF112</f>
        <v>0.34989200863930886</v>
      </c>
      <c r="BI112" s="2449">
        <v>20</v>
      </c>
      <c r="BJ112" s="2510" t="s">
        <v>668</v>
      </c>
      <c r="BK112" s="3829">
        <v>43832</v>
      </c>
      <c r="BL112" s="3821">
        <v>43832</v>
      </c>
      <c r="BM112" s="3829">
        <v>43982</v>
      </c>
      <c r="BN112" s="3821">
        <v>43982</v>
      </c>
      <c r="BO112" s="2448" t="s">
        <v>478</v>
      </c>
    </row>
    <row r="113" spans="1:67" ht="54" customHeight="1" x14ac:dyDescent="0.2">
      <c r="A113" s="518"/>
      <c r="B113" s="519"/>
      <c r="C113" s="550"/>
      <c r="D113" s="551"/>
      <c r="E113" s="550"/>
      <c r="F113" s="551"/>
      <c r="G113" s="4581"/>
      <c r="H113" s="3884"/>
      <c r="I113" s="3842"/>
      <c r="J113" s="3887"/>
      <c r="K113" s="3889"/>
      <c r="L113" s="618"/>
      <c r="M113" s="3891"/>
      <c r="N113" s="3872"/>
      <c r="O113" s="3875"/>
      <c r="P113" s="3877"/>
      <c r="Q113" s="3872"/>
      <c r="R113" s="2448"/>
      <c r="S113" s="379" t="s">
        <v>681</v>
      </c>
      <c r="T113" s="536">
        <v>25000000</v>
      </c>
      <c r="U113" s="371">
        <v>8681250</v>
      </c>
      <c r="V113" s="371">
        <v>3037500</v>
      </c>
      <c r="W113" s="385">
        <v>20</v>
      </c>
      <c r="X113" s="385" t="s">
        <v>70</v>
      </c>
      <c r="Y113" s="3879"/>
      <c r="Z113" s="3869"/>
      <c r="AA113" s="3003"/>
      <c r="AB113" s="3003"/>
      <c r="AC113" s="3003"/>
      <c r="AD113" s="3003"/>
      <c r="AE113" s="3003"/>
      <c r="AF113" s="3003"/>
      <c r="AG113" s="3003"/>
      <c r="AH113" s="3003"/>
      <c r="AI113" s="3003"/>
      <c r="AJ113" s="3003"/>
      <c r="AK113" s="3860"/>
      <c r="AL113" s="3860"/>
      <c r="AM113" s="3003"/>
      <c r="AN113" s="3003"/>
      <c r="AO113" s="3856"/>
      <c r="AP113" s="3856"/>
      <c r="AQ113" s="3831"/>
      <c r="AR113" s="3831"/>
      <c r="AS113" s="3856"/>
      <c r="AT113" s="3856"/>
      <c r="AU113" s="3856"/>
      <c r="AV113" s="3856"/>
      <c r="AW113" s="3856"/>
      <c r="AX113" s="3856"/>
      <c r="AY113" s="3856"/>
      <c r="AZ113" s="3856"/>
      <c r="BA113" s="3856"/>
      <c r="BB113" s="3856"/>
      <c r="BC113" s="3856"/>
      <c r="BD113" s="3856"/>
      <c r="BE113" s="2450"/>
      <c r="BF113" s="3835"/>
      <c r="BG113" s="3835"/>
      <c r="BH113" s="3866"/>
      <c r="BI113" s="2450"/>
      <c r="BJ113" s="2511"/>
      <c r="BK113" s="3829"/>
      <c r="BL113" s="3822"/>
      <c r="BM113" s="3829"/>
      <c r="BN113" s="3822"/>
      <c r="BO113" s="2448"/>
    </row>
    <row r="114" spans="1:67" ht="60" customHeight="1" x14ac:dyDescent="0.2">
      <c r="A114" s="518"/>
      <c r="B114" s="519"/>
      <c r="C114" s="550"/>
      <c r="D114" s="551"/>
      <c r="E114" s="550"/>
      <c r="F114" s="551"/>
      <c r="G114" s="4581"/>
      <c r="H114" s="3884"/>
      <c r="I114" s="3842"/>
      <c r="J114" s="3887"/>
      <c r="K114" s="3889"/>
      <c r="L114" s="618" t="s">
        <v>682</v>
      </c>
      <c r="M114" s="3891"/>
      <c r="N114" s="3872"/>
      <c r="O114" s="3875"/>
      <c r="P114" s="3877"/>
      <c r="Q114" s="3872"/>
      <c r="R114" s="2448" t="s">
        <v>683</v>
      </c>
      <c r="S114" s="379" t="s">
        <v>684</v>
      </c>
      <c r="T114" s="536">
        <v>90000000</v>
      </c>
      <c r="U114" s="371">
        <v>8681250</v>
      </c>
      <c r="V114" s="371">
        <v>3037500</v>
      </c>
      <c r="W114" s="385">
        <v>20</v>
      </c>
      <c r="X114" s="385" t="s">
        <v>70</v>
      </c>
      <c r="Y114" s="3879"/>
      <c r="Z114" s="3869"/>
      <c r="AA114" s="3003"/>
      <c r="AB114" s="3003"/>
      <c r="AC114" s="3003"/>
      <c r="AD114" s="3003"/>
      <c r="AE114" s="3003"/>
      <c r="AF114" s="3003"/>
      <c r="AG114" s="3003"/>
      <c r="AH114" s="3003"/>
      <c r="AI114" s="3003"/>
      <c r="AJ114" s="3003"/>
      <c r="AK114" s="3860"/>
      <c r="AL114" s="3860"/>
      <c r="AM114" s="3003"/>
      <c r="AN114" s="3003"/>
      <c r="AO114" s="3856"/>
      <c r="AP114" s="3856"/>
      <c r="AQ114" s="3831"/>
      <c r="AR114" s="3831"/>
      <c r="AS114" s="3856"/>
      <c r="AT114" s="3856"/>
      <c r="AU114" s="3856"/>
      <c r="AV114" s="3856"/>
      <c r="AW114" s="3856"/>
      <c r="AX114" s="3856"/>
      <c r="AY114" s="3856"/>
      <c r="AZ114" s="3856"/>
      <c r="BA114" s="3856"/>
      <c r="BB114" s="3856"/>
      <c r="BC114" s="3856"/>
      <c r="BD114" s="3856"/>
      <c r="BE114" s="2450"/>
      <c r="BF114" s="3835"/>
      <c r="BG114" s="3835"/>
      <c r="BH114" s="3866"/>
      <c r="BI114" s="2450"/>
      <c r="BJ114" s="2511"/>
      <c r="BK114" s="3377"/>
      <c r="BL114" s="3822"/>
      <c r="BM114" s="3377"/>
      <c r="BN114" s="3822"/>
      <c r="BO114" s="2448"/>
    </row>
    <row r="115" spans="1:67" ht="42.75" x14ac:dyDescent="0.2">
      <c r="A115" s="518"/>
      <c r="B115" s="519"/>
      <c r="C115" s="550"/>
      <c r="D115" s="551"/>
      <c r="E115" s="550"/>
      <c r="F115" s="551"/>
      <c r="G115" s="4581"/>
      <c r="H115" s="3884"/>
      <c r="I115" s="3842"/>
      <c r="J115" s="3887"/>
      <c r="K115" s="3889"/>
      <c r="L115" s="618"/>
      <c r="M115" s="3891"/>
      <c r="N115" s="3872"/>
      <c r="O115" s="3875"/>
      <c r="P115" s="3877"/>
      <c r="Q115" s="3872"/>
      <c r="R115" s="2448"/>
      <c r="S115" s="54" t="s">
        <v>685</v>
      </c>
      <c r="T115" s="536">
        <v>5000000</v>
      </c>
      <c r="U115" s="371">
        <v>8681250</v>
      </c>
      <c r="V115" s="371">
        <v>3037500</v>
      </c>
      <c r="W115" s="385">
        <v>20</v>
      </c>
      <c r="X115" s="385" t="s">
        <v>70</v>
      </c>
      <c r="Y115" s="3879"/>
      <c r="Z115" s="3869"/>
      <c r="AA115" s="3003"/>
      <c r="AB115" s="3003"/>
      <c r="AC115" s="3003"/>
      <c r="AD115" s="3003"/>
      <c r="AE115" s="3003"/>
      <c r="AF115" s="3003"/>
      <c r="AG115" s="3003"/>
      <c r="AH115" s="3003"/>
      <c r="AI115" s="3003"/>
      <c r="AJ115" s="3003"/>
      <c r="AK115" s="3860"/>
      <c r="AL115" s="3860"/>
      <c r="AM115" s="3003"/>
      <c r="AN115" s="3003"/>
      <c r="AO115" s="3856"/>
      <c r="AP115" s="3856"/>
      <c r="AQ115" s="3831"/>
      <c r="AR115" s="3831"/>
      <c r="AS115" s="3856"/>
      <c r="AT115" s="3856"/>
      <c r="AU115" s="3856"/>
      <c r="AV115" s="3856"/>
      <c r="AW115" s="3856"/>
      <c r="AX115" s="3856"/>
      <c r="AY115" s="3856"/>
      <c r="AZ115" s="3856"/>
      <c r="BA115" s="3856"/>
      <c r="BB115" s="3856"/>
      <c r="BC115" s="3856"/>
      <c r="BD115" s="3856"/>
      <c r="BE115" s="2450"/>
      <c r="BF115" s="3835"/>
      <c r="BG115" s="3835"/>
      <c r="BH115" s="3866"/>
      <c r="BI115" s="2450"/>
      <c r="BJ115" s="2511"/>
      <c r="BK115" s="3377"/>
      <c r="BL115" s="3822"/>
      <c r="BM115" s="3377"/>
      <c r="BN115" s="3822"/>
      <c r="BO115" s="2448"/>
    </row>
    <row r="116" spans="1:67" ht="33" customHeight="1" x14ac:dyDescent="0.2">
      <c r="A116" s="518"/>
      <c r="B116" s="519"/>
      <c r="C116" s="550"/>
      <c r="D116" s="551"/>
      <c r="E116" s="550"/>
      <c r="F116" s="551"/>
      <c r="G116" s="4581"/>
      <c r="H116" s="3884"/>
      <c r="I116" s="3842"/>
      <c r="J116" s="3887"/>
      <c r="K116" s="3889"/>
      <c r="L116" s="618"/>
      <c r="M116" s="3891"/>
      <c r="N116" s="3872"/>
      <c r="O116" s="3875"/>
      <c r="P116" s="3877"/>
      <c r="Q116" s="3872"/>
      <c r="R116" s="2448"/>
      <c r="S116" s="54" t="s">
        <v>671</v>
      </c>
      <c r="T116" s="536">
        <v>2000000</v>
      </c>
      <c r="U116" s="371">
        <v>0</v>
      </c>
      <c r="V116" s="371"/>
      <c r="W116" s="385">
        <v>20</v>
      </c>
      <c r="X116" s="385" t="s">
        <v>70</v>
      </c>
      <c r="Y116" s="3879"/>
      <c r="Z116" s="3869"/>
      <c r="AA116" s="3003"/>
      <c r="AB116" s="3003"/>
      <c r="AC116" s="3003"/>
      <c r="AD116" s="3003"/>
      <c r="AE116" s="3003"/>
      <c r="AF116" s="3003"/>
      <c r="AG116" s="3003"/>
      <c r="AH116" s="3003"/>
      <c r="AI116" s="3003"/>
      <c r="AJ116" s="3003"/>
      <c r="AK116" s="3860"/>
      <c r="AL116" s="3860"/>
      <c r="AM116" s="3003"/>
      <c r="AN116" s="3003"/>
      <c r="AO116" s="3856"/>
      <c r="AP116" s="3856"/>
      <c r="AQ116" s="3831"/>
      <c r="AR116" s="3831"/>
      <c r="AS116" s="3856"/>
      <c r="AT116" s="3856"/>
      <c r="AU116" s="3856"/>
      <c r="AV116" s="3856"/>
      <c r="AW116" s="3856"/>
      <c r="AX116" s="3856"/>
      <c r="AY116" s="3856"/>
      <c r="AZ116" s="3856"/>
      <c r="BA116" s="3856"/>
      <c r="BB116" s="3856"/>
      <c r="BC116" s="3856"/>
      <c r="BD116" s="3856"/>
      <c r="BE116" s="2450"/>
      <c r="BF116" s="3835"/>
      <c r="BG116" s="3835"/>
      <c r="BH116" s="3866"/>
      <c r="BI116" s="2450"/>
      <c r="BJ116" s="2511"/>
      <c r="BK116" s="3377"/>
      <c r="BL116" s="3822"/>
      <c r="BM116" s="3377"/>
      <c r="BN116" s="3822"/>
      <c r="BO116" s="2448"/>
    </row>
    <row r="117" spans="1:67" ht="51.75" customHeight="1" x14ac:dyDescent="0.2">
      <c r="A117" s="518"/>
      <c r="B117" s="519"/>
      <c r="C117" s="619"/>
      <c r="D117" s="620"/>
      <c r="E117" s="619"/>
      <c r="F117" s="620"/>
      <c r="G117" s="4582"/>
      <c r="H117" s="3885"/>
      <c r="I117" s="3886"/>
      <c r="J117" s="3887"/>
      <c r="K117" s="3890"/>
      <c r="L117" s="621"/>
      <c r="M117" s="3892"/>
      <c r="N117" s="3873"/>
      <c r="O117" s="3876"/>
      <c r="P117" s="3877"/>
      <c r="Q117" s="3873"/>
      <c r="R117" s="2448"/>
      <c r="S117" s="54" t="s">
        <v>672</v>
      </c>
      <c r="T117" s="536">
        <v>4000000</v>
      </c>
      <c r="U117" s="371">
        <v>0</v>
      </c>
      <c r="V117" s="371"/>
      <c r="W117" s="385">
        <v>20</v>
      </c>
      <c r="X117" s="385" t="s">
        <v>70</v>
      </c>
      <c r="Y117" s="3880"/>
      <c r="Z117" s="3870"/>
      <c r="AA117" s="3863"/>
      <c r="AB117" s="3863"/>
      <c r="AC117" s="3863"/>
      <c r="AD117" s="3863"/>
      <c r="AE117" s="3863"/>
      <c r="AF117" s="3863"/>
      <c r="AG117" s="3863"/>
      <c r="AH117" s="3863"/>
      <c r="AI117" s="3863"/>
      <c r="AJ117" s="3863"/>
      <c r="AK117" s="3861"/>
      <c r="AL117" s="3861"/>
      <c r="AM117" s="3863"/>
      <c r="AN117" s="3863"/>
      <c r="AO117" s="3857"/>
      <c r="AP117" s="3857"/>
      <c r="AQ117" s="3858"/>
      <c r="AR117" s="3858"/>
      <c r="AS117" s="3857"/>
      <c r="AT117" s="3857"/>
      <c r="AU117" s="3857"/>
      <c r="AV117" s="3857"/>
      <c r="AW117" s="3857"/>
      <c r="AX117" s="3857"/>
      <c r="AY117" s="3857"/>
      <c r="AZ117" s="3857"/>
      <c r="BA117" s="3857"/>
      <c r="BB117" s="3857"/>
      <c r="BC117" s="3857"/>
      <c r="BD117" s="3857"/>
      <c r="BE117" s="2451"/>
      <c r="BF117" s="3864"/>
      <c r="BG117" s="3864"/>
      <c r="BH117" s="3867"/>
      <c r="BI117" s="2451"/>
      <c r="BJ117" s="2512"/>
      <c r="BK117" s="3377"/>
      <c r="BL117" s="3854"/>
      <c r="BM117" s="3377"/>
      <c r="BN117" s="3854"/>
      <c r="BO117" s="2448"/>
    </row>
    <row r="118" spans="1:67" ht="15" x14ac:dyDescent="0.2">
      <c r="A118" s="518"/>
      <c r="B118" s="519"/>
      <c r="C118" s="622">
        <v>19</v>
      </c>
      <c r="D118" s="521" t="s">
        <v>686</v>
      </c>
      <c r="E118" s="587"/>
      <c r="F118" s="587"/>
      <c r="G118" s="230"/>
      <c r="H118" s="40"/>
      <c r="I118" s="40"/>
      <c r="J118" s="544"/>
      <c r="K118" s="545"/>
      <c r="L118" s="546"/>
      <c r="M118" s="546"/>
      <c r="N118" s="544"/>
      <c r="O118" s="544"/>
      <c r="P118" s="544"/>
      <c r="Q118" s="40"/>
      <c r="R118" s="40"/>
      <c r="S118" s="40"/>
      <c r="T118" s="588"/>
      <c r="U118" s="588"/>
      <c r="V118" s="588"/>
      <c r="W118" s="230"/>
      <c r="X118" s="230"/>
      <c r="Y118" s="544"/>
      <c r="Z118" s="544"/>
      <c r="AA118" s="544"/>
      <c r="AB118" s="544"/>
      <c r="AC118" s="544"/>
      <c r="AD118" s="544"/>
      <c r="AE118" s="544"/>
      <c r="AF118" s="544"/>
      <c r="AG118" s="544"/>
      <c r="AH118" s="544"/>
      <c r="AI118" s="544"/>
      <c r="AJ118" s="544"/>
      <c r="AK118" s="544"/>
      <c r="AL118" s="544"/>
      <c r="AM118" s="544"/>
      <c r="AN118" s="544"/>
      <c r="AO118" s="544"/>
      <c r="AP118" s="544"/>
      <c r="AQ118" s="544"/>
      <c r="AR118" s="544"/>
      <c r="AS118" s="544"/>
      <c r="AT118" s="544"/>
      <c r="AU118" s="544"/>
      <c r="AV118" s="544"/>
      <c r="AW118" s="544"/>
      <c r="AX118" s="544"/>
      <c r="AY118" s="544"/>
      <c r="AZ118" s="544"/>
      <c r="BA118" s="544"/>
      <c r="BB118" s="544"/>
      <c r="BC118" s="544"/>
      <c r="BD118" s="544"/>
      <c r="BE118" s="587"/>
      <c r="BF118" s="588"/>
      <c r="BG118" s="588"/>
      <c r="BH118" s="587"/>
      <c r="BI118" s="587"/>
      <c r="BJ118" s="587"/>
      <c r="BK118" s="587"/>
      <c r="BL118" s="587"/>
      <c r="BM118" s="587"/>
      <c r="BN118" s="587"/>
      <c r="BO118" s="549"/>
    </row>
    <row r="119" spans="1:67" ht="15" x14ac:dyDescent="0.2">
      <c r="A119" s="518"/>
      <c r="B119" s="519"/>
      <c r="C119" s="3847"/>
      <c r="D119" s="3848"/>
      <c r="E119" s="529">
        <v>67</v>
      </c>
      <c r="F119" s="610" t="s">
        <v>687</v>
      </c>
      <c r="G119" s="605"/>
      <c r="H119" s="601"/>
      <c r="I119" s="601"/>
      <c r="J119" s="600"/>
      <c r="K119" s="623"/>
      <c r="L119" s="624"/>
      <c r="M119" s="603"/>
      <c r="N119" s="600"/>
      <c r="O119" s="600"/>
      <c r="P119" s="600"/>
      <c r="Q119" s="601"/>
      <c r="R119" s="601"/>
      <c r="S119" s="601"/>
      <c r="T119" s="625"/>
      <c r="U119" s="625"/>
      <c r="V119" s="626"/>
      <c r="W119" s="627"/>
      <c r="X119" s="627"/>
      <c r="Y119" s="559"/>
      <c r="Z119" s="559"/>
      <c r="AA119" s="559"/>
      <c r="AB119" s="559"/>
      <c r="AC119" s="559"/>
      <c r="AD119" s="559"/>
      <c r="AE119" s="559"/>
      <c r="AF119" s="559"/>
      <c r="AG119" s="559"/>
      <c r="AH119" s="559"/>
      <c r="AI119" s="559"/>
      <c r="AJ119" s="559"/>
      <c r="AK119" s="559"/>
      <c r="AL119" s="559"/>
      <c r="AM119" s="559"/>
      <c r="AN119" s="559"/>
      <c r="AO119" s="559"/>
      <c r="AP119" s="559"/>
      <c r="AQ119" s="559"/>
      <c r="AR119" s="559"/>
      <c r="AS119" s="559"/>
      <c r="AT119" s="559"/>
      <c r="AU119" s="559"/>
      <c r="AV119" s="559"/>
      <c r="AW119" s="559"/>
      <c r="AX119" s="559"/>
      <c r="AY119" s="559"/>
      <c r="AZ119" s="559"/>
      <c r="BA119" s="559"/>
      <c r="BB119" s="559"/>
      <c r="BC119" s="559"/>
      <c r="BD119" s="628"/>
      <c r="BE119" s="612"/>
      <c r="BF119" s="611"/>
      <c r="BG119" s="611"/>
      <c r="BH119" s="612"/>
      <c r="BI119" s="612"/>
      <c r="BJ119" s="612"/>
      <c r="BK119" s="612"/>
      <c r="BL119" s="612"/>
      <c r="BM119" s="612"/>
      <c r="BN119" s="612"/>
      <c r="BO119" s="607"/>
    </row>
    <row r="120" spans="1:67" ht="57.75" customHeight="1" x14ac:dyDescent="0.2">
      <c r="A120" s="518"/>
      <c r="B120" s="519"/>
      <c r="C120" s="3847"/>
      <c r="D120" s="3848"/>
      <c r="E120" s="563"/>
      <c r="F120" s="564"/>
      <c r="G120" s="4356">
        <v>198</v>
      </c>
      <c r="H120" s="3849" t="s">
        <v>688</v>
      </c>
      <c r="I120" s="2496" t="s">
        <v>689</v>
      </c>
      <c r="J120" s="3850">
        <v>1</v>
      </c>
      <c r="K120" s="3852">
        <v>0.95</v>
      </c>
      <c r="L120" s="3839" t="s">
        <v>690</v>
      </c>
      <c r="M120" s="3841" t="s">
        <v>691</v>
      </c>
      <c r="N120" s="3842" t="s">
        <v>692</v>
      </c>
      <c r="O120" s="3843">
        <f>SUM(T120:T126)/P120</f>
        <v>3.019992349352715E-2</v>
      </c>
      <c r="P120" s="3845">
        <f>SUM(T120:T129)</f>
        <v>3973520000</v>
      </c>
      <c r="Q120" s="3842" t="s">
        <v>693</v>
      </c>
      <c r="R120" s="2448" t="s">
        <v>694</v>
      </c>
      <c r="S120" s="54" t="s">
        <v>695</v>
      </c>
      <c r="T120" s="568">
        <v>20000000</v>
      </c>
      <c r="U120" s="608">
        <v>11074667</v>
      </c>
      <c r="V120" s="608">
        <v>4080000</v>
      </c>
      <c r="W120" s="385">
        <v>20</v>
      </c>
      <c r="X120" s="385" t="s">
        <v>70</v>
      </c>
      <c r="Y120" s="3837">
        <v>3500</v>
      </c>
      <c r="Z120" s="3832">
        <v>1251</v>
      </c>
      <c r="AA120" s="3832">
        <v>4000</v>
      </c>
      <c r="AB120" s="3832">
        <v>30</v>
      </c>
      <c r="AC120" s="3832"/>
      <c r="AD120" s="3832"/>
      <c r="AE120" s="3832"/>
      <c r="AF120" s="3832"/>
      <c r="AG120" s="3832"/>
      <c r="AH120" s="3832"/>
      <c r="AI120" s="3832">
        <v>7500</v>
      </c>
      <c r="AJ120" s="3832">
        <v>1281</v>
      </c>
      <c r="AK120" s="3836"/>
      <c r="AL120" s="3836"/>
      <c r="AM120" s="3832"/>
      <c r="AN120" s="3832"/>
      <c r="AO120" s="3832"/>
      <c r="AP120" s="3831"/>
      <c r="AQ120" s="3830"/>
      <c r="AR120" s="3830"/>
      <c r="AS120" s="3830"/>
      <c r="AT120" s="3830"/>
      <c r="AU120" s="3830"/>
      <c r="AV120" s="3830"/>
      <c r="AW120" s="3830"/>
      <c r="AX120" s="3830"/>
      <c r="AY120" s="3830"/>
      <c r="AZ120" s="3830"/>
      <c r="BA120" s="3830"/>
      <c r="BB120" s="3830"/>
      <c r="BC120" s="3831">
        <f>SUM(BA120+AY120+AW120+AU120+AS120+AQ120+AO120+AM120+AK120+AI120+AG120+AE120+AC120)</f>
        <v>7500</v>
      </c>
      <c r="BD120" s="3832">
        <f>SUM(BB120+AZ120+AX120+AV120+AT120+AR120+AP120+AN120+AL120+AJ120+AH120+AF120+AD120)</f>
        <v>1281</v>
      </c>
      <c r="BE120" s="3833">
        <v>7</v>
      </c>
      <c r="BF120" s="3834">
        <f>SUM(U120:U129)</f>
        <v>55373333</v>
      </c>
      <c r="BG120" s="3834">
        <f>SUM(V120:V129)</f>
        <v>20400000</v>
      </c>
      <c r="BH120" s="3827">
        <f>BG120/BF120</f>
        <v>0.36840838170243428</v>
      </c>
      <c r="BI120" s="3828">
        <v>20</v>
      </c>
      <c r="BJ120" s="3828" t="s">
        <v>696</v>
      </c>
      <c r="BK120" s="3829">
        <v>43832</v>
      </c>
      <c r="BL120" s="3821">
        <v>43832</v>
      </c>
      <c r="BM120" s="3829">
        <v>43982</v>
      </c>
      <c r="BN120" s="3821">
        <v>43982</v>
      </c>
      <c r="BO120" s="2496" t="s">
        <v>478</v>
      </c>
    </row>
    <row r="121" spans="1:67" ht="68.25" customHeight="1" x14ac:dyDescent="0.2">
      <c r="A121" s="518"/>
      <c r="B121" s="519"/>
      <c r="C121" s="3847"/>
      <c r="D121" s="3848"/>
      <c r="E121" s="550"/>
      <c r="F121" s="551"/>
      <c r="G121" s="4357"/>
      <c r="H121" s="3842"/>
      <c r="I121" s="2497"/>
      <c r="J121" s="3851"/>
      <c r="K121" s="3853"/>
      <c r="L121" s="3840"/>
      <c r="M121" s="3841"/>
      <c r="N121" s="3842"/>
      <c r="O121" s="3844"/>
      <c r="P121" s="3846"/>
      <c r="Q121" s="3842"/>
      <c r="R121" s="2448"/>
      <c r="S121" s="54" t="s">
        <v>697</v>
      </c>
      <c r="T121" s="568">
        <v>21000000</v>
      </c>
      <c r="U121" s="608">
        <v>11074667</v>
      </c>
      <c r="V121" s="608">
        <v>4080000</v>
      </c>
      <c r="W121" s="385">
        <v>20</v>
      </c>
      <c r="X121" s="385" t="s">
        <v>70</v>
      </c>
      <c r="Y121" s="3838"/>
      <c r="Z121" s="3831"/>
      <c r="AA121" s="3831"/>
      <c r="AB121" s="3831"/>
      <c r="AC121" s="3831"/>
      <c r="AD121" s="3831"/>
      <c r="AE121" s="3831"/>
      <c r="AF121" s="3831"/>
      <c r="AG121" s="3831"/>
      <c r="AH121" s="3831"/>
      <c r="AI121" s="3831"/>
      <c r="AJ121" s="3831"/>
      <c r="AK121" s="3830"/>
      <c r="AL121" s="3830"/>
      <c r="AM121" s="3831"/>
      <c r="AN121" s="3831"/>
      <c r="AO121" s="3831"/>
      <c r="AP121" s="3831"/>
      <c r="AQ121" s="3830"/>
      <c r="AR121" s="3830"/>
      <c r="AS121" s="3830"/>
      <c r="AT121" s="3830"/>
      <c r="AU121" s="3830"/>
      <c r="AV121" s="3830"/>
      <c r="AW121" s="3830"/>
      <c r="AX121" s="3830"/>
      <c r="AY121" s="3830"/>
      <c r="AZ121" s="3830"/>
      <c r="BA121" s="3830"/>
      <c r="BB121" s="3830"/>
      <c r="BC121" s="3831"/>
      <c r="BD121" s="3831"/>
      <c r="BE121" s="3409"/>
      <c r="BF121" s="3835"/>
      <c r="BG121" s="3835"/>
      <c r="BH121" s="2665"/>
      <c r="BI121" s="3427"/>
      <c r="BJ121" s="3427"/>
      <c r="BK121" s="3829"/>
      <c r="BL121" s="3822"/>
      <c r="BM121" s="3829"/>
      <c r="BN121" s="3822"/>
      <c r="BO121" s="2497"/>
    </row>
    <row r="122" spans="1:67" ht="57" x14ac:dyDescent="0.2">
      <c r="A122" s="518"/>
      <c r="B122" s="519"/>
      <c r="C122" s="3847"/>
      <c r="D122" s="3848"/>
      <c r="E122" s="550"/>
      <c r="F122" s="551"/>
      <c r="G122" s="4357"/>
      <c r="H122" s="3842"/>
      <c r="I122" s="2497"/>
      <c r="J122" s="3851"/>
      <c r="K122" s="3853"/>
      <c r="L122" s="3840"/>
      <c r="M122" s="3841"/>
      <c r="N122" s="3842"/>
      <c r="O122" s="3844"/>
      <c r="P122" s="3846"/>
      <c r="Q122" s="3842"/>
      <c r="R122" s="2448"/>
      <c r="S122" s="54" t="s">
        <v>698</v>
      </c>
      <c r="T122" s="568">
        <v>5500000</v>
      </c>
      <c r="U122" s="608">
        <v>11074667</v>
      </c>
      <c r="V122" s="608">
        <v>4080000</v>
      </c>
      <c r="W122" s="385">
        <v>20</v>
      </c>
      <c r="X122" s="385" t="s">
        <v>70</v>
      </c>
      <c r="Y122" s="3838"/>
      <c r="Z122" s="3831"/>
      <c r="AA122" s="3831"/>
      <c r="AB122" s="3831"/>
      <c r="AC122" s="3831"/>
      <c r="AD122" s="3831"/>
      <c r="AE122" s="3831"/>
      <c r="AF122" s="3831"/>
      <c r="AG122" s="3831"/>
      <c r="AH122" s="3831"/>
      <c r="AI122" s="3831"/>
      <c r="AJ122" s="3831"/>
      <c r="AK122" s="3830"/>
      <c r="AL122" s="3830"/>
      <c r="AM122" s="3831"/>
      <c r="AN122" s="3831"/>
      <c r="AO122" s="3831"/>
      <c r="AP122" s="3831"/>
      <c r="AQ122" s="3830"/>
      <c r="AR122" s="3830"/>
      <c r="AS122" s="3830"/>
      <c r="AT122" s="3830"/>
      <c r="AU122" s="3830"/>
      <c r="AV122" s="3830"/>
      <c r="AW122" s="3830"/>
      <c r="AX122" s="3830"/>
      <c r="AY122" s="3830"/>
      <c r="AZ122" s="3830"/>
      <c r="BA122" s="3830"/>
      <c r="BB122" s="3830"/>
      <c r="BC122" s="3831"/>
      <c r="BD122" s="3831"/>
      <c r="BE122" s="3409"/>
      <c r="BF122" s="3835"/>
      <c r="BG122" s="3835"/>
      <c r="BH122" s="2665"/>
      <c r="BI122" s="3427"/>
      <c r="BJ122" s="3427"/>
      <c r="BK122" s="3829"/>
      <c r="BL122" s="3822"/>
      <c r="BM122" s="3829"/>
      <c r="BN122" s="3822"/>
      <c r="BO122" s="2497"/>
    </row>
    <row r="123" spans="1:67" ht="42.75" x14ac:dyDescent="0.2">
      <c r="A123" s="518"/>
      <c r="B123" s="519"/>
      <c r="C123" s="3847"/>
      <c r="D123" s="3848"/>
      <c r="E123" s="550"/>
      <c r="F123" s="551"/>
      <c r="G123" s="4357"/>
      <c r="H123" s="3842"/>
      <c r="I123" s="2497"/>
      <c r="J123" s="3851"/>
      <c r="K123" s="3853"/>
      <c r="L123" s="3840"/>
      <c r="M123" s="3841"/>
      <c r="N123" s="3842"/>
      <c r="O123" s="3844"/>
      <c r="P123" s="3846"/>
      <c r="Q123" s="3842"/>
      <c r="R123" s="2448"/>
      <c r="S123" s="54" t="s">
        <v>699</v>
      </c>
      <c r="T123" s="568">
        <v>45000000</v>
      </c>
      <c r="U123" s="608">
        <v>11074666</v>
      </c>
      <c r="V123" s="608">
        <v>4080000</v>
      </c>
      <c r="W123" s="385">
        <v>20</v>
      </c>
      <c r="X123" s="385" t="s">
        <v>70</v>
      </c>
      <c r="Y123" s="3838"/>
      <c r="Z123" s="3831"/>
      <c r="AA123" s="3831"/>
      <c r="AB123" s="3831"/>
      <c r="AC123" s="3831"/>
      <c r="AD123" s="3831"/>
      <c r="AE123" s="3831"/>
      <c r="AF123" s="3831"/>
      <c r="AG123" s="3831"/>
      <c r="AH123" s="3831"/>
      <c r="AI123" s="3831"/>
      <c r="AJ123" s="3831"/>
      <c r="AK123" s="3830"/>
      <c r="AL123" s="3830"/>
      <c r="AM123" s="3831"/>
      <c r="AN123" s="3831"/>
      <c r="AO123" s="3831"/>
      <c r="AP123" s="3831"/>
      <c r="AQ123" s="3830"/>
      <c r="AR123" s="3830"/>
      <c r="AS123" s="3830"/>
      <c r="AT123" s="3830"/>
      <c r="AU123" s="3830"/>
      <c r="AV123" s="3830"/>
      <c r="AW123" s="3830"/>
      <c r="AX123" s="3830"/>
      <c r="AY123" s="3830"/>
      <c r="AZ123" s="3830"/>
      <c r="BA123" s="3830"/>
      <c r="BB123" s="3830"/>
      <c r="BC123" s="3831"/>
      <c r="BD123" s="3831"/>
      <c r="BE123" s="3409"/>
      <c r="BF123" s="3835"/>
      <c r="BG123" s="3835"/>
      <c r="BH123" s="2665"/>
      <c r="BI123" s="3427"/>
      <c r="BJ123" s="3427"/>
      <c r="BK123" s="3829"/>
      <c r="BL123" s="3822"/>
      <c r="BM123" s="3829"/>
      <c r="BN123" s="3822"/>
      <c r="BO123" s="2497"/>
    </row>
    <row r="124" spans="1:67" ht="42.75" x14ac:dyDescent="0.2">
      <c r="A124" s="518"/>
      <c r="B124" s="519"/>
      <c r="C124" s="3847"/>
      <c r="D124" s="3848"/>
      <c r="E124" s="550"/>
      <c r="F124" s="551"/>
      <c r="G124" s="4357"/>
      <c r="H124" s="3842"/>
      <c r="I124" s="2497"/>
      <c r="J124" s="3851"/>
      <c r="K124" s="3853"/>
      <c r="L124" s="3840"/>
      <c r="M124" s="3841"/>
      <c r="N124" s="3842"/>
      <c r="O124" s="3844"/>
      <c r="P124" s="3846"/>
      <c r="Q124" s="3842"/>
      <c r="R124" s="2448"/>
      <c r="S124" s="54" t="s">
        <v>700</v>
      </c>
      <c r="T124" s="568">
        <v>20000000</v>
      </c>
      <c r="U124" s="608">
        <v>11074666</v>
      </c>
      <c r="V124" s="608">
        <v>4080000</v>
      </c>
      <c r="W124" s="385">
        <v>20</v>
      </c>
      <c r="X124" s="385" t="s">
        <v>70</v>
      </c>
      <c r="Y124" s="3838"/>
      <c r="Z124" s="3831"/>
      <c r="AA124" s="3831"/>
      <c r="AB124" s="3831"/>
      <c r="AC124" s="3831"/>
      <c r="AD124" s="3831"/>
      <c r="AE124" s="3831"/>
      <c r="AF124" s="3831"/>
      <c r="AG124" s="3831"/>
      <c r="AH124" s="3831"/>
      <c r="AI124" s="3831"/>
      <c r="AJ124" s="3831"/>
      <c r="AK124" s="3830"/>
      <c r="AL124" s="3830"/>
      <c r="AM124" s="3831"/>
      <c r="AN124" s="3831"/>
      <c r="AO124" s="3831"/>
      <c r="AP124" s="3831"/>
      <c r="AQ124" s="3830"/>
      <c r="AR124" s="3830"/>
      <c r="AS124" s="3830"/>
      <c r="AT124" s="3830"/>
      <c r="AU124" s="3830"/>
      <c r="AV124" s="3830"/>
      <c r="AW124" s="3830"/>
      <c r="AX124" s="3830"/>
      <c r="AY124" s="3830"/>
      <c r="AZ124" s="3830"/>
      <c r="BA124" s="3830"/>
      <c r="BB124" s="3830"/>
      <c r="BC124" s="3831"/>
      <c r="BD124" s="3831"/>
      <c r="BE124" s="3409"/>
      <c r="BF124" s="3835"/>
      <c r="BG124" s="3835"/>
      <c r="BH124" s="2665"/>
      <c r="BI124" s="3427"/>
      <c r="BJ124" s="3427"/>
      <c r="BK124" s="3829"/>
      <c r="BL124" s="3822"/>
      <c r="BM124" s="3829"/>
      <c r="BN124" s="3822"/>
      <c r="BO124" s="2497"/>
    </row>
    <row r="125" spans="1:67" ht="41.25" customHeight="1" x14ac:dyDescent="0.2">
      <c r="A125" s="518"/>
      <c r="B125" s="519"/>
      <c r="C125" s="3847"/>
      <c r="D125" s="3848"/>
      <c r="E125" s="550"/>
      <c r="F125" s="551"/>
      <c r="G125" s="4357"/>
      <c r="H125" s="3842"/>
      <c r="I125" s="2497"/>
      <c r="J125" s="3851"/>
      <c r="K125" s="3853"/>
      <c r="L125" s="3840"/>
      <c r="M125" s="3841"/>
      <c r="N125" s="3842"/>
      <c r="O125" s="3844"/>
      <c r="P125" s="3846"/>
      <c r="Q125" s="3842"/>
      <c r="R125" s="2448"/>
      <c r="S125" s="565" t="s">
        <v>701</v>
      </c>
      <c r="T125" s="568">
        <v>5000000</v>
      </c>
      <c r="U125" s="608">
        <v>0</v>
      </c>
      <c r="V125" s="608"/>
      <c r="W125" s="385">
        <v>20</v>
      </c>
      <c r="X125" s="385" t="s">
        <v>70</v>
      </c>
      <c r="Y125" s="3838"/>
      <c r="Z125" s="3831"/>
      <c r="AA125" s="3831"/>
      <c r="AB125" s="3831"/>
      <c r="AC125" s="3831"/>
      <c r="AD125" s="3831"/>
      <c r="AE125" s="3831"/>
      <c r="AF125" s="3831"/>
      <c r="AG125" s="3831"/>
      <c r="AH125" s="3831"/>
      <c r="AI125" s="3831"/>
      <c r="AJ125" s="3831"/>
      <c r="AK125" s="3830"/>
      <c r="AL125" s="3830"/>
      <c r="AM125" s="3831"/>
      <c r="AN125" s="3831"/>
      <c r="AO125" s="3831"/>
      <c r="AP125" s="3831"/>
      <c r="AQ125" s="3830"/>
      <c r="AR125" s="3830"/>
      <c r="AS125" s="3830"/>
      <c r="AT125" s="3830"/>
      <c r="AU125" s="3830"/>
      <c r="AV125" s="3830"/>
      <c r="AW125" s="3830"/>
      <c r="AX125" s="3830"/>
      <c r="AY125" s="3830"/>
      <c r="AZ125" s="3830"/>
      <c r="BA125" s="3830"/>
      <c r="BB125" s="3830"/>
      <c r="BC125" s="3831"/>
      <c r="BD125" s="3831"/>
      <c r="BE125" s="3409"/>
      <c r="BF125" s="3835"/>
      <c r="BG125" s="3835"/>
      <c r="BH125" s="2665"/>
      <c r="BI125" s="3427"/>
      <c r="BJ125" s="3427"/>
      <c r="BK125" s="3829"/>
      <c r="BL125" s="3822"/>
      <c r="BM125" s="3829"/>
      <c r="BN125" s="3822"/>
      <c r="BO125" s="2497"/>
    </row>
    <row r="126" spans="1:67" ht="57" customHeight="1" x14ac:dyDescent="0.2">
      <c r="A126" s="518"/>
      <c r="B126" s="519"/>
      <c r="C126" s="3847"/>
      <c r="D126" s="3848"/>
      <c r="E126" s="550"/>
      <c r="F126" s="551"/>
      <c r="G126" s="4357"/>
      <c r="H126" s="3842"/>
      <c r="I126" s="2497"/>
      <c r="J126" s="3851"/>
      <c r="K126" s="3853"/>
      <c r="L126" s="3840"/>
      <c r="M126" s="3841"/>
      <c r="N126" s="3842"/>
      <c r="O126" s="3844"/>
      <c r="P126" s="3846"/>
      <c r="Q126" s="3842"/>
      <c r="R126" s="2448"/>
      <c r="S126" s="565" t="s">
        <v>702</v>
      </c>
      <c r="T126" s="568">
        <v>3500000</v>
      </c>
      <c r="U126" s="608">
        <v>0</v>
      </c>
      <c r="V126" s="608"/>
      <c r="W126" s="385">
        <v>20</v>
      </c>
      <c r="X126" s="385" t="s">
        <v>70</v>
      </c>
      <c r="Y126" s="3838"/>
      <c r="Z126" s="3831"/>
      <c r="AA126" s="3831"/>
      <c r="AB126" s="3831"/>
      <c r="AC126" s="3831"/>
      <c r="AD126" s="3831"/>
      <c r="AE126" s="3831"/>
      <c r="AF126" s="3831"/>
      <c r="AG126" s="3831"/>
      <c r="AH126" s="3831"/>
      <c r="AI126" s="3831"/>
      <c r="AJ126" s="3831"/>
      <c r="AK126" s="3830"/>
      <c r="AL126" s="3830"/>
      <c r="AM126" s="3831"/>
      <c r="AN126" s="3831"/>
      <c r="AO126" s="3831"/>
      <c r="AP126" s="3831"/>
      <c r="AQ126" s="3830"/>
      <c r="AR126" s="3830"/>
      <c r="AS126" s="3830"/>
      <c r="AT126" s="3830"/>
      <c r="AU126" s="3830"/>
      <c r="AV126" s="3830"/>
      <c r="AW126" s="3830"/>
      <c r="AX126" s="3830"/>
      <c r="AY126" s="3830"/>
      <c r="AZ126" s="3830"/>
      <c r="BA126" s="3830"/>
      <c r="BB126" s="3830"/>
      <c r="BC126" s="3831"/>
      <c r="BD126" s="3831"/>
      <c r="BE126" s="3409"/>
      <c r="BF126" s="3835"/>
      <c r="BG126" s="3835"/>
      <c r="BH126" s="2665"/>
      <c r="BI126" s="3427"/>
      <c r="BJ126" s="3427"/>
      <c r="BK126" s="3829"/>
      <c r="BL126" s="3822"/>
      <c r="BM126" s="3829"/>
      <c r="BN126" s="3822"/>
      <c r="BO126" s="2497"/>
    </row>
    <row r="127" spans="1:67" ht="72.75" customHeight="1" x14ac:dyDescent="0.2">
      <c r="A127" s="518"/>
      <c r="B127" s="519"/>
      <c r="C127" s="3847"/>
      <c r="D127" s="3848"/>
      <c r="E127" s="550"/>
      <c r="F127" s="551"/>
      <c r="G127" s="640">
        <v>199</v>
      </c>
      <c r="H127" s="629" t="s">
        <v>703</v>
      </c>
      <c r="I127" s="374" t="s">
        <v>704</v>
      </c>
      <c r="J127" s="630">
        <v>4</v>
      </c>
      <c r="K127" s="631">
        <v>4</v>
      </c>
      <c r="L127" s="632" t="s">
        <v>705</v>
      </c>
      <c r="M127" s="3841"/>
      <c r="N127" s="3842"/>
      <c r="O127" s="633">
        <f>+T127/P120</f>
        <v>1.006664116450905E-2</v>
      </c>
      <c r="P127" s="3846"/>
      <c r="Q127" s="3842"/>
      <c r="R127" s="2448"/>
      <c r="S127" s="395" t="s">
        <v>706</v>
      </c>
      <c r="T127" s="568">
        <v>40000000</v>
      </c>
      <c r="U127" s="608"/>
      <c r="V127" s="608"/>
      <c r="W127" s="385">
        <v>20</v>
      </c>
      <c r="X127" s="385" t="s">
        <v>70</v>
      </c>
      <c r="Y127" s="3838"/>
      <c r="Z127" s="3831"/>
      <c r="AA127" s="3831"/>
      <c r="AB127" s="3831"/>
      <c r="AC127" s="3831"/>
      <c r="AD127" s="3831"/>
      <c r="AE127" s="3831"/>
      <c r="AF127" s="3831"/>
      <c r="AG127" s="3831"/>
      <c r="AH127" s="3831"/>
      <c r="AI127" s="3831"/>
      <c r="AJ127" s="3831"/>
      <c r="AK127" s="3830"/>
      <c r="AL127" s="3830"/>
      <c r="AM127" s="3831"/>
      <c r="AN127" s="3831"/>
      <c r="AO127" s="3831"/>
      <c r="AP127" s="3831"/>
      <c r="AQ127" s="3830"/>
      <c r="AR127" s="3830"/>
      <c r="AS127" s="3830"/>
      <c r="AT127" s="3830"/>
      <c r="AU127" s="3830"/>
      <c r="AV127" s="3830"/>
      <c r="AW127" s="3830"/>
      <c r="AX127" s="3830"/>
      <c r="AY127" s="3830"/>
      <c r="AZ127" s="3830"/>
      <c r="BA127" s="3830"/>
      <c r="BB127" s="3830"/>
      <c r="BC127" s="3831"/>
      <c r="BD127" s="3831"/>
      <c r="BE127" s="3409"/>
      <c r="BF127" s="3835"/>
      <c r="BG127" s="3835"/>
      <c r="BH127" s="2665"/>
      <c r="BI127" s="3427"/>
      <c r="BJ127" s="3427"/>
      <c r="BK127" s="3829"/>
      <c r="BL127" s="3822"/>
      <c r="BM127" s="3829"/>
      <c r="BN127" s="3822"/>
      <c r="BO127" s="2497"/>
    </row>
    <row r="128" spans="1:67" ht="28.5" customHeight="1" x14ac:dyDescent="0.2">
      <c r="A128" s="518"/>
      <c r="B128" s="519"/>
      <c r="C128" s="3847"/>
      <c r="D128" s="3848"/>
      <c r="E128" s="550"/>
      <c r="F128" s="551"/>
      <c r="G128" s="2373">
        <v>200</v>
      </c>
      <c r="H128" s="634" t="s">
        <v>707</v>
      </c>
      <c r="I128" s="369" t="s">
        <v>708</v>
      </c>
      <c r="J128" s="635">
        <v>12</v>
      </c>
      <c r="K128" s="636">
        <v>12</v>
      </c>
      <c r="L128" s="3823" t="s">
        <v>709</v>
      </c>
      <c r="M128" s="3841"/>
      <c r="N128" s="3842"/>
      <c r="O128" s="637">
        <f>+SUM(T128:T129)/P120</f>
        <v>0.95973343534196376</v>
      </c>
      <c r="P128" s="3846"/>
      <c r="Q128" s="3842"/>
      <c r="R128" s="2496" t="s">
        <v>710</v>
      </c>
      <c r="S128" s="379" t="s">
        <v>711</v>
      </c>
      <c r="T128" s="638">
        <v>1144056000</v>
      </c>
      <c r="U128" s="608">
        <v>0</v>
      </c>
      <c r="V128" s="608"/>
      <c r="W128" s="639">
        <v>6</v>
      </c>
      <c r="X128" s="640" t="s">
        <v>712</v>
      </c>
      <c r="Y128" s="3838"/>
      <c r="Z128" s="3831"/>
      <c r="AA128" s="3831"/>
      <c r="AB128" s="3831"/>
      <c r="AC128" s="3831"/>
      <c r="AD128" s="3831"/>
      <c r="AE128" s="3831"/>
      <c r="AF128" s="3831"/>
      <c r="AG128" s="3831"/>
      <c r="AH128" s="3831"/>
      <c r="AI128" s="3831"/>
      <c r="AJ128" s="3831"/>
      <c r="AK128" s="3830"/>
      <c r="AL128" s="3830"/>
      <c r="AM128" s="3831"/>
      <c r="AN128" s="3831"/>
      <c r="AO128" s="3831"/>
      <c r="AP128" s="3831"/>
      <c r="AQ128" s="3830"/>
      <c r="AR128" s="3830"/>
      <c r="AS128" s="3830"/>
      <c r="AT128" s="3830"/>
      <c r="AU128" s="3830"/>
      <c r="AV128" s="3830"/>
      <c r="AW128" s="3830"/>
      <c r="AX128" s="3830"/>
      <c r="AY128" s="3830"/>
      <c r="AZ128" s="3830"/>
      <c r="BA128" s="3830"/>
      <c r="BB128" s="3830"/>
      <c r="BC128" s="3831"/>
      <c r="BD128" s="3831"/>
      <c r="BE128" s="3409"/>
      <c r="BF128" s="3835"/>
      <c r="BG128" s="3835"/>
      <c r="BH128" s="2665"/>
      <c r="BI128" s="3427"/>
      <c r="BJ128" s="3427"/>
      <c r="BK128" s="3829"/>
      <c r="BL128" s="3822"/>
      <c r="BM128" s="3829"/>
      <c r="BN128" s="3822"/>
      <c r="BO128" s="2497"/>
    </row>
    <row r="129" spans="1:67" ht="31.5" customHeight="1" x14ac:dyDescent="0.2">
      <c r="A129" s="518"/>
      <c r="B129" s="519"/>
      <c r="C129" s="3847"/>
      <c r="D129" s="3848"/>
      <c r="E129" s="550"/>
      <c r="F129" s="551"/>
      <c r="G129" s="2373">
        <v>201</v>
      </c>
      <c r="H129" s="386" t="s">
        <v>713</v>
      </c>
      <c r="I129" s="387" t="s">
        <v>714</v>
      </c>
      <c r="J129" s="373">
        <v>14</v>
      </c>
      <c r="K129" s="396">
        <v>14</v>
      </c>
      <c r="L129" s="3824"/>
      <c r="M129" s="3841"/>
      <c r="N129" s="3842"/>
      <c r="O129" s="637">
        <f>+SUM(T129:T129)/P120</f>
        <v>0.67181340473937468</v>
      </c>
      <c r="P129" s="3846"/>
      <c r="Q129" s="3842"/>
      <c r="R129" s="2497"/>
      <c r="S129" s="379" t="s">
        <v>715</v>
      </c>
      <c r="T129" s="641">
        <v>2669464000</v>
      </c>
      <c r="U129" s="608">
        <v>0</v>
      </c>
      <c r="V129" s="608"/>
      <c r="W129" s="639">
        <v>6</v>
      </c>
      <c r="X129" s="640" t="s">
        <v>712</v>
      </c>
      <c r="Y129" s="3838"/>
      <c r="Z129" s="3831"/>
      <c r="AA129" s="3831"/>
      <c r="AB129" s="3831"/>
      <c r="AC129" s="3831"/>
      <c r="AD129" s="3831"/>
      <c r="AE129" s="3831"/>
      <c r="AF129" s="3831"/>
      <c r="AG129" s="3831"/>
      <c r="AH129" s="3831"/>
      <c r="AI129" s="3831"/>
      <c r="AJ129" s="3831"/>
      <c r="AK129" s="3830"/>
      <c r="AL129" s="3830"/>
      <c r="AM129" s="3831"/>
      <c r="AN129" s="3831"/>
      <c r="AO129" s="3831"/>
      <c r="AP129" s="3831"/>
      <c r="AQ129" s="3830"/>
      <c r="AR129" s="3830"/>
      <c r="AS129" s="3830"/>
      <c r="AT129" s="3830"/>
      <c r="AU129" s="3830"/>
      <c r="AV129" s="3830"/>
      <c r="AW129" s="3830"/>
      <c r="AX129" s="3830"/>
      <c r="AY129" s="3830"/>
      <c r="AZ129" s="3830"/>
      <c r="BA129" s="3830"/>
      <c r="BB129" s="3830"/>
      <c r="BC129" s="3831"/>
      <c r="BD129" s="3831"/>
      <c r="BE129" s="3409"/>
      <c r="BF129" s="3835"/>
      <c r="BG129" s="3835"/>
      <c r="BH129" s="2665"/>
      <c r="BI129" s="3427"/>
      <c r="BJ129" s="3427"/>
      <c r="BK129" s="3829"/>
      <c r="BL129" s="3822"/>
      <c r="BM129" s="3829"/>
      <c r="BN129" s="3822"/>
      <c r="BO129" s="2497"/>
    </row>
    <row r="130" spans="1:67" s="212" customFormat="1" ht="35.25" customHeight="1" x14ac:dyDescent="0.25">
      <c r="A130" s="2570" t="s">
        <v>716</v>
      </c>
      <c r="B130" s="2570"/>
      <c r="C130" s="2570"/>
      <c r="D130" s="2570"/>
      <c r="E130" s="2570"/>
      <c r="F130" s="2570"/>
      <c r="G130" s="2570"/>
      <c r="H130" s="2570"/>
      <c r="I130" s="2570"/>
      <c r="J130" s="2570"/>
      <c r="K130" s="3825"/>
      <c r="L130" s="3825"/>
      <c r="M130" s="2570"/>
      <c r="N130" s="2570"/>
      <c r="O130" s="2570"/>
      <c r="P130" s="642">
        <f>SUM(P13:P129)</f>
        <v>6069444000</v>
      </c>
      <c r="Q130" s="643"/>
      <c r="R130" s="644"/>
      <c r="S130" s="644"/>
      <c r="T130" s="645">
        <f>SUM(T13:T129)</f>
        <v>6149444000</v>
      </c>
      <c r="U130" s="645">
        <f t="shared" ref="U130:V130" si="0">SUM(U13:U129)</f>
        <v>343085330</v>
      </c>
      <c r="V130" s="645">
        <f t="shared" si="0"/>
        <v>122450000</v>
      </c>
      <c r="W130" s="646"/>
      <c r="X130" s="646"/>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7"/>
      <c r="AY130" s="647"/>
      <c r="AZ130" s="647"/>
      <c r="BA130" s="647"/>
      <c r="BB130" s="647"/>
      <c r="BC130" s="647"/>
      <c r="BD130" s="648"/>
      <c r="BE130" s="648"/>
      <c r="BF130" s="649">
        <f>SUM(BF13:BF129)</f>
        <v>343085330</v>
      </c>
      <c r="BG130" s="649">
        <f>SUM(BG13:BG129)</f>
        <v>122450000</v>
      </c>
      <c r="BH130" s="650">
        <f>BG130/BF130</f>
        <v>0.35690829450504341</v>
      </c>
      <c r="BI130" s="648"/>
      <c r="BJ130" s="648"/>
      <c r="BK130" s="648"/>
      <c r="BL130" s="648"/>
      <c r="BM130" s="648"/>
      <c r="BN130" s="648"/>
      <c r="BO130" s="644"/>
    </row>
    <row r="131" spans="1:67" ht="15.75" x14ac:dyDescent="0.25">
      <c r="A131" s="8"/>
      <c r="B131" s="8"/>
      <c r="C131" s="8"/>
      <c r="D131" s="8"/>
      <c r="E131" s="8"/>
      <c r="F131" s="651"/>
      <c r="G131" s="4583"/>
      <c r="H131" s="652"/>
      <c r="I131" s="653"/>
      <c r="J131" s="8"/>
      <c r="K131" s="8"/>
      <c r="L131" s="651"/>
      <c r="M131" s="651"/>
      <c r="N131" s="653"/>
      <c r="O131" s="8"/>
      <c r="P131" s="654"/>
      <c r="Q131" s="652"/>
      <c r="R131" s="372"/>
      <c r="S131" s="372"/>
      <c r="T131" s="655"/>
      <c r="U131" s="655"/>
      <c r="V131" s="655"/>
      <c r="W131" s="656"/>
      <c r="X131" s="657"/>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O131" s="372"/>
    </row>
    <row r="132" spans="1:67" ht="69.75" customHeight="1" x14ac:dyDescent="0.25">
      <c r="A132" s="8"/>
      <c r="B132" s="8"/>
      <c r="C132" s="8"/>
      <c r="D132" s="3826"/>
      <c r="E132" s="3826"/>
      <c r="F132" s="3826"/>
      <c r="G132" s="3826"/>
      <c r="H132" s="3826"/>
      <c r="I132" s="3826"/>
      <c r="J132" s="3826"/>
      <c r="K132" s="8"/>
      <c r="L132" s="651"/>
      <c r="M132" s="651"/>
      <c r="N132" s="653"/>
      <c r="O132" s="8"/>
      <c r="P132" s="654"/>
      <c r="Q132" s="652"/>
      <c r="R132" s="372"/>
      <c r="S132" s="659"/>
      <c r="T132" s="660"/>
      <c r="U132" s="660"/>
      <c r="V132" s="661"/>
      <c r="W132" s="8"/>
      <c r="X132" s="651"/>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D132" s="658"/>
      <c r="BE132" s="658"/>
      <c r="BF132" s="2"/>
      <c r="BG132" s="2"/>
      <c r="BM132" s="372"/>
      <c r="BO132" s="2"/>
    </row>
    <row r="133" spans="1:67" ht="15" x14ac:dyDescent="0.25">
      <c r="A133" s="8"/>
      <c r="B133" s="8"/>
      <c r="C133" s="8"/>
      <c r="D133" s="8"/>
      <c r="E133" s="8"/>
      <c r="F133" s="651"/>
      <c r="G133" s="4583"/>
      <c r="H133" s="652"/>
      <c r="I133" s="653"/>
      <c r="J133" s="8"/>
      <c r="K133" s="8"/>
      <c r="L133" s="651"/>
      <c r="M133" s="651"/>
      <c r="N133" s="653"/>
      <c r="O133" s="8"/>
      <c r="P133" s="654"/>
      <c r="Q133" s="652"/>
      <c r="R133" s="372"/>
      <c r="S133" s="372"/>
      <c r="T133" s="662"/>
      <c r="U133" s="662"/>
      <c r="V133" s="662"/>
      <c r="W133" s="651"/>
      <c r="X133" s="651"/>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O133" s="372"/>
    </row>
    <row r="134" spans="1:67" ht="15" x14ac:dyDescent="0.25">
      <c r="A134" s="8"/>
      <c r="B134" s="8"/>
      <c r="C134" s="8"/>
      <c r="D134" s="8"/>
      <c r="E134" s="8"/>
      <c r="F134" s="651"/>
      <c r="G134" s="4583"/>
      <c r="H134" s="652"/>
      <c r="I134" s="653"/>
      <c r="J134" s="8"/>
      <c r="K134" s="8"/>
      <c r="L134" s="651"/>
      <c r="M134" s="651"/>
      <c r="N134" s="653"/>
      <c r="O134" s="8"/>
      <c r="P134" s="654"/>
      <c r="Q134" s="652"/>
      <c r="R134" s="372"/>
      <c r="S134" s="372"/>
      <c r="U134" s="662"/>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O134" s="372"/>
    </row>
    <row r="135" spans="1:67" ht="18.75" x14ac:dyDescent="0.25">
      <c r="A135" s="8"/>
      <c r="B135" s="8"/>
      <c r="C135" s="8"/>
      <c r="D135" s="8"/>
      <c r="E135" s="8"/>
      <c r="F135" s="651"/>
      <c r="G135" s="4583"/>
      <c r="H135" s="652"/>
      <c r="I135" s="653"/>
      <c r="J135" s="8"/>
      <c r="K135" s="8"/>
      <c r="L135" s="651"/>
      <c r="M135" s="651"/>
      <c r="N135" s="653"/>
      <c r="O135" s="8"/>
      <c r="P135" s="654"/>
      <c r="Q135" s="652"/>
      <c r="R135" s="372"/>
      <c r="S135" s="664"/>
      <c r="T135" s="665"/>
      <c r="U135" s="665"/>
      <c r="V135" s="666"/>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O135" s="372"/>
    </row>
    <row r="136" spans="1:67" ht="18.75" x14ac:dyDescent="0.2">
      <c r="A136" s="8"/>
      <c r="B136" s="8"/>
      <c r="C136" s="8"/>
      <c r="D136" s="8"/>
      <c r="E136" s="8"/>
      <c r="F136" s="651"/>
      <c r="G136" s="2372"/>
      <c r="H136" s="666"/>
      <c r="I136" s="666"/>
      <c r="J136" s="8"/>
      <c r="K136" s="8"/>
      <c r="L136" s="651"/>
      <c r="M136" s="651"/>
      <c r="N136" s="666"/>
      <c r="O136" s="8"/>
      <c r="P136" s="667"/>
      <c r="Q136" s="666"/>
      <c r="R136" s="666"/>
      <c r="S136" s="664"/>
      <c r="T136" s="665"/>
      <c r="U136" s="665"/>
      <c r="V136" s="666"/>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row>
    <row r="137" spans="1:67" ht="18.75" x14ac:dyDescent="0.2">
      <c r="A137" s="8"/>
      <c r="B137" s="8"/>
      <c r="C137" s="8"/>
      <c r="D137" s="8"/>
      <c r="E137" s="8"/>
      <c r="F137" s="651"/>
      <c r="G137" s="2372"/>
      <c r="H137" s="666"/>
      <c r="I137" s="666"/>
      <c r="J137" s="8"/>
      <c r="K137" s="8"/>
      <c r="L137" s="651"/>
      <c r="M137" s="651"/>
      <c r="N137" s="666"/>
      <c r="O137" s="8"/>
      <c r="P137" s="667"/>
      <c r="Q137" s="666"/>
      <c r="R137" s="666"/>
      <c r="S137" s="664"/>
      <c r="T137" s="665"/>
      <c r="U137" s="665"/>
      <c r="V137" s="666"/>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row>
    <row r="138" spans="1:67" ht="15" x14ac:dyDescent="0.2">
      <c r="A138" s="3818" t="s">
        <v>717</v>
      </c>
      <c r="B138" s="3818"/>
      <c r="C138" s="3818"/>
      <c r="D138" s="3818"/>
      <c r="E138" s="3818"/>
      <c r="F138" s="3818"/>
      <c r="G138" s="3818"/>
      <c r="H138" s="3818"/>
      <c r="I138" s="3818"/>
      <c r="J138" s="8"/>
      <c r="K138" s="8"/>
      <c r="L138" s="651"/>
      <c r="M138" s="651"/>
      <c r="N138" s="666"/>
      <c r="O138" s="8"/>
      <c r="P138" s="667"/>
      <c r="Q138" s="666"/>
      <c r="R138" s="666"/>
      <c r="S138" s="372"/>
      <c r="T138" s="668"/>
      <c r="U138" s="651"/>
      <c r="V138" s="666"/>
      <c r="W138" s="651"/>
      <c r="X138" s="651"/>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row>
    <row r="139" spans="1:67" ht="15" x14ac:dyDescent="0.25">
      <c r="A139" s="3819" t="s">
        <v>718</v>
      </c>
      <c r="B139" s="3819"/>
      <c r="C139" s="3819"/>
      <c r="D139" s="3819"/>
      <c r="E139" s="3819"/>
      <c r="F139" s="3819"/>
      <c r="G139" s="3819"/>
      <c r="H139" s="3819"/>
      <c r="I139" s="3819"/>
      <c r="J139" s="8"/>
      <c r="K139" s="8"/>
      <c r="L139" s="651"/>
      <c r="M139" s="651"/>
      <c r="N139" s="666"/>
      <c r="O139" s="8"/>
      <c r="P139" s="667"/>
      <c r="Q139" s="666"/>
      <c r="R139" s="666"/>
      <c r="S139" s="372"/>
      <c r="T139" s="667"/>
      <c r="U139" s="667"/>
      <c r="V139" s="668"/>
      <c r="W139" s="651"/>
      <c r="X139" s="651"/>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row>
    <row r="140" spans="1:67" x14ac:dyDescent="0.2">
      <c r="E140" s="8"/>
      <c r="F140" s="651"/>
      <c r="G140" s="2372"/>
      <c r="H140" s="666"/>
      <c r="I140" s="666"/>
      <c r="J140" s="8"/>
      <c r="K140" s="8"/>
      <c r="L140" s="651"/>
      <c r="M140" s="651"/>
      <c r="N140" s="666"/>
      <c r="O140" s="8"/>
      <c r="P140" s="667"/>
      <c r="Q140" s="666"/>
      <c r="R140" s="666"/>
      <c r="S140" s="372"/>
      <c r="T140" s="667"/>
      <c r="U140" s="667"/>
      <c r="V140" s="668"/>
      <c r="W140" s="651"/>
      <c r="X140" s="651"/>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row>
    <row r="141" spans="1:67" x14ac:dyDescent="0.2">
      <c r="A141" s="8"/>
      <c r="B141" s="8"/>
      <c r="C141" s="8"/>
      <c r="D141" s="8"/>
      <c r="E141" s="8"/>
      <c r="F141" s="651"/>
      <c r="G141" s="2372"/>
      <c r="H141" s="666"/>
      <c r="I141" s="666"/>
      <c r="J141" s="8"/>
      <c r="K141" s="8"/>
      <c r="L141" s="651"/>
      <c r="M141" s="651"/>
      <c r="N141" s="666"/>
      <c r="O141" s="8"/>
      <c r="P141" s="667"/>
      <c r="Q141" s="666"/>
      <c r="R141" s="666"/>
      <c r="S141" s="372"/>
      <c r="T141" s="667"/>
      <c r="U141" s="667"/>
      <c r="V141" s="668"/>
      <c r="W141" s="651"/>
      <c r="X141" s="651"/>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row>
    <row r="142" spans="1:67" x14ac:dyDescent="0.2">
      <c r="A142" s="3820" t="s">
        <v>719</v>
      </c>
      <c r="B142" s="3820"/>
      <c r="C142" s="3820"/>
      <c r="D142" s="3820"/>
      <c r="E142" s="3820"/>
      <c r="F142" s="3820"/>
      <c r="G142" s="3820"/>
      <c r="H142" s="3820"/>
      <c r="I142" s="3820"/>
      <c r="J142" s="8"/>
      <c r="K142" s="8"/>
      <c r="L142" s="651"/>
      <c r="M142" s="651"/>
      <c r="N142" s="666"/>
      <c r="O142" s="8"/>
      <c r="P142" s="667"/>
      <c r="Q142" s="666"/>
      <c r="R142" s="666"/>
      <c r="S142" s="372"/>
      <c r="T142" s="667"/>
      <c r="U142" s="667"/>
      <c r="V142" s="668"/>
      <c r="W142" s="651"/>
      <c r="X142" s="651"/>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row>
    <row r="143" spans="1:67" x14ac:dyDescent="0.2">
      <c r="A143" s="8"/>
      <c r="B143" s="8"/>
      <c r="C143" s="8"/>
      <c r="D143" s="8"/>
      <c r="E143" s="8"/>
      <c r="F143" s="651"/>
      <c r="G143" s="2372"/>
      <c r="H143" s="666"/>
      <c r="I143" s="666"/>
      <c r="J143" s="8"/>
      <c r="K143" s="8"/>
      <c r="L143" s="651"/>
      <c r="M143" s="651"/>
      <c r="N143" s="666"/>
      <c r="O143" s="8"/>
      <c r="P143" s="667"/>
      <c r="Q143" s="666"/>
      <c r="R143" s="666"/>
      <c r="S143" s="372"/>
      <c r="T143" s="667"/>
      <c r="U143" s="667"/>
      <c r="V143" s="668"/>
      <c r="W143" s="651"/>
      <c r="X143" s="651"/>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row>
    <row r="144" spans="1:67" x14ac:dyDescent="0.2">
      <c r="A144" s="8"/>
      <c r="B144" s="8"/>
      <c r="C144" s="8"/>
      <c r="D144" s="8"/>
      <c r="E144" s="8"/>
      <c r="F144" s="651"/>
      <c r="G144" s="2372"/>
      <c r="H144" s="666"/>
      <c r="I144" s="666"/>
      <c r="J144" s="8"/>
      <c r="K144" s="8"/>
      <c r="L144" s="651"/>
      <c r="M144" s="651"/>
      <c r="N144" s="666"/>
      <c r="O144" s="8"/>
      <c r="P144" s="667"/>
      <c r="Q144" s="666"/>
      <c r="R144" s="666"/>
      <c r="S144" s="372"/>
      <c r="T144" s="667"/>
      <c r="U144" s="667"/>
      <c r="V144" s="668"/>
      <c r="W144" s="651"/>
      <c r="X144" s="651"/>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row>
    <row r="145" spans="1:276" x14ac:dyDescent="0.2">
      <c r="A145" s="8"/>
      <c r="B145" s="8"/>
      <c r="C145" s="8"/>
      <c r="D145" s="8"/>
      <c r="E145" s="8"/>
      <c r="F145" s="651"/>
      <c r="G145" s="2372"/>
      <c r="H145" s="666"/>
      <c r="I145" s="666"/>
      <c r="J145" s="8"/>
      <c r="K145" s="8"/>
      <c r="L145" s="651"/>
      <c r="M145" s="651"/>
      <c r="N145" s="666"/>
      <c r="O145" s="8"/>
      <c r="P145" s="667"/>
      <c r="Q145" s="666"/>
      <c r="R145" s="666"/>
      <c r="S145" s="372"/>
      <c r="T145" s="667"/>
      <c r="U145" s="667"/>
      <c r="V145" s="668"/>
      <c r="W145" s="651"/>
      <c r="X145" s="651"/>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row>
    <row r="146" spans="1:276" x14ac:dyDescent="0.2">
      <c r="A146" s="8"/>
      <c r="B146" s="8"/>
      <c r="C146" s="8"/>
      <c r="D146" s="8"/>
      <c r="E146" s="8"/>
      <c r="F146" s="651"/>
      <c r="G146" s="2372"/>
      <c r="H146" s="666"/>
      <c r="I146" s="666"/>
      <c r="J146" s="8"/>
      <c r="K146" s="8"/>
      <c r="L146" s="651"/>
      <c r="M146" s="651"/>
      <c r="N146" s="666"/>
      <c r="O146" s="8"/>
      <c r="P146" s="667"/>
      <c r="Q146" s="666"/>
      <c r="R146" s="666"/>
      <c r="S146" s="372"/>
      <c r="T146" s="667"/>
      <c r="U146" s="667"/>
      <c r="V146" s="668"/>
      <c r="W146" s="651"/>
      <c r="X146" s="651"/>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row>
    <row r="147" spans="1:276" x14ac:dyDescent="0.2">
      <c r="A147" s="8"/>
      <c r="B147" s="8"/>
      <c r="C147" s="8"/>
      <c r="D147" s="8"/>
      <c r="E147" s="8"/>
      <c r="F147" s="651"/>
      <c r="G147" s="2372"/>
      <c r="H147" s="666"/>
      <c r="I147" s="666"/>
      <c r="J147" s="8"/>
      <c r="K147" s="8"/>
      <c r="L147" s="651"/>
      <c r="M147" s="651"/>
      <c r="N147" s="666"/>
      <c r="O147" s="8"/>
      <c r="P147" s="667"/>
      <c r="Q147" s="666"/>
      <c r="R147" s="666"/>
      <c r="S147" s="372"/>
      <c r="T147" s="667"/>
      <c r="U147" s="667"/>
      <c r="V147" s="668"/>
      <c r="W147" s="651"/>
      <c r="X147" s="651"/>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row>
    <row r="148" spans="1:276" x14ac:dyDescent="0.2">
      <c r="A148" s="8"/>
      <c r="B148" s="8"/>
      <c r="C148" s="8"/>
      <c r="D148" s="8"/>
      <c r="E148" s="8"/>
      <c r="F148" s="651"/>
      <c r="G148" s="2372"/>
      <c r="H148" s="666"/>
      <c r="I148" s="666"/>
      <c r="J148" s="8"/>
      <c r="K148" s="8"/>
      <c r="L148" s="651"/>
      <c r="M148" s="651"/>
      <c r="N148" s="666"/>
      <c r="O148" s="8"/>
      <c r="P148" s="667"/>
      <c r="Q148" s="666"/>
      <c r="R148" s="666"/>
      <c r="S148" s="372"/>
      <c r="T148" s="667"/>
      <c r="U148" s="667"/>
      <c r="V148" s="668"/>
      <c r="W148" s="651"/>
      <c r="X148" s="651"/>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row>
    <row r="149" spans="1:276" x14ac:dyDescent="0.2">
      <c r="A149" s="8"/>
      <c r="B149" s="8"/>
      <c r="C149" s="8"/>
      <c r="D149" s="8"/>
      <c r="E149" s="8"/>
      <c r="F149" s="651"/>
      <c r="G149" s="2372"/>
      <c r="H149" s="666"/>
      <c r="I149" s="666"/>
      <c r="J149" s="8"/>
      <c r="K149" s="8"/>
      <c r="L149" s="651"/>
      <c r="M149" s="651"/>
      <c r="N149" s="666"/>
      <c r="O149" s="8"/>
      <c r="P149" s="667"/>
      <c r="Q149" s="666"/>
      <c r="R149" s="666"/>
      <c r="S149" s="372"/>
      <c r="T149" s="667"/>
      <c r="U149" s="667"/>
      <c r="V149" s="668"/>
      <c r="W149" s="651"/>
      <c r="X149" s="651"/>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row>
    <row r="150" spans="1:276" x14ac:dyDescent="0.2">
      <c r="A150" s="8"/>
      <c r="B150" s="8"/>
      <c r="C150" s="8"/>
      <c r="D150" s="8"/>
      <c r="E150" s="8"/>
      <c r="F150" s="651"/>
      <c r="G150" s="2372"/>
      <c r="H150" s="666"/>
      <c r="I150" s="666"/>
      <c r="J150" s="8"/>
      <c r="K150" s="8"/>
      <c r="L150" s="651"/>
      <c r="M150" s="651"/>
      <c r="N150" s="666"/>
      <c r="O150" s="8"/>
      <c r="P150" s="667"/>
      <c r="Q150" s="666"/>
      <c r="R150" s="666"/>
      <c r="S150" s="372"/>
      <c r="T150" s="667"/>
      <c r="U150" s="667"/>
      <c r="V150" s="668"/>
      <c r="W150" s="651"/>
      <c r="X150" s="651"/>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row>
    <row r="151" spans="1:276" x14ac:dyDescent="0.2">
      <c r="A151" s="8"/>
      <c r="B151" s="8"/>
      <c r="C151" s="8"/>
      <c r="D151" s="8"/>
      <c r="E151" s="8"/>
      <c r="F151" s="651"/>
      <c r="G151" s="2372"/>
      <c r="H151" s="666"/>
      <c r="I151" s="666"/>
      <c r="J151" s="8"/>
      <c r="K151" s="8"/>
      <c r="L151" s="651"/>
      <c r="M151" s="651"/>
      <c r="N151" s="666"/>
      <c r="O151" s="8"/>
      <c r="P151" s="667"/>
      <c r="Q151" s="666"/>
      <c r="R151" s="666"/>
      <c r="S151" s="372"/>
      <c r="T151" s="667"/>
      <c r="U151" s="667"/>
      <c r="V151" s="668"/>
      <c r="W151" s="651"/>
      <c r="X151" s="651"/>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row>
    <row r="152" spans="1:276" x14ac:dyDescent="0.2">
      <c r="A152" s="8"/>
      <c r="B152" s="8"/>
      <c r="C152" s="8"/>
      <c r="D152" s="8"/>
      <c r="E152" s="8"/>
      <c r="F152" s="651"/>
      <c r="G152" s="2372"/>
      <c r="H152" s="666"/>
      <c r="I152" s="666"/>
      <c r="J152" s="8"/>
      <c r="K152" s="8"/>
      <c r="L152" s="651"/>
      <c r="M152" s="651"/>
      <c r="N152" s="666"/>
      <c r="O152" s="8"/>
      <c r="P152" s="667"/>
      <c r="Q152" s="666"/>
      <c r="R152" s="666"/>
      <c r="S152" s="372"/>
      <c r="T152" s="667"/>
      <c r="U152" s="667"/>
      <c r="V152" s="668"/>
      <c r="W152" s="651"/>
      <c r="X152" s="651"/>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row>
    <row r="153" spans="1:276" x14ac:dyDescent="0.2">
      <c r="A153" s="8"/>
      <c r="B153" s="8"/>
      <c r="C153" s="8"/>
      <c r="D153" s="8"/>
      <c r="E153" s="8"/>
      <c r="F153" s="651"/>
      <c r="G153" s="2372"/>
      <c r="H153" s="666"/>
      <c r="I153" s="666"/>
      <c r="J153" s="8"/>
      <c r="K153" s="8"/>
      <c r="L153" s="651"/>
      <c r="M153" s="651"/>
      <c r="N153" s="666"/>
      <c r="O153" s="8"/>
      <c r="P153" s="667"/>
      <c r="Q153" s="666"/>
      <c r="R153" s="666"/>
      <c r="S153" s="372"/>
      <c r="T153" s="667"/>
      <c r="U153" s="667"/>
      <c r="V153" s="668"/>
      <c r="W153" s="651"/>
      <c r="X153" s="651"/>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row>
    <row r="154" spans="1:276" x14ac:dyDescent="0.2">
      <c r="A154" s="8"/>
      <c r="B154" s="8"/>
      <c r="C154" s="8"/>
      <c r="D154" s="8"/>
      <c r="E154" s="8"/>
      <c r="F154" s="651"/>
      <c r="G154" s="2372"/>
      <c r="H154" s="666"/>
      <c r="I154" s="666"/>
      <c r="J154" s="8"/>
      <c r="K154" s="8"/>
      <c r="L154" s="651"/>
      <c r="M154" s="651"/>
      <c r="N154" s="666"/>
      <c r="O154" s="8"/>
      <c r="P154" s="667"/>
      <c r="Q154" s="666"/>
      <c r="R154" s="666"/>
      <c r="S154" s="372"/>
      <c r="T154" s="667"/>
      <c r="U154" s="667"/>
      <c r="V154" s="668"/>
      <c r="W154" s="651"/>
      <c r="X154" s="651"/>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row>
    <row r="155" spans="1:276" x14ac:dyDescent="0.2">
      <c r="A155" s="8"/>
      <c r="B155" s="8"/>
      <c r="C155" s="8"/>
      <c r="D155" s="8"/>
      <c r="E155" s="8"/>
      <c r="F155" s="651"/>
      <c r="G155" s="2372"/>
      <c r="H155" s="666"/>
      <c r="I155" s="666"/>
      <c r="J155" s="8"/>
      <c r="K155" s="8"/>
      <c r="L155" s="651"/>
      <c r="M155" s="651"/>
      <c r="N155" s="666"/>
      <c r="O155" s="8"/>
      <c r="P155" s="667"/>
      <c r="Q155" s="666"/>
      <c r="R155" s="666"/>
      <c r="S155" s="372"/>
      <c r="T155" s="667"/>
      <c r="U155" s="667"/>
      <c r="V155" s="668"/>
      <c r="W155" s="651"/>
      <c r="X155" s="651"/>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row>
    <row r="156" spans="1:276" s="86" customFormat="1" x14ac:dyDescent="0.2">
      <c r="A156" s="8"/>
      <c r="B156" s="8"/>
      <c r="C156" s="8"/>
      <c r="D156" s="8"/>
      <c r="E156" s="8"/>
      <c r="F156" s="651"/>
      <c r="G156" s="2372"/>
      <c r="H156" s="666"/>
      <c r="I156" s="666"/>
      <c r="J156" s="8"/>
      <c r="K156" s="8"/>
      <c r="L156" s="651"/>
      <c r="M156" s="651"/>
      <c r="N156" s="666"/>
      <c r="O156" s="8"/>
      <c r="P156" s="667"/>
      <c r="Q156" s="666"/>
      <c r="R156" s="666"/>
      <c r="T156" s="413"/>
      <c r="U156" s="413"/>
      <c r="V156" s="663"/>
      <c r="W156" s="368"/>
      <c r="X156" s="368"/>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658"/>
      <c r="BG156" s="658"/>
      <c r="BH156" s="2"/>
      <c r="BI156" s="2"/>
      <c r="BJ156" s="2"/>
      <c r="BK156" s="2"/>
      <c r="BL156" s="2"/>
      <c r="BM156" s="2"/>
      <c r="BN156" s="2"/>
      <c r="BO156" s="370"/>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row>
    <row r="157" spans="1:276" s="86" customFormat="1" x14ac:dyDescent="0.2">
      <c r="A157" s="8"/>
      <c r="B157" s="8"/>
      <c r="C157" s="8"/>
      <c r="D157" s="8"/>
      <c r="E157" s="8"/>
      <c r="F157" s="651"/>
      <c r="G157" s="2372"/>
      <c r="H157" s="666"/>
      <c r="I157" s="666"/>
      <c r="J157" s="8"/>
      <c r="K157" s="8"/>
      <c r="L157" s="651"/>
      <c r="M157" s="651"/>
      <c r="N157" s="666"/>
      <c r="O157" s="8"/>
      <c r="P157" s="667"/>
      <c r="Q157" s="666"/>
      <c r="R157" s="666"/>
      <c r="T157" s="413"/>
      <c r="U157" s="413"/>
      <c r="V157" s="663"/>
      <c r="W157" s="368"/>
      <c r="X157" s="368"/>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658"/>
      <c r="BG157" s="658"/>
      <c r="BH157" s="2"/>
      <c r="BI157" s="2"/>
      <c r="BJ157" s="2"/>
      <c r="BK157" s="2"/>
      <c r="BL157" s="2"/>
      <c r="BM157" s="2"/>
      <c r="BN157" s="2"/>
      <c r="BO157" s="370"/>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row>
  </sheetData>
  <sheetProtection algorithmName="SHA-512" hashValue="jBStz51YEoEqc1qaCO5kB9yyphr22ksNRvyxBLHLA/EsR6N83vFXQIx2aCPNV2w0N7iOP7WPPOOQfn/h+fBiLQ==" saltValue="euZ0qeWFfhpay/3JK3gD9g==" spinCount="100000" sheet="1" objects="1" scenarios="1"/>
  <mergeCells count="797">
    <mergeCell ref="A1:BK4"/>
    <mergeCell ref="A5:J6"/>
    <mergeCell ref="N5:BO5"/>
    <mergeCell ref="N6:X6"/>
    <mergeCell ref="Y6:BC6"/>
    <mergeCell ref="BK6:BO6"/>
    <mergeCell ref="G7:G9"/>
    <mergeCell ref="H7:H9"/>
    <mergeCell ref="I7:I9"/>
    <mergeCell ref="J7:K8"/>
    <mergeCell ref="L7:L9"/>
    <mergeCell ref="M7:M9"/>
    <mergeCell ref="A7:A9"/>
    <mergeCell ref="B7:B9"/>
    <mergeCell ref="C7:C9"/>
    <mergeCell ref="D7:D9"/>
    <mergeCell ref="E7:E9"/>
    <mergeCell ref="F7:F9"/>
    <mergeCell ref="BK7:BL9"/>
    <mergeCell ref="BM7:BN9"/>
    <mergeCell ref="BO7:BO9"/>
    <mergeCell ref="BE8:BE9"/>
    <mergeCell ref="BF8:BF9"/>
    <mergeCell ref="BG8:BG9"/>
    <mergeCell ref="BH8:BH9"/>
    <mergeCell ref="T7:V8"/>
    <mergeCell ref="W7:W9"/>
    <mergeCell ref="X7:X9"/>
    <mergeCell ref="Y7:AB8"/>
    <mergeCell ref="AC7:AJ8"/>
    <mergeCell ref="AK7:AV8"/>
    <mergeCell ref="AO9:AP9"/>
    <mergeCell ref="AQ9:AR9"/>
    <mergeCell ref="AS9:AT9"/>
    <mergeCell ref="AU9:AV9"/>
    <mergeCell ref="E13:F20"/>
    <mergeCell ref="G13:G16"/>
    <mergeCell ref="H13:H16"/>
    <mergeCell ref="I13:I16"/>
    <mergeCell ref="J13:J16"/>
    <mergeCell ref="K13:K16"/>
    <mergeCell ref="L13:L20"/>
    <mergeCell ref="BI8:BI9"/>
    <mergeCell ref="BJ8:BJ9"/>
    <mergeCell ref="Y9:Z9"/>
    <mergeCell ref="AA9:AB9"/>
    <mergeCell ref="AC9:AD9"/>
    <mergeCell ref="AE9:AF9"/>
    <mergeCell ref="AG9:AH9"/>
    <mergeCell ref="AI9:AJ9"/>
    <mergeCell ref="AK9:AL9"/>
    <mergeCell ref="AM9:AN9"/>
    <mergeCell ref="AW7:BB8"/>
    <mergeCell ref="BC7:BD9"/>
    <mergeCell ref="BE7:BJ7"/>
    <mergeCell ref="N7:N9"/>
    <mergeCell ref="O7:O9"/>
    <mergeCell ref="P7:P9"/>
    <mergeCell ref="Q7:Q9"/>
    <mergeCell ref="M13:M20"/>
    <mergeCell ref="N13:N20"/>
    <mergeCell ref="O13:O16"/>
    <mergeCell ref="P13:P20"/>
    <mergeCell ref="Q13:Q20"/>
    <mergeCell ref="R13:R16"/>
    <mergeCell ref="AW9:AX9"/>
    <mergeCell ref="AY9:AZ9"/>
    <mergeCell ref="BA9:BB9"/>
    <mergeCell ref="R7:R9"/>
    <mergeCell ref="S7:S9"/>
    <mergeCell ref="AE13:AE20"/>
    <mergeCell ref="AF13:AF20"/>
    <mergeCell ref="AG13:AG20"/>
    <mergeCell ref="AH13:AH20"/>
    <mergeCell ref="AI13:AI20"/>
    <mergeCell ref="AJ13:AJ20"/>
    <mergeCell ref="Y13:Y20"/>
    <mergeCell ref="Z13:Z20"/>
    <mergeCell ref="AA13:AA20"/>
    <mergeCell ref="AB13:AB20"/>
    <mergeCell ref="AC13:AC20"/>
    <mergeCell ref="AD13:AD20"/>
    <mergeCell ref="BA13:BA20"/>
    <mergeCell ref="BB13:BB20"/>
    <mergeCell ref="AQ13:AQ20"/>
    <mergeCell ref="AR13:AR20"/>
    <mergeCell ref="AS13:AS20"/>
    <mergeCell ref="AT13:AT20"/>
    <mergeCell ref="AU13:AU20"/>
    <mergeCell ref="AV13:AV20"/>
    <mergeCell ref="AK13:AK20"/>
    <mergeCell ref="AL13:AL20"/>
    <mergeCell ref="AM13:AM20"/>
    <mergeCell ref="AN13:AN20"/>
    <mergeCell ref="AO13:AO20"/>
    <mergeCell ref="AP13:AP20"/>
    <mergeCell ref="BO13:BO20"/>
    <mergeCell ref="G17:G20"/>
    <mergeCell ref="H17:H20"/>
    <mergeCell ref="I17:I20"/>
    <mergeCell ref="J17:J20"/>
    <mergeCell ref="K17:K20"/>
    <mergeCell ref="O17:O20"/>
    <mergeCell ref="R17:R20"/>
    <mergeCell ref="BI13:BI20"/>
    <mergeCell ref="BJ13:BJ20"/>
    <mergeCell ref="BK13:BK20"/>
    <mergeCell ref="BL13:BL20"/>
    <mergeCell ref="BM13:BM20"/>
    <mergeCell ref="BN13:BN20"/>
    <mergeCell ref="BC13:BC20"/>
    <mergeCell ref="BD13:BD20"/>
    <mergeCell ref="BE13:BE20"/>
    <mergeCell ref="BF13:BF20"/>
    <mergeCell ref="BG13:BG20"/>
    <mergeCell ref="BH13:BH20"/>
    <mergeCell ref="AW13:AW20"/>
    <mergeCell ref="AX13:AX20"/>
    <mergeCell ref="AY13:AY20"/>
    <mergeCell ref="AZ13:AZ20"/>
    <mergeCell ref="M23:M29"/>
    <mergeCell ref="N23:N29"/>
    <mergeCell ref="O23:O29"/>
    <mergeCell ref="P23:P29"/>
    <mergeCell ref="Q23:Q29"/>
    <mergeCell ref="R23:R27"/>
    <mergeCell ref="G23:G29"/>
    <mergeCell ref="H23:H29"/>
    <mergeCell ref="I23:I29"/>
    <mergeCell ref="J23:J29"/>
    <mergeCell ref="K23:K29"/>
    <mergeCell ref="L23:L29"/>
    <mergeCell ref="AE23:AE29"/>
    <mergeCell ref="AF23:AF29"/>
    <mergeCell ref="AG23:AG29"/>
    <mergeCell ref="AH23:AH29"/>
    <mergeCell ref="AI23:AI29"/>
    <mergeCell ref="AJ23:AJ29"/>
    <mergeCell ref="Y23:Y29"/>
    <mergeCell ref="Z23:Z29"/>
    <mergeCell ref="AA23:AA29"/>
    <mergeCell ref="AB23:AB29"/>
    <mergeCell ref="AC23:AC29"/>
    <mergeCell ref="AD23:AD29"/>
    <mergeCell ref="AQ23:AQ29"/>
    <mergeCell ref="AR23:AR29"/>
    <mergeCell ref="AS23:AS29"/>
    <mergeCell ref="AT23:AT29"/>
    <mergeCell ref="AU23:AU29"/>
    <mergeCell ref="AV23:AV29"/>
    <mergeCell ref="AK23:AK29"/>
    <mergeCell ref="AL23:AL29"/>
    <mergeCell ref="AM23:AM29"/>
    <mergeCell ref="AN23:AN29"/>
    <mergeCell ref="AO23:AO29"/>
    <mergeCell ref="AP23:AP29"/>
    <mergeCell ref="BE23:BE29"/>
    <mergeCell ref="BF23:BF29"/>
    <mergeCell ref="BG23:BG29"/>
    <mergeCell ref="BH23:BH29"/>
    <mergeCell ref="AW23:AW29"/>
    <mergeCell ref="AX23:AX29"/>
    <mergeCell ref="AY23:AY29"/>
    <mergeCell ref="AZ23:AZ29"/>
    <mergeCell ref="BA23:BA29"/>
    <mergeCell ref="BB23:BB29"/>
    <mergeCell ref="O31:O36"/>
    <mergeCell ref="P31:P42"/>
    <mergeCell ref="Q31:Q42"/>
    <mergeCell ref="R31:R42"/>
    <mergeCell ref="Y31:Y42"/>
    <mergeCell ref="Z31:Z42"/>
    <mergeCell ref="BO23:BO29"/>
    <mergeCell ref="R28:R29"/>
    <mergeCell ref="G31:G42"/>
    <mergeCell ref="H31:H36"/>
    <mergeCell ref="I31:I36"/>
    <mergeCell ref="J31:J36"/>
    <mergeCell ref="K31:K36"/>
    <mergeCell ref="L31:L42"/>
    <mergeCell ref="M31:M42"/>
    <mergeCell ref="N31:N42"/>
    <mergeCell ref="BI23:BI29"/>
    <mergeCell ref="BJ23:BJ29"/>
    <mergeCell ref="BK23:BK29"/>
    <mergeCell ref="BL23:BL29"/>
    <mergeCell ref="BM23:BM29"/>
    <mergeCell ref="BN23:BN29"/>
    <mergeCell ref="BC23:BC29"/>
    <mergeCell ref="BD23:BD29"/>
    <mergeCell ref="AG31:AG42"/>
    <mergeCell ref="AH31:AH42"/>
    <mergeCell ref="AI31:AI42"/>
    <mergeCell ref="AJ31:AJ42"/>
    <mergeCell ref="AK31:AK42"/>
    <mergeCell ref="AL31:AL42"/>
    <mergeCell ref="AA31:AA42"/>
    <mergeCell ref="AB31:AB42"/>
    <mergeCell ref="AC31:AC42"/>
    <mergeCell ref="AD31:AD42"/>
    <mergeCell ref="AE31:AE42"/>
    <mergeCell ref="AF31:AF42"/>
    <mergeCell ref="AU31:AU42"/>
    <mergeCell ref="AV31:AV42"/>
    <mergeCell ref="AW31:AW42"/>
    <mergeCell ref="AX31:AX42"/>
    <mergeCell ref="AM31:AM42"/>
    <mergeCell ref="AN31:AN42"/>
    <mergeCell ref="AO31:AO42"/>
    <mergeCell ref="AP31:AP42"/>
    <mergeCell ref="AQ31:AQ42"/>
    <mergeCell ref="AR31:AR42"/>
    <mergeCell ref="BK31:BK42"/>
    <mergeCell ref="BL31:BL42"/>
    <mergeCell ref="BM31:BM42"/>
    <mergeCell ref="BN31:BN42"/>
    <mergeCell ref="BO31:BO42"/>
    <mergeCell ref="H37:H39"/>
    <mergeCell ref="I37:I39"/>
    <mergeCell ref="J37:J39"/>
    <mergeCell ref="K37:K39"/>
    <mergeCell ref="O37:O39"/>
    <mergeCell ref="BE31:BE42"/>
    <mergeCell ref="BF31:BF42"/>
    <mergeCell ref="BG31:BG42"/>
    <mergeCell ref="BH31:BH42"/>
    <mergeCell ref="BI31:BI42"/>
    <mergeCell ref="BJ31:BJ42"/>
    <mergeCell ref="AY31:AY42"/>
    <mergeCell ref="AZ31:AZ42"/>
    <mergeCell ref="BA31:BA42"/>
    <mergeCell ref="BB31:BB42"/>
    <mergeCell ref="BC31:BC42"/>
    <mergeCell ref="BD31:BD42"/>
    <mergeCell ref="AS31:AS42"/>
    <mergeCell ref="AT31:AT42"/>
    <mergeCell ref="H40:H42"/>
    <mergeCell ref="I40:I42"/>
    <mergeCell ref="J40:J42"/>
    <mergeCell ref="K40:K42"/>
    <mergeCell ref="O40:O42"/>
    <mergeCell ref="G44:G55"/>
    <mergeCell ref="H44:H49"/>
    <mergeCell ref="I44:I49"/>
    <mergeCell ref="J44:J49"/>
    <mergeCell ref="K44:K49"/>
    <mergeCell ref="AA44:AA55"/>
    <mergeCell ref="AB44:AB55"/>
    <mergeCell ref="AC44:AC55"/>
    <mergeCell ref="L44:L55"/>
    <mergeCell ref="M44:M55"/>
    <mergeCell ref="N44:N55"/>
    <mergeCell ref="O44:O49"/>
    <mergeCell ref="P44:P55"/>
    <mergeCell ref="Q44:Q55"/>
    <mergeCell ref="AJ44:AJ55"/>
    <mergeCell ref="AK44:AK55"/>
    <mergeCell ref="AL44:AL55"/>
    <mergeCell ref="AM44:AM55"/>
    <mergeCell ref="AN44:AN55"/>
    <mergeCell ref="AO44:AO55"/>
    <mergeCell ref="AD44:AD55"/>
    <mergeCell ref="AE44:AE55"/>
    <mergeCell ref="AF44:AF55"/>
    <mergeCell ref="AG44:AG55"/>
    <mergeCell ref="AH44:AH55"/>
    <mergeCell ref="AI44:AI55"/>
    <mergeCell ref="AX44:AX55"/>
    <mergeCell ref="AY44:AY55"/>
    <mergeCell ref="AZ44:AZ55"/>
    <mergeCell ref="BA44:BA55"/>
    <mergeCell ref="AP44:AP55"/>
    <mergeCell ref="AQ44:AQ55"/>
    <mergeCell ref="AR44:AR55"/>
    <mergeCell ref="AS44:AS55"/>
    <mergeCell ref="AT44:AT55"/>
    <mergeCell ref="AU44:AU55"/>
    <mergeCell ref="BN44:BN55"/>
    <mergeCell ref="BO44:BO55"/>
    <mergeCell ref="H50:H52"/>
    <mergeCell ref="I50:I52"/>
    <mergeCell ref="J50:J52"/>
    <mergeCell ref="K50:K52"/>
    <mergeCell ref="O50:O52"/>
    <mergeCell ref="H53:H55"/>
    <mergeCell ref="I53:I55"/>
    <mergeCell ref="J53:J55"/>
    <mergeCell ref="BH44:BH55"/>
    <mergeCell ref="BI44:BI55"/>
    <mergeCell ref="BJ44:BJ55"/>
    <mergeCell ref="BK44:BK55"/>
    <mergeCell ref="BL44:BL55"/>
    <mergeCell ref="BM44:BM55"/>
    <mergeCell ref="BB44:BB55"/>
    <mergeCell ref="BC44:BC55"/>
    <mergeCell ref="BD44:BD55"/>
    <mergeCell ref="BE44:BE55"/>
    <mergeCell ref="BF44:BF55"/>
    <mergeCell ref="BG44:BG55"/>
    <mergeCell ref="AV44:AV55"/>
    <mergeCell ref="AW44:AW55"/>
    <mergeCell ref="O57:O73"/>
    <mergeCell ref="P57:P73"/>
    <mergeCell ref="Q57:Q73"/>
    <mergeCell ref="R57:R65"/>
    <mergeCell ref="Y57:Y73"/>
    <mergeCell ref="Z57:Z73"/>
    <mergeCell ref="K53:K55"/>
    <mergeCell ref="O53:O55"/>
    <mergeCell ref="G57:G73"/>
    <mergeCell ref="H57:H73"/>
    <mergeCell ref="I57:I73"/>
    <mergeCell ref="J57:J73"/>
    <mergeCell ref="K57:K73"/>
    <mergeCell ref="L57:L73"/>
    <mergeCell ref="M57:M73"/>
    <mergeCell ref="N57:N73"/>
    <mergeCell ref="R44:R55"/>
    <mergeCell ref="Y44:Y55"/>
    <mergeCell ref="Z44:Z55"/>
    <mergeCell ref="BN57:BN73"/>
    <mergeCell ref="BO57:BO73"/>
    <mergeCell ref="R66:R73"/>
    <mergeCell ref="BE57:BE73"/>
    <mergeCell ref="BF57:BF73"/>
    <mergeCell ref="BG57:BG73"/>
    <mergeCell ref="BH57:BH73"/>
    <mergeCell ref="BI57:BI73"/>
    <mergeCell ref="BJ57:BJ73"/>
    <mergeCell ref="AY57:AY73"/>
    <mergeCell ref="AZ57:AZ73"/>
    <mergeCell ref="BA57:BA73"/>
    <mergeCell ref="BB57:BB73"/>
    <mergeCell ref="BC57:BC73"/>
    <mergeCell ref="BD57:BD73"/>
    <mergeCell ref="AS57:AS73"/>
    <mergeCell ref="AT57:AT73"/>
    <mergeCell ref="AU57:AU73"/>
    <mergeCell ref="AV57:AV73"/>
    <mergeCell ref="AW57:AW73"/>
    <mergeCell ref="AX57:AX73"/>
    <mergeCell ref="AM57:AM73"/>
    <mergeCell ref="AN57:AN73"/>
    <mergeCell ref="AO57:AO73"/>
    <mergeCell ref="G76:G92"/>
    <mergeCell ref="H76:H92"/>
    <mergeCell ref="I76:I92"/>
    <mergeCell ref="J76:J92"/>
    <mergeCell ref="K76:K92"/>
    <mergeCell ref="L76:L92"/>
    <mergeCell ref="BK57:BK73"/>
    <mergeCell ref="BL57:BL73"/>
    <mergeCell ref="BM57:BM73"/>
    <mergeCell ref="AP57:AP73"/>
    <mergeCell ref="AQ57:AQ73"/>
    <mergeCell ref="AR57:AR73"/>
    <mergeCell ref="AG57:AG73"/>
    <mergeCell ref="AH57:AH73"/>
    <mergeCell ref="AI57:AI73"/>
    <mergeCell ref="AJ57:AJ73"/>
    <mergeCell ref="AK57:AK73"/>
    <mergeCell ref="AL57:AL73"/>
    <mergeCell ref="AA57:AA73"/>
    <mergeCell ref="AB57:AB73"/>
    <mergeCell ref="AC57:AC73"/>
    <mergeCell ref="AD57:AD73"/>
    <mergeCell ref="AE57:AE73"/>
    <mergeCell ref="AF57:AF73"/>
    <mergeCell ref="Y76:Y92"/>
    <mergeCell ref="Z76:Z92"/>
    <mergeCell ref="AA76:AA92"/>
    <mergeCell ref="AB76:AB92"/>
    <mergeCell ref="AC76:AC92"/>
    <mergeCell ref="AE76:AE92"/>
    <mergeCell ref="M76:M92"/>
    <mergeCell ref="N76:N92"/>
    <mergeCell ref="O76:O92"/>
    <mergeCell ref="P76:P92"/>
    <mergeCell ref="Q76:Q92"/>
    <mergeCell ref="R76:R86"/>
    <mergeCell ref="R87:R92"/>
    <mergeCell ref="AS76:AS92"/>
    <mergeCell ref="AU76:AU92"/>
    <mergeCell ref="AW76:AW92"/>
    <mergeCell ref="AY76:AY92"/>
    <mergeCell ref="BA76:BA92"/>
    <mergeCell ref="BC76:BC92"/>
    <mergeCell ref="AG76:AG92"/>
    <mergeCell ref="AI76:AI92"/>
    <mergeCell ref="AK76:AK92"/>
    <mergeCell ref="AM76:AM92"/>
    <mergeCell ref="AO76:AO92"/>
    <mergeCell ref="AQ76:AQ92"/>
    <mergeCell ref="BJ76:BJ92"/>
    <mergeCell ref="BK76:BK92"/>
    <mergeCell ref="BL76:BL92"/>
    <mergeCell ref="BM76:BM92"/>
    <mergeCell ref="BN76:BN92"/>
    <mergeCell ref="BO76:BO92"/>
    <mergeCell ref="BD76:BD92"/>
    <mergeCell ref="BE76:BE92"/>
    <mergeCell ref="BF76:BF92"/>
    <mergeCell ref="BG76:BG92"/>
    <mergeCell ref="BH76:BH92"/>
    <mergeCell ref="BI76:BI92"/>
    <mergeCell ref="M93:M94"/>
    <mergeCell ref="N93:N94"/>
    <mergeCell ref="O93:O94"/>
    <mergeCell ref="P93:P94"/>
    <mergeCell ref="Q93:Q94"/>
    <mergeCell ref="R93:R94"/>
    <mergeCell ref="G93:G94"/>
    <mergeCell ref="H93:H94"/>
    <mergeCell ref="I93:I94"/>
    <mergeCell ref="J93:J94"/>
    <mergeCell ref="K93:K94"/>
    <mergeCell ref="L93:L94"/>
    <mergeCell ref="AE93:AE94"/>
    <mergeCell ref="AF93:AF94"/>
    <mergeCell ref="AG93:AG94"/>
    <mergeCell ref="AH93:AH94"/>
    <mergeCell ref="AI93:AI94"/>
    <mergeCell ref="AJ93:AJ94"/>
    <mergeCell ref="Y93:Y94"/>
    <mergeCell ref="Z93:Z94"/>
    <mergeCell ref="AA93:AA94"/>
    <mergeCell ref="AB93:AB94"/>
    <mergeCell ref="AC93:AC94"/>
    <mergeCell ref="AD93:AD94"/>
    <mergeCell ref="AQ93:AQ94"/>
    <mergeCell ref="AR93:AR94"/>
    <mergeCell ref="AS93:AS94"/>
    <mergeCell ref="AT93:AT94"/>
    <mergeCell ref="AU93:AU94"/>
    <mergeCell ref="AV93:AV94"/>
    <mergeCell ref="AK93:AK94"/>
    <mergeCell ref="AL93:AL94"/>
    <mergeCell ref="AM93:AM94"/>
    <mergeCell ref="AN93:AN94"/>
    <mergeCell ref="AO93:AO94"/>
    <mergeCell ref="AP93:AP94"/>
    <mergeCell ref="BE93:BE94"/>
    <mergeCell ref="BF93:BF94"/>
    <mergeCell ref="BG93:BG94"/>
    <mergeCell ref="BH93:BH94"/>
    <mergeCell ref="AW93:AW94"/>
    <mergeCell ref="AX93:AX94"/>
    <mergeCell ref="AY93:AY94"/>
    <mergeCell ref="AZ93:AZ94"/>
    <mergeCell ref="BA93:BA94"/>
    <mergeCell ref="BB93:BB94"/>
    <mergeCell ref="P96:P98"/>
    <mergeCell ref="Q96:Q98"/>
    <mergeCell ref="R96:R97"/>
    <mergeCell ref="Y96:Y98"/>
    <mergeCell ref="Z96:Z98"/>
    <mergeCell ref="AA96:AA98"/>
    <mergeCell ref="BO93:BO94"/>
    <mergeCell ref="G96:G98"/>
    <mergeCell ref="H96:H98"/>
    <mergeCell ref="I96:I98"/>
    <mergeCell ref="J96:J98"/>
    <mergeCell ref="K96:K98"/>
    <mergeCell ref="L96:L98"/>
    <mergeCell ref="M96:M98"/>
    <mergeCell ref="N96:N98"/>
    <mergeCell ref="O96:O98"/>
    <mergeCell ref="BI93:BI94"/>
    <mergeCell ref="BJ93:BJ94"/>
    <mergeCell ref="BK93:BK94"/>
    <mergeCell ref="BL93:BL94"/>
    <mergeCell ref="BM93:BM94"/>
    <mergeCell ref="BN93:BN94"/>
    <mergeCell ref="BC93:BC94"/>
    <mergeCell ref="BD93:BD94"/>
    <mergeCell ref="AH96:AH98"/>
    <mergeCell ref="AI96:AI98"/>
    <mergeCell ref="AJ96:AJ98"/>
    <mergeCell ref="AK96:AK98"/>
    <mergeCell ref="AL96:AL98"/>
    <mergeCell ref="AM96:AM98"/>
    <mergeCell ref="AB96:AB98"/>
    <mergeCell ref="AC96:AC98"/>
    <mergeCell ref="AD96:AD98"/>
    <mergeCell ref="AE96:AE98"/>
    <mergeCell ref="AF96:AF98"/>
    <mergeCell ref="AG96:AG98"/>
    <mergeCell ref="AV96:AV98"/>
    <mergeCell ref="AW96:AW98"/>
    <mergeCell ref="AX96:AX98"/>
    <mergeCell ref="AY96:AY98"/>
    <mergeCell ref="AN96:AN98"/>
    <mergeCell ref="AO96:AO98"/>
    <mergeCell ref="AP96:AP98"/>
    <mergeCell ref="AQ96:AQ98"/>
    <mergeCell ref="AR96:AR98"/>
    <mergeCell ref="AS96:AS98"/>
    <mergeCell ref="BL96:BL98"/>
    <mergeCell ref="BM96:BM98"/>
    <mergeCell ref="BN96:BN98"/>
    <mergeCell ref="BO96:BO98"/>
    <mergeCell ref="G99:G100"/>
    <mergeCell ref="H99:H100"/>
    <mergeCell ref="I99:I100"/>
    <mergeCell ref="J99:J100"/>
    <mergeCell ref="K99:K100"/>
    <mergeCell ref="L99:L100"/>
    <mergeCell ref="BF96:BF98"/>
    <mergeCell ref="BG96:BG98"/>
    <mergeCell ref="BH96:BH98"/>
    <mergeCell ref="BI96:BI98"/>
    <mergeCell ref="BJ96:BJ98"/>
    <mergeCell ref="BK96:BK98"/>
    <mergeCell ref="AZ96:AZ98"/>
    <mergeCell ref="BA96:BA98"/>
    <mergeCell ref="BB96:BB98"/>
    <mergeCell ref="BC96:BC98"/>
    <mergeCell ref="BD96:BD98"/>
    <mergeCell ref="BE96:BE98"/>
    <mergeCell ref="AT96:AT98"/>
    <mergeCell ref="AU96:AU98"/>
    <mergeCell ref="Z99:Z100"/>
    <mergeCell ref="AA99:AA100"/>
    <mergeCell ref="AB99:AB100"/>
    <mergeCell ref="AC99:AC100"/>
    <mergeCell ref="AD99:AD100"/>
    <mergeCell ref="AE99:AE100"/>
    <mergeCell ref="M99:M100"/>
    <mergeCell ref="N99:N100"/>
    <mergeCell ref="O99:O100"/>
    <mergeCell ref="P99:P100"/>
    <mergeCell ref="Q99:Q100"/>
    <mergeCell ref="Y99:Y100"/>
    <mergeCell ref="AL99:AL100"/>
    <mergeCell ref="AM99:AM100"/>
    <mergeCell ref="AN99:AN100"/>
    <mergeCell ref="AO99:AO100"/>
    <mergeCell ref="AP99:AP100"/>
    <mergeCell ref="AQ99:AQ100"/>
    <mergeCell ref="AF99:AF100"/>
    <mergeCell ref="AG99:AG100"/>
    <mergeCell ref="AH99:AH100"/>
    <mergeCell ref="AI99:AI100"/>
    <mergeCell ref="AJ99:AJ100"/>
    <mergeCell ref="AK99:AK100"/>
    <mergeCell ref="AX99:AX100"/>
    <mergeCell ref="AY99:AY100"/>
    <mergeCell ref="AZ99:AZ100"/>
    <mergeCell ref="BA99:BA100"/>
    <mergeCell ref="BB99:BB100"/>
    <mergeCell ref="BC99:BC100"/>
    <mergeCell ref="AR99:AR100"/>
    <mergeCell ref="AS99:AS100"/>
    <mergeCell ref="AT99:AT100"/>
    <mergeCell ref="AU99:AU100"/>
    <mergeCell ref="AV99:AV100"/>
    <mergeCell ref="AW99:AW100"/>
    <mergeCell ref="BJ99:BJ100"/>
    <mergeCell ref="BK99:BK100"/>
    <mergeCell ref="BL99:BL100"/>
    <mergeCell ref="BM99:BM100"/>
    <mergeCell ref="BN99:BN100"/>
    <mergeCell ref="BO99:BO100"/>
    <mergeCell ref="BD99:BD100"/>
    <mergeCell ref="BE99:BE100"/>
    <mergeCell ref="BF99:BF100"/>
    <mergeCell ref="BG99:BG100"/>
    <mergeCell ref="BH99:BH100"/>
    <mergeCell ref="BI99:BI100"/>
    <mergeCell ref="M102:M104"/>
    <mergeCell ref="N102:N104"/>
    <mergeCell ref="O102:O104"/>
    <mergeCell ref="P102:P104"/>
    <mergeCell ref="Q102:Q104"/>
    <mergeCell ref="R102:R103"/>
    <mergeCell ref="G102:G104"/>
    <mergeCell ref="H102:H104"/>
    <mergeCell ref="I102:I104"/>
    <mergeCell ref="J102:J104"/>
    <mergeCell ref="K102:K104"/>
    <mergeCell ref="L102:L104"/>
    <mergeCell ref="AE102:AE104"/>
    <mergeCell ref="AF102:AF104"/>
    <mergeCell ref="AG102:AG104"/>
    <mergeCell ref="AH102:AH104"/>
    <mergeCell ref="AI102:AI104"/>
    <mergeCell ref="AJ102:AJ104"/>
    <mergeCell ref="Y102:Y104"/>
    <mergeCell ref="Z102:Z104"/>
    <mergeCell ref="AA102:AA104"/>
    <mergeCell ref="AB102:AB104"/>
    <mergeCell ref="AC102:AC104"/>
    <mergeCell ref="AD102:AD104"/>
    <mergeCell ref="AQ102:AQ104"/>
    <mergeCell ref="AR102:AR104"/>
    <mergeCell ref="AS102:AS104"/>
    <mergeCell ref="AT102:AT104"/>
    <mergeCell ref="AU102:AU104"/>
    <mergeCell ref="AV102:AV104"/>
    <mergeCell ref="AK102:AK104"/>
    <mergeCell ref="AL102:AL104"/>
    <mergeCell ref="AM102:AM104"/>
    <mergeCell ref="AN102:AN104"/>
    <mergeCell ref="AO102:AO104"/>
    <mergeCell ref="AP102:AP104"/>
    <mergeCell ref="BE102:BE104"/>
    <mergeCell ref="BF102:BF104"/>
    <mergeCell ref="BG102:BG104"/>
    <mergeCell ref="BH102:BH104"/>
    <mergeCell ref="AW102:AW104"/>
    <mergeCell ref="AX102:AX104"/>
    <mergeCell ref="AY102:AY104"/>
    <mergeCell ref="AZ102:AZ104"/>
    <mergeCell ref="BA102:BA104"/>
    <mergeCell ref="BB102:BB104"/>
    <mergeCell ref="P106:P110"/>
    <mergeCell ref="Q106:Q110"/>
    <mergeCell ref="R106:R110"/>
    <mergeCell ref="Y106:Y110"/>
    <mergeCell ref="Z106:Z110"/>
    <mergeCell ref="AA106:AA110"/>
    <mergeCell ref="BO102:BO104"/>
    <mergeCell ref="G106:G110"/>
    <mergeCell ref="H106:H110"/>
    <mergeCell ref="I106:I110"/>
    <mergeCell ref="J106:J110"/>
    <mergeCell ref="K106:K110"/>
    <mergeCell ref="L106:L110"/>
    <mergeCell ref="M106:M110"/>
    <mergeCell ref="N106:N110"/>
    <mergeCell ref="O106:O110"/>
    <mergeCell ref="BI102:BI104"/>
    <mergeCell ref="BJ102:BJ104"/>
    <mergeCell ref="BK102:BK104"/>
    <mergeCell ref="BL102:BL104"/>
    <mergeCell ref="BM102:BM104"/>
    <mergeCell ref="BN102:BN104"/>
    <mergeCell ref="BC102:BC104"/>
    <mergeCell ref="BD102:BD104"/>
    <mergeCell ref="AH106:AH110"/>
    <mergeCell ref="AI106:AI110"/>
    <mergeCell ref="AJ106:AJ110"/>
    <mergeCell ref="AK106:AK110"/>
    <mergeCell ref="AL106:AL110"/>
    <mergeCell ref="AM106:AM110"/>
    <mergeCell ref="AB106:AB110"/>
    <mergeCell ref="AC106:AC110"/>
    <mergeCell ref="AD106:AD110"/>
    <mergeCell ref="AE106:AE110"/>
    <mergeCell ref="AF106:AF110"/>
    <mergeCell ref="AG106:AG110"/>
    <mergeCell ref="AV106:AV110"/>
    <mergeCell ref="AW106:AW110"/>
    <mergeCell ref="AX106:AX110"/>
    <mergeCell ref="AY106:AY110"/>
    <mergeCell ref="AN106:AN110"/>
    <mergeCell ref="AO106:AO110"/>
    <mergeCell ref="AP106:AP110"/>
    <mergeCell ref="AQ106:AQ110"/>
    <mergeCell ref="AR106:AR110"/>
    <mergeCell ref="AS106:AS110"/>
    <mergeCell ref="BL106:BL110"/>
    <mergeCell ref="BM106:BM110"/>
    <mergeCell ref="BN106:BN110"/>
    <mergeCell ref="BO106:BO110"/>
    <mergeCell ref="G112:G117"/>
    <mergeCell ref="H112:H117"/>
    <mergeCell ref="I112:I117"/>
    <mergeCell ref="J112:J117"/>
    <mergeCell ref="K112:K117"/>
    <mergeCell ref="M112:M117"/>
    <mergeCell ref="BF106:BF110"/>
    <mergeCell ref="BG106:BG110"/>
    <mergeCell ref="BH106:BH110"/>
    <mergeCell ref="BI106:BI110"/>
    <mergeCell ref="BJ106:BJ110"/>
    <mergeCell ref="BK106:BK110"/>
    <mergeCell ref="AZ106:AZ110"/>
    <mergeCell ref="BA106:BA110"/>
    <mergeCell ref="BB106:BB110"/>
    <mergeCell ref="BC106:BC110"/>
    <mergeCell ref="BD106:BD110"/>
    <mergeCell ref="BE106:BE110"/>
    <mergeCell ref="AT106:AT110"/>
    <mergeCell ref="AU106:AU110"/>
    <mergeCell ref="Z112:Z117"/>
    <mergeCell ref="AA112:AA117"/>
    <mergeCell ref="AB112:AB117"/>
    <mergeCell ref="AC112:AC117"/>
    <mergeCell ref="AD112:AD117"/>
    <mergeCell ref="AE112:AE117"/>
    <mergeCell ref="N112:N117"/>
    <mergeCell ref="O112:O117"/>
    <mergeCell ref="P112:P117"/>
    <mergeCell ref="Q112:Q117"/>
    <mergeCell ref="R112:R113"/>
    <mergeCell ref="Y112:Y117"/>
    <mergeCell ref="R114:R117"/>
    <mergeCell ref="AO112:AO117"/>
    <mergeCell ref="AP112:AP117"/>
    <mergeCell ref="AQ112:AQ117"/>
    <mergeCell ref="AF112:AF117"/>
    <mergeCell ref="AG112:AG117"/>
    <mergeCell ref="AH112:AH117"/>
    <mergeCell ref="AI112:AI117"/>
    <mergeCell ref="AJ112:AJ117"/>
    <mergeCell ref="AK112:AK117"/>
    <mergeCell ref="BM112:BM117"/>
    <mergeCell ref="BN112:BN117"/>
    <mergeCell ref="BO112:BO117"/>
    <mergeCell ref="BD112:BD117"/>
    <mergeCell ref="BE112:BE117"/>
    <mergeCell ref="BF112:BF117"/>
    <mergeCell ref="BG112:BG117"/>
    <mergeCell ref="BH112:BH117"/>
    <mergeCell ref="BI112:BI117"/>
    <mergeCell ref="C119:D129"/>
    <mergeCell ref="G120:G126"/>
    <mergeCell ref="H120:H126"/>
    <mergeCell ref="I120:I126"/>
    <mergeCell ref="J120:J126"/>
    <mergeCell ref="K120:K126"/>
    <mergeCell ref="BJ112:BJ117"/>
    <mergeCell ref="BK112:BK117"/>
    <mergeCell ref="BL112:BL117"/>
    <mergeCell ref="AX112:AX117"/>
    <mergeCell ref="AY112:AY117"/>
    <mergeCell ref="AZ112:AZ117"/>
    <mergeCell ref="BA112:BA117"/>
    <mergeCell ref="BB112:BB117"/>
    <mergeCell ref="BC112:BC117"/>
    <mergeCell ref="AR112:AR117"/>
    <mergeCell ref="AS112:AS117"/>
    <mergeCell ref="AT112:AT117"/>
    <mergeCell ref="AU112:AU117"/>
    <mergeCell ref="AV112:AV117"/>
    <mergeCell ref="AW112:AW117"/>
    <mergeCell ref="AL112:AL117"/>
    <mergeCell ref="AM112:AM117"/>
    <mergeCell ref="AN112:AN117"/>
    <mergeCell ref="R120:R127"/>
    <mergeCell ref="Y120:Y129"/>
    <mergeCell ref="Z120:Z129"/>
    <mergeCell ref="AA120:AA129"/>
    <mergeCell ref="AB120:AB129"/>
    <mergeCell ref="AC120:AC129"/>
    <mergeCell ref="L120:L126"/>
    <mergeCell ref="M120:M129"/>
    <mergeCell ref="N120:N129"/>
    <mergeCell ref="O120:O126"/>
    <mergeCell ref="P120:P129"/>
    <mergeCell ref="Q120:Q129"/>
    <mergeCell ref="AJ120:AJ129"/>
    <mergeCell ref="AK120:AK129"/>
    <mergeCell ref="AL120:AL129"/>
    <mergeCell ref="AM120:AM129"/>
    <mergeCell ref="AN120:AN129"/>
    <mergeCell ref="AO120:AO129"/>
    <mergeCell ref="AD120:AD129"/>
    <mergeCell ref="AE120:AE129"/>
    <mergeCell ref="AF120:AF129"/>
    <mergeCell ref="AG120:AG129"/>
    <mergeCell ref="AH120:AH129"/>
    <mergeCell ref="AI120:AI129"/>
    <mergeCell ref="AY120:AY129"/>
    <mergeCell ref="AZ120:AZ129"/>
    <mergeCell ref="BA120:BA129"/>
    <mergeCell ref="AP120:AP129"/>
    <mergeCell ref="AQ120:AQ129"/>
    <mergeCell ref="AR120:AR129"/>
    <mergeCell ref="AS120:AS129"/>
    <mergeCell ref="AT120:AT129"/>
    <mergeCell ref="AU120:AU129"/>
    <mergeCell ref="A138:I138"/>
    <mergeCell ref="A139:I139"/>
    <mergeCell ref="A142:I142"/>
    <mergeCell ref="BN120:BN129"/>
    <mergeCell ref="BO120:BO129"/>
    <mergeCell ref="L128:L129"/>
    <mergeCell ref="R128:R129"/>
    <mergeCell ref="A130:O130"/>
    <mergeCell ref="D132:J132"/>
    <mergeCell ref="BH120:BH129"/>
    <mergeCell ref="BI120:BI129"/>
    <mergeCell ref="BJ120:BJ129"/>
    <mergeCell ref="BK120:BK129"/>
    <mergeCell ref="BL120:BL129"/>
    <mergeCell ref="BM120:BM129"/>
    <mergeCell ref="BB120:BB129"/>
    <mergeCell ref="BC120:BC129"/>
    <mergeCell ref="BD120:BD129"/>
    <mergeCell ref="BE120:BE129"/>
    <mergeCell ref="BF120:BF129"/>
    <mergeCell ref="BG120:BG129"/>
    <mergeCell ref="AV120:AV129"/>
    <mergeCell ref="AW120:AW129"/>
    <mergeCell ref="AX120:AX12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AO288"/>
  <sheetViews>
    <sheetView showGridLines="0" zoomScale="60" zoomScaleNormal="60" workbookViewId="0">
      <selection activeCell="L10" sqref="L10"/>
    </sheetView>
  </sheetViews>
  <sheetFormatPr baseColWidth="10" defaultColWidth="11.42578125" defaultRowHeight="14.25" x14ac:dyDescent="0.2"/>
  <cols>
    <col min="1" max="1" width="13.140625" style="1785" customWidth="1"/>
    <col min="2" max="2" width="4.7109375" style="1785" customWidth="1"/>
    <col min="3" max="3" width="16.5703125" style="1785" customWidth="1"/>
    <col min="4" max="4" width="14.7109375" style="1785" customWidth="1"/>
    <col min="5" max="5" width="4.42578125" style="1785" customWidth="1"/>
    <col min="6" max="6" width="18.28515625" style="1785" customWidth="1"/>
    <col min="7" max="7" width="15.140625" style="1785" customWidth="1"/>
    <col min="8" max="8" width="7.5703125" style="1785" customWidth="1"/>
    <col min="9" max="9" width="16.85546875" style="1785" customWidth="1"/>
    <col min="10" max="10" width="16.42578125" style="1785" customWidth="1"/>
    <col min="11" max="11" width="41.28515625" style="2013" customWidth="1"/>
    <col min="12" max="12" width="32" style="1815" customWidth="1"/>
    <col min="13" max="13" width="15.85546875" style="1815" hidden="1" customWidth="1"/>
    <col min="14" max="14" width="40.7109375" style="2014" customWidth="1"/>
    <col min="15" max="15" width="14.42578125" style="1815" customWidth="1"/>
    <col min="16" max="16" width="32.85546875" style="2015" customWidth="1"/>
    <col min="17" max="17" width="20" style="2016" customWidth="1"/>
    <col min="18" max="18" width="25.42578125" style="2014" customWidth="1"/>
    <col min="19" max="19" width="28.140625" style="1815" customWidth="1"/>
    <col min="20" max="20" width="45.42578125" style="2015" customWidth="1"/>
    <col min="21" max="21" width="67.140625" style="2013" customWidth="1"/>
    <col min="22" max="22" width="25.42578125" style="2013" customWidth="1"/>
    <col min="23" max="23" width="25.28515625" style="2013" customWidth="1"/>
    <col min="24" max="24" width="23.140625" style="2013" customWidth="1"/>
    <col min="25" max="25" width="11.85546875" style="2016" customWidth="1"/>
    <col min="26" max="26" width="32" style="2016" customWidth="1"/>
    <col min="27" max="30" width="10.28515625" style="2018" customWidth="1"/>
    <col min="31" max="32" width="10.28515625" style="2019" customWidth="1"/>
    <col min="33" max="40" width="10.28515625" style="2018" customWidth="1"/>
    <col min="41" max="42" width="10.28515625" style="2020" customWidth="1"/>
    <col min="43" max="44" width="10.28515625" style="2018" customWidth="1"/>
    <col min="45" max="46" width="10.28515625" style="2019" customWidth="1"/>
    <col min="47" max="50" width="10.28515625" style="2018" customWidth="1"/>
    <col min="51" max="58" width="10.28515625" style="2019" customWidth="1"/>
    <col min="59" max="59" width="22.140625" style="2019" customWidth="1"/>
    <col min="60" max="61" width="19.7109375" style="2019" customWidth="1"/>
    <col min="62" max="62" width="21.5703125" style="2019" customWidth="1"/>
    <col min="63" max="63" width="18.7109375" style="2019" customWidth="1"/>
    <col min="64" max="64" width="23.7109375" style="2019" customWidth="1"/>
    <col min="65" max="66" width="17" style="1785" customWidth="1"/>
    <col min="67" max="67" width="16.7109375" style="1785" customWidth="1"/>
    <col min="68" max="68" width="17.85546875" style="1785" customWidth="1"/>
    <col min="69" max="69" width="24.42578125" style="1785" customWidth="1"/>
    <col min="70" max="16384" width="11.42578125" style="1785"/>
  </cols>
  <sheetData>
    <row r="1" spans="1:69" s="458" customFormat="1" ht="15" customHeight="1" x14ac:dyDescent="0.25">
      <c r="A1" s="4302" t="s">
        <v>2117</v>
      </c>
      <c r="B1" s="4302"/>
      <c r="C1" s="4302"/>
      <c r="D1" s="4302"/>
      <c r="E1" s="4302"/>
      <c r="F1" s="4302"/>
      <c r="G1" s="4302"/>
      <c r="H1" s="4302"/>
      <c r="I1" s="4302"/>
      <c r="J1" s="4302"/>
      <c r="K1" s="4302"/>
      <c r="L1" s="4302"/>
      <c r="M1" s="4302"/>
      <c r="N1" s="4302"/>
      <c r="O1" s="4302"/>
      <c r="P1" s="4302"/>
      <c r="Q1" s="4302"/>
      <c r="R1" s="4302"/>
      <c r="S1" s="4302"/>
      <c r="T1" s="4302"/>
      <c r="U1" s="4302"/>
      <c r="V1" s="4302"/>
      <c r="W1" s="4302"/>
      <c r="X1" s="4302"/>
      <c r="Y1" s="4302"/>
      <c r="Z1" s="4302"/>
      <c r="AA1" s="4302"/>
      <c r="AB1" s="4302"/>
      <c r="AC1" s="4302"/>
      <c r="AD1" s="4302"/>
      <c r="AE1" s="4302"/>
      <c r="AF1" s="4302"/>
      <c r="AG1" s="4302"/>
      <c r="AH1" s="4302"/>
      <c r="AI1" s="4302"/>
      <c r="AJ1" s="4302"/>
      <c r="AK1" s="4302"/>
      <c r="AL1" s="4302"/>
      <c r="AM1" s="4302"/>
      <c r="AN1" s="4302"/>
      <c r="AO1" s="4302"/>
      <c r="AP1" s="4302"/>
      <c r="AQ1" s="4302"/>
      <c r="AR1" s="4302"/>
      <c r="AS1" s="4302"/>
      <c r="AT1" s="4302"/>
      <c r="AU1" s="4302"/>
      <c r="AV1" s="4302"/>
      <c r="AW1" s="4302"/>
      <c r="AX1" s="4302"/>
      <c r="AY1" s="4302"/>
      <c r="AZ1" s="4302"/>
      <c r="BA1" s="4302"/>
      <c r="BB1" s="4302"/>
      <c r="BC1" s="4302"/>
      <c r="BD1" s="4302"/>
      <c r="BE1" s="4302"/>
      <c r="BF1" s="4302"/>
      <c r="BG1" s="4302"/>
      <c r="BH1" s="4302"/>
      <c r="BI1" s="4302"/>
      <c r="BJ1" s="4302"/>
      <c r="BK1" s="4302"/>
      <c r="BL1" s="4302"/>
      <c r="BM1" s="4302"/>
      <c r="BN1" s="4302"/>
      <c r="BO1" s="4303"/>
      <c r="BP1" s="501" t="s">
        <v>0</v>
      </c>
      <c r="BQ1" s="501" t="s">
        <v>1</v>
      </c>
    </row>
    <row r="2" spans="1:69" s="458" customFormat="1" ht="15" x14ac:dyDescent="0.25">
      <c r="A2" s="4302"/>
      <c r="B2" s="4302"/>
      <c r="C2" s="4302"/>
      <c r="D2" s="4302"/>
      <c r="E2" s="4302"/>
      <c r="F2" s="4302"/>
      <c r="G2" s="4302"/>
      <c r="H2" s="4302"/>
      <c r="I2" s="4302"/>
      <c r="J2" s="4302"/>
      <c r="K2" s="4302"/>
      <c r="L2" s="4302"/>
      <c r="M2" s="4302"/>
      <c r="N2" s="4302"/>
      <c r="O2" s="4302"/>
      <c r="P2" s="4302"/>
      <c r="Q2" s="4302"/>
      <c r="R2" s="4302"/>
      <c r="S2" s="4302"/>
      <c r="T2" s="4302"/>
      <c r="U2" s="4302"/>
      <c r="V2" s="4302"/>
      <c r="W2" s="4302"/>
      <c r="X2" s="4302"/>
      <c r="Y2" s="4302"/>
      <c r="Z2" s="4302"/>
      <c r="AA2" s="4302"/>
      <c r="AB2" s="4302"/>
      <c r="AC2" s="4302"/>
      <c r="AD2" s="4302"/>
      <c r="AE2" s="4302"/>
      <c r="AF2" s="4302"/>
      <c r="AG2" s="4302"/>
      <c r="AH2" s="4302"/>
      <c r="AI2" s="4302"/>
      <c r="AJ2" s="4302"/>
      <c r="AK2" s="4302"/>
      <c r="AL2" s="4302"/>
      <c r="AM2" s="4302"/>
      <c r="AN2" s="4302"/>
      <c r="AO2" s="4302"/>
      <c r="AP2" s="4302"/>
      <c r="AQ2" s="4302"/>
      <c r="AR2" s="4302"/>
      <c r="AS2" s="4302"/>
      <c r="AT2" s="4302"/>
      <c r="AU2" s="4302"/>
      <c r="AV2" s="4302"/>
      <c r="AW2" s="4302"/>
      <c r="AX2" s="4302"/>
      <c r="AY2" s="4302"/>
      <c r="AZ2" s="4302"/>
      <c r="BA2" s="4302"/>
      <c r="BB2" s="4302"/>
      <c r="BC2" s="4302"/>
      <c r="BD2" s="4302"/>
      <c r="BE2" s="4302"/>
      <c r="BF2" s="4302"/>
      <c r="BG2" s="4302"/>
      <c r="BH2" s="4302"/>
      <c r="BI2" s="4302"/>
      <c r="BJ2" s="4302"/>
      <c r="BK2" s="4302"/>
      <c r="BL2" s="4302"/>
      <c r="BM2" s="4302"/>
      <c r="BN2" s="4302"/>
      <c r="BO2" s="4303"/>
      <c r="BP2" s="1548" t="s">
        <v>2</v>
      </c>
      <c r="BQ2" s="503">
        <v>6</v>
      </c>
    </row>
    <row r="3" spans="1:69" s="458" customFormat="1" ht="15" x14ac:dyDescent="0.25">
      <c r="A3" s="4302"/>
      <c r="B3" s="4302"/>
      <c r="C3" s="4302"/>
      <c r="D3" s="4302"/>
      <c r="E3" s="4302"/>
      <c r="F3" s="4302"/>
      <c r="G3" s="4302"/>
      <c r="H3" s="4302"/>
      <c r="I3" s="4302"/>
      <c r="J3" s="4302"/>
      <c r="K3" s="4302"/>
      <c r="L3" s="4302"/>
      <c r="M3" s="4302"/>
      <c r="N3" s="4302"/>
      <c r="O3" s="4302"/>
      <c r="P3" s="4302"/>
      <c r="Q3" s="4302"/>
      <c r="R3" s="4302"/>
      <c r="S3" s="4302"/>
      <c r="T3" s="4302"/>
      <c r="U3" s="4302"/>
      <c r="V3" s="4302"/>
      <c r="W3" s="4302"/>
      <c r="X3" s="4302"/>
      <c r="Y3" s="4302"/>
      <c r="Z3" s="4302"/>
      <c r="AA3" s="4302"/>
      <c r="AB3" s="4302"/>
      <c r="AC3" s="4302"/>
      <c r="AD3" s="4302"/>
      <c r="AE3" s="4302"/>
      <c r="AF3" s="4302"/>
      <c r="AG3" s="4302"/>
      <c r="AH3" s="4302"/>
      <c r="AI3" s="4302"/>
      <c r="AJ3" s="4302"/>
      <c r="AK3" s="4302"/>
      <c r="AL3" s="4302"/>
      <c r="AM3" s="4302"/>
      <c r="AN3" s="4302"/>
      <c r="AO3" s="4302"/>
      <c r="AP3" s="4302"/>
      <c r="AQ3" s="4302"/>
      <c r="AR3" s="4302"/>
      <c r="AS3" s="4302"/>
      <c r="AT3" s="4302"/>
      <c r="AU3" s="4302"/>
      <c r="AV3" s="4302"/>
      <c r="AW3" s="4302"/>
      <c r="AX3" s="4302"/>
      <c r="AY3" s="4302"/>
      <c r="AZ3" s="4302"/>
      <c r="BA3" s="4302"/>
      <c r="BB3" s="4302"/>
      <c r="BC3" s="4302"/>
      <c r="BD3" s="4302"/>
      <c r="BE3" s="4302"/>
      <c r="BF3" s="4302"/>
      <c r="BG3" s="4302"/>
      <c r="BH3" s="4302"/>
      <c r="BI3" s="4302"/>
      <c r="BJ3" s="4302"/>
      <c r="BK3" s="4302"/>
      <c r="BL3" s="4302"/>
      <c r="BM3" s="4302"/>
      <c r="BN3" s="4302"/>
      <c r="BO3" s="4303"/>
      <c r="BP3" s="501" t="s">
        <v>3</v>
      </c>
      <c r="BQ3" s="504" t="s">
        <v>4</v>
      </c>
    </row>
    <row r="4" spans="1:69" s="1550" customFormat="1" ht="21" customHeight="1" x14ac:dyDescent="0.2">
      <c r="A4" s="3268"/>
      <c r="B4" s="3268"/>
      <c r="C4" s="3268"/>
      <c r="D4" s="3268"/>
      <c r="E4" s="3268"/>
      <c r="F4" s="3268"/>
      <c r="G4" s="3268"/>
      <c r="H4" s="3268"/>
      <c r="I4" s="3268"/>
      <c r="J4" s="3268"/>
      <c r="K4" s="3268"/>
      <c r="L4" s="3268"/>
      <c r="M4" s="3268"/>
      <c r="N4" s="3268"/>
      <c r="O4" s="3268"/>
      <c r="P4" s="3268"/>
      <c r="Q4" s="3268"/>
      <c r="R4" s="3268"/>
      <c r="S4" s="3268"/>
      <c r="T4" s="3268"/>
      <c r="U4" s="3268"/>
      <c r="V4" s="3268"/>
      <c r="W4" s="3268"/>
      <c r="X4" s="3268"/>
      <c r="Y4" s="3268"/>
      <c r="Z4" s="3268"/>
      <c r="AA4" s="3268"/>
      <c r="AB4" s="3268"/>
      <c r="AC4" s="3268"/>
      <c r="AD4" s="3268"/>
      <c r="AE4" s="3268"/>
      <c r="AF4" s="3268"/>
      <c r="AG4" s="3268"/>
      <c r="AH4" s="3268"/>
      <c r="AI4" s="3268"/>
      <c r="AJ4" s="3268"/>
      <c r="AK4" s="3268"/>
      <c r="AL4" s="3268"/>
      <c r="AM4" s="3268"/>
      <c r="AN4" s="3268"/>
      <c r="AO4" s="3268"/>
      <c r="AP4" s="3268"/>
      <c r="AQ4" s="3268"/>
      <c r="AR4" s="3268"/>
      <c r="AS4" s="3268"/>
      <c r="AT4" s="3268"/>
      <c r="AU4" s="3268"/>
      <c r="AV4" s="3268"/>
      <c r="AW4" s="3268"/>
      <c r="AX4" s="3268"/>
      <c r="AY4" s="3268"/>
      <c r="AZ4" s="3268"/>
      <c r="BA4" s="3268"/>
      <c r="BB4" s="3268"/>
      <c r="BC4" s="3268"/>
      <c r="BD4" s="3268"/>
      <c r="BE4" s="3268"/>
      <c r="BF4" s="3268"/>
      <c r="BG4" s="3268"/>
      <c r="BH4" s="3268"/>
      <c r="BI4" s="3268"/>
      <c r="BJ4" s="3268"/>
      <c r="BK4" s="3268"/>
      <c r="BL4" s="3268"/>
      <c r="BM4" s="3268"/>
      <c r="BN4" s="3268"/>
      <c r="BO4" s="4304"/>
      <c r="BP4" s="708" t="s">
        <v>5</v>
      </c>
      <c r="BQ4" s="505" t="s">
        <v>6</v>
      </c>
    </row>
    <row r="5" spans="1:69" s="458" customFormat="1" ht="15" x14ac:dyDescent="0.2">
      <c r="A5" s="2611" t="s">
        <v>7</v>
      </c>
      <c r="B5" s="2611"/>
      <c r="C5" s="2611"/>
      <c r="D5" s="2611"/>
      <c r="E5" s="2611"/>
      <c r="F5" s="2611"/>
      <c r="G5" s="2611"/>
      <c r="H5" s="2611"/>
      <c r="I5" s="2611"/>
      <c r="J5" s="2611"/>
      <c r="K5" s="2611"/>
      <c r="L5" s="2611"/>
      <c r="M5" s="1623"/>
      <c r="N5" s="1623"/>
      <c r="O5" s="1623"/>
      <c r="P5" s="2611" t="s">
        <v>8</v>
      </c>
      <c r="Q5" s="2611"/>
      <c r="R5" s="2611"/>
      <c r="S5" s="2611"/>
      <c r="T5" s="2611"/>
      <c r="U5" s="2611"/>
      <c r="V5" s="2611"/>
      <c r="W5" s="2611"/>
      <c r="X5" s="2611"/>
      <c r="Y5" s="2611"/>
      <c r="Z5" s="2611"/>
      <c r="AA5" s="2611"/>
      <c r="AB5" s="2611"/>
      <c r="AC5" s="2611"/>
      <c r="AD5" s="2611"/>
      <c r="AE5" s="2611"/>
      <c r="AF5" s="2611"/>
      <c r="AG5" s="2611"/>
      <c r="AH5" s="2611"/>
      <c r="AI5" s="2611"/>
      <c r="AJ5" s="2611"/>
      <c r="AK5" s="2611"/>
      <c r="AL5" s="2611"/>
      <c r="AM5" s="2611"/>
      <c r="AN5" s="2611"/>
      <c r="AO5" s="2611"/>
      <c r="AP5" s="2611"/>
      <c r="AQ5" s="2611"/>
      <c r="AR5" s="2611"/>
      <c r="AS5" s="2611"/>
      <c r="AT5" s="2611"/>
      <c r="AU5" s="2611"/>
      <c r="AV5" s="2611"/>
      <c r="AW5" s="2611"/>
      <c r="AX5" s="2611"/>
      <c r="AY5" s="2611"/>
      <c r="AZ5" s="2611"/>
      <c r="BA5" s="2611"/>
      <c r="BB5" s="2611"/>
      <c r="BC5" s="2611"/>
      <c r="BD5" s="2611"/>
      <c r="BE5" s="2611"/>
      <c r="BF5" s="2611"/>
      <c r="BG5" s="2611"/>
      <c r="BH5" s="2611"/>
      <c r="BI5" s="2611"/>
      <c r="BJ5" s="2611"/>
      <c r="BK5" s="2611"/>
      <c r="BL5" s="2611"/>
      <c r="BM5" s="2611"/>
      <c r="BN5" s="2611"/>
      <c r="BO5" s="2611"/>
      <c r="BP5" s="2611"/>
      <c r="BQ5" s="2611"/>
    </row>
    <row r="6" spans="1:69" s="458" customFormat="1" ht="14.45" customHeight="1" thickBot="1" x14ac:dyDescent="0.25">
      <c r="A6" s="2611"/>
      <c r="B6" s="2611"/>
      <c r="C6" s="2611"/>
      <c r="D6" s="2611"/>
      <c r="E6" s="2611"/>
      <c r="F6" s="2611"/>
      <c r="G6" s="2611"/>
      <c r="H6" s="2611"/>
      <c r="I6" s="2611"/>
      <c r="J6" s="2611"/>
      <c r="K6" s="2611"/>
      <c r="L6" s="2611"/>
      <c r="M6" s="1623"/>
      <c r="N6" s="1623"/>
      <c r="O6" s="1627"/>
      <c r="P6" s="3269"/>
      <c r="Q6" s="3270"/>
      <c r="R6" s="3270"/>
      <c r="S6" s="3270"/>
      <c r="T6" s="3270"/>
      <c r="U6" s="3270"/>
      <c r="V6" s="3270"/>
      <c r="W6" s="3270"/>
      <c r="X6" s="3270"/>
      <c r="Y6" s="3270"/>
      <c r="Z6" s="3271"/>
      <c r="AA6" s="1628"/>
      <c r="AB6" s="1628"/>
      <c r="AC6" s="1628"/>
      <c r="AD6" s="1628"/>
      <c r="AE6" s="1628"/>
      <c r="AF6" s="1628"/>
      <c r="AG6" s="1628"/>
      <c r="AH6" s="1628"/>
      <c r="AI6" s="1628"/>
      <c r="AJ6" s="1628"/>
      <c r="AK6" s="1628"/>
      <c r="AL6" s="1628"/>
      <c r="AM6" s="1628"/>
      <c r="AN6" s="1628"/>
      <c r="AO6" s="1628"/>
      <c r="AP6" s="1628"/>
      <c r="AQ6" s="1628"/>
      <c r="AR6" s="1628"/>
      <c r="AS6" s="1628"/>
      <c r="AT6" s="1628"/>
      <c r="AU6" s="1628"/>
      <c r="AV6" s="1628"/>
      <c r="AW6" s="1628"/>
      <c r="AX6" s="1628"/>
      <c r="AY6" s="1628"/>
      <c r="AZ6" s="1628"/>
      <c r="BA6" s="1628"/>
      <c r="BB6" s="1628"/>
      <c r="BC6" s="1628"/>
      <c r="BD6" s="1628"/>
      <c r="BE6" s="1628"/>
      <c r="BF6" s="1628"/>
      <c r="BG6" s="1628"/>
      <c r="BH6" s="1628"/>
      <c r="BI6" s="1628"/>
      <c r="BJ6" s="1628"/>
      <c r="BK6" s="1628"/>
      <c r="BL6" s="1628"/>
      <c r="BM6" s="3269"/>
      <c r="BN6" s="3270"/>
      <c r="BO6" s="3270"/>
      <c r="BP6" s="3270"/>
      <c r="BQ6" s="3271"/>
    </row>
    <row r="7" spans="1:69" s="1551" customFormat="1" ht="22.5" customHeight="1" x14ac:dyDescent="0.2">
      <c r="A7" s="2723" t="s">
        <v>9</v>
      </c>
      <c r="B7" s="4299" t="s">
        <v>10</v>
      </c>
      <c r="C7" s="4305"/>
      <c r="D7" s="2723" t="s">
        <v>9</v>
      </c>
      <c r="E7" s="2723" t="s">
        <v>11</v>
      </c>
      <c r="F7" s="2723"/>
      <c r="G7" s="2723" t="s">
        <v>9</v>
      </c>
      <c r="H7" s="2723" t="s">
        <v>12</v>
      </c>
      <c r="I7" s="2723"/>
      <c r="J7" s="2723" t="s">
        <v>9</v>
      </c>
      <c r="K7" s="2723" t="s">
        <v>13</v>
      </c>
      <c r="L7" s="3486" t="s">
        <v>2123</v>
      </c>
      <c r="M7" s="3487"/>
      <c r="N7" s="4297" t="s">
        <v>16</v>
      </c>
      <c r="O7" s="3272" t="s">
        <v>17</v>
      </c>
      <c r="P7" s="4299" t="s">
        <v>8</v>
      </c>
      <c r="Q7" s="4299" t="s">
        <v>18</v>
      </c>
      <c r="R7" s="4299" t="s">
        <v>19</v>
      </c>
      <c r="S7" s="4299" t="s">
        <v>20</v>
      </c>
      <c r="T7" s="4299" t="s">
        <v>21</v>
      </c>
      <c r="U7" s="4299" t="s">
        <v>22</v>
      </c>
      <c r="V7" s="3486" t="s">
        <v>19</v>
      </c>
      <c r="W7" s="3505"/>
      <c r="X7" s="3487"/>
      <c r="Y7" s="3272" t="s">
        <v>9</v>
      </c>
      <c r="Z7" s="4297" t="s">
        <v>23</v>
      </c>
      <c r="AA7" s="3284" t="s">
        <v>24</v>
      </c>
      <c r="AB7" s="3285"/>
      <c r="AC7" s="3285"/>
      <c r="AD7" s="3286"/>
      <c r="AE7" s="3287" t="s">
        <v>25</v>
      </c>
      <c r="AF7" s="3288"/>
      <c r="AG7" s="3288"/>
      <c r="AH7" s="3288"/>
      <c r="AI7" s="3288"/>
      <c r="AJ7" s="3288"/>
      <c r="AK7" s="3288"/>
      <c r="AL7" s="3289"/>
      <c r="AM7" s="3290" t="s">
        <v>26</v>
      </c>
      <c r="AN7" s="3291"/>
      <c r="AO7" s="3291"/>
      <c r="AP7" s="3291"/>
      <c r="AQ7" s="3291"/>
      <c r="AR7" s="3291"/>
      <c r="AS7" s="3291"/>
      <c r="AT7" s="3291"/>
      <c r="AU7" s="3291"/>
      <c r="AV7" s="3291"/>
      <c r="AW7" s="3291"/>
      <c r="AX7" s="3292"/>
      <c r="AY7" s="3287" t="s">
        <v>27</v>
      </c>
      <c r="AZ7" s="3288"/>
      <c r="BA7" s="3288"/>
      <c r="BB7" s="3288"/>
      <c r="BC7" s="3288"/>
      <c r="BD7" s="3289"/>
      <c r="BE7" s="3287" t="s">
        <v>28</v>
      </c>
      <c r="BF7" s="3289"/>
      <c r="BG7" s="3295" t="s">
        <v>29</v>
      </c>
      <c r="BH7" s="3296"/>
      <c r="BI7" s="3296"/>
      <c r="BJ7" s="3296"/>
      <c r="BK7" s="3296"/>
      <c r="BL7" s="3297"/>
      <c r="BM7" s="3499" t="s">
        <v>30</v>
      </c>
      <c r="BN7" s="3500"/>
      <c r="BO7" s="3499" t="s">
        <v>31</v>
      </c>
      <c r="BP7" s="3500"/>
      <c r="BQ7" s="4307" t="s">
        <v>32</v>
      </c>
    </row>
    <row r="8" spans="1:69" s="1551" customFormat="1" ht="114.75" customHeight="1" x14ac:dyDescent="0.2">
      <c r="A8" s="2723"/>
      <c r="B8" s="4102"/>
      <c r="C8" s="4103"/>
      <c r="D8" s="2723"/>
      <c r="E8" s="2723"/>
      <c r="F8" s="2723"/>
      <c r="G8" s="2723"/>
      <c r="H8" s="2723"/>
      <c r="I8" s="2723"/>
      <c r="J8" s="2723"/>
      <c r="K8" s="2723"/>
      <c r="L8" s="3281"/>
      <c r="M8" s="3283"/>
      <c r="N8" s="4301"/>
      <c r="O8" s="3273"/>
      <c r="P8" s="4102"/>
      <c r="Q8" s="4102"/>
      <c r="R8" s="4102"/>
      <c r="S8" s="4102"/>
      <c r="T8" s="4102"/>
      <c r="U8" s="4102"/>
      <c r="V8" s="3281"/>
      <c r="W8" s="4296"/>
      <c r="X8" s="3283"/>
      <c r="Y8" s="3273"/>
      <c r="Z8" s="4298"/>
      <c r="AA8" s="3293" t="s">
        <v>33</v>
      </c>
      <c r="AB8" s="3293"/>
      <c r="AC8" s="3294" t="s">
        <v>34</v>
      </c>
      <c r="AD8" s="3294"/>
      <c r="AE8" s="3293" t="s">
        <v>35</v>
      </c>
      <c r="AF8" s="3293"/>
      <c r="AG8" s="3293" t="s">
        <v>36</v>
      </c>
      <c r="AH8" s="3293"/>
      <c r="AI8" s="3293" t="s">
        <v>272</v>
      </c>
      <c r="AJ8" s="3293"/>
      <c r="AK8" s="3293" t="s">
        <v>38</v>
      </c>
      <c r="AL8" s="3293"/>
      <c r="AM8" s="3293" t="s">
        <v>39</v>
      </c>
      <c r="AN8" s="3293"/>
      <c r="AO8" s="3293" t="s">
        <v>40</v>
      </c>
      <c r="AP8" s="3293"/>
      <c r="AQ8" s="3293" t="s">
        <v>41</v>
      </c>
      <c r="AR8" s="3293"/>
      <c r="AS8" s="3293" t="s">
        <v>42</v>
      </c>
      <c r="AT8" s="3293"/>
      <c r="AU8" s="3293" t="s">
        <v>43</v>
      </c>
      <c r="AV8" s="3293"/>
      <c r="AW8" s="3293" t="s">
        <v>44</v>
      </c>
      <c r="AX8" s="3293"/>
      <c r="AY8" s="3293" t="s">
        <v>45</v>
      </c>
      <c r="AZ8" s="3293"/>
      <c r="BA8" s="3293" t="s">
        <v>46</v>
      </c>
      <c r="BB8" s="3293"/>
      <c r="BC8" s="3293" t="s">
        <v>47</v>
      </c>
      <c r="BD8" s="3293"/>
      <c r="BE8" s="3293" t="s">
        <v>28</v>
      </c>
      <c r="BF8" s="3293"/>
      <c r="BG8" s="3121" t="s">
        <v>48</v>
      </c>
      <c r="BH8" s="3276" t="s">
        <v>49</v>
      </c>
      <c r="BI8" s="3121" t="s">
        <v>50</v>
      </c>
      <c r="BJ8" s="3277" t="s">
        <v>51</v>
      </c>
      <c r="BK8" s="3121" t="s">
        <v>52</v>
      </c>
      <c r="BL8" s="3304" t="s">
        <v>53</v>
      </c>
      <c r="BM8" s="3501"/>
      <c r="BN8" s="3502"/>
      <c r="BO8" s="3501"/>
      <c r="BP8" s="3502"/>
      <c r="BQ8" s="4308"/>
    </row>
    <row r="9" spans="1:69" s="1344" customFormat="1" ht="43.5" customHeight="1" x14ac:dyDescent="0.2">
      <c r="A9" s="2723"/>
      <c r="B9" s="4300"/>
      <c r="C9" s="4306"/>
      <c r="D9" s="2723"/>
      <c r="E9" s="2723"/>
      <c r="F9" s="2723"/>
      <c r="G9" s="2723"/>
      <c r="H9" s="2723"/>
      <c r="I9" s="2723"/>
      <c r="J9" s="2723"/>
      <c r="K9" s="2723"/>
      <c r="L9" s="3488"/>
      <c r="M9" s="3489"/>
      <c r="N9" s="4298"/>
      <c r="O9" s="3274"/>
      <c r="P9" s="4300"/>
      <c r="Q9" s="4300"/>
      <c r="R9" s="4300"/>
      <c r="S9" s="4300"/>
      <c r="T9" s="4300"/>
      <c r="U9" s="4300"/>
      <c r="V9" s="508" t="s">
        <v>56</v>
      </c>
      <c r="W9" s="508" t="s">
        <v>57</v>
      </c>
      <c r="X9" s="508" t="s">
        <v>58</v>
      </c>
      <c r="Y9" s="3274"/>
      <c r="Z9" s="1624"/>
      <c r="AA9" s="508" t="s">
        <v>54</v>
      </c>
      <c r="AB9" s="508" t="s">
        <v>55</v>
      </c>
      <c r="AC9" s="508" t="s">
        <v>54</v>
      </c>
      <c r="AD9" s="508" t="s">
        <v>55</v>
      </c>
      <c r="AE9" s="508" t="s">
        <v>54</v>
      </c>
      <c r="AF9" s="508" t="s">
        <v>55</v>
      </c>
      <c r="AG9" s="508" t="s">
        <v>54</v>
      </c>
      <c r="AH9" s="508" t="s">
        <v>55</v>
      </c>
      <c r="AI9" s="508" t="s">
        <v>54</v>
      </c>
      <c r="AJ9" s="508" t="s">
        <v>55</v>
      </c>
      <c r="AK9" s="508" t="s">
        <v>54</v>
      </c>
      <c r="AL9" s="508" t="s">
        <v>55</v>
      </c>
      <c r="AM9" s="508" t="s">
        <v>54</v>
      </c>
      <c r="AN9" s="508" t="s">
        <v>55</v>
      </c>
      <c r="AO9" s="508" t="s">
        <v>54</v>
      </c>
      <c r="AP9" s="508" t="s">
        <v>55</v>
      </c>
      <c r="AQ9" s="508" t="s">
        <v>54</v>
      </c>
      <c r="AR9" s="508" t="s">
        <v>55</v>
      </c>
      <c r="AS9" s="508" t="s">
        <v>54</v>
      </c>
      <c r="AT9" s="508" t="s">
        <v>55</v>
      </c>
      <c r="AU9" s="508" t="s">
        <v>54</v>
      </c>
      <c r="AV9" s="508" t="s">
        <v>55</v>
      </c>
      <c r="AW9" s="508" t="s">
        <v>54</v>
      </c>
      <c r="AX9" s="508" t="s">
        <v>55</v>
      </c>
      <c r="AY9" s="508" t="s">
        <v>54</v>
      </c>
      <c r="AZ9" s="508" t="s">
        <v>55</v>
      </c>
      <c r="BA9" s="508" t="s">
        <v>54</v>
      </c>
      <c r="BB9" s="508" t="s">
        <v>55</v>
      </c>
      <c r="BC9" s="508" t="s">
        <v>54</v>
      </c>
      <c r="BD9" s="508" t="s">
        <v>55</v>
      </c>
      <c r="BE9" s="508" t="s">
        <v>54</v>
      </c>
      <c r="BF9" s="508" t="s">
        <v>55</v>
      </c>
      <c r="BG9" s="3121"/>
      <c r="BH9" s="3276"/>
      <c r="BI9" s="3121"/>
      <c r="BJ9" s="3277"/>
      <c r="BK9" s="3121"/>
      <c r="BL9" s="3102"/>
      <c r="BM9" s="1552" t="s">
        <v>54</v>
      </c>
      <c r="BN9" s="1552" t="s">
        <v>55</v>
      </c>
      <c r="BO9" s="1552" t="s">
        <v>54</v>
      </c>
      <c r="BP9" s="1552" t="s">
        <v>55</v>
      </c>
      <c r="BQ9" s="4309"/>
    </row>
    <row r="10" spans="1:69" ht="15" x14ac:dyDescent="0.2">
      <c r="A10" s="1777">
        <v>3</v>
      </c>
      <c r="B10" s="1778" t="s">
        <v>1421</v>
      </c>
      <c r="C10" s="1778"/>
      <c r="D10" s="1779"/>
      <c r="E10" s="1779"/>
      <c r="F10" s="1779"/>
      <c r="G10" s="1779"/>
      <c r="H10" s="1779"/>
      <c r="I10" s="1779"/>
      <c r="J10" s="1779"/>
      <c r="K10" s="1779"/>
      <c r="L10" s="1779"/>
      <c r="M10" s="1779"/>
      <c r="N10" s="1780"/>
      <c r="O10" s="1779"/>
      <c r="P10" s="1781"/>
      <c r="Q10" s="1779"/>
      <c r="R10" s="1780"/>
      <c r="S10" s="1779"/>
      <c r="T10" s="1781"/>
      <c r="U10" s="1781"/>
      <c r="V10" s="1781"/>
      <c r="W10" s="1781"/>
      <c r="X10" s="1781"/>
      <c r="Y10" s="1780"/>
      <c r="Z10" s="1780"/>
      <c r="AA10" s="1782"/>
      <c r="AB10" s="1782"/>
      <c r="AC10" s="1782"/>
      <c r="AD10" s="1782"/>
      <c r="AE10" s="1783"/>
      <c r="AF10" s="1783"/>
      <c r="AG10" s="1782"/>
      <c r="AH10" s="1782"/>
      <c r="AI10" s="1782"/>
      <c r="AJ10" s="1782"/>
      <c r="AK10" s="1782"/>
      <c r="AL10" s="1782"/>
      <c r="AM10" s="1782"/>
      <c r="AN10" s="1782"/>
      <c r="AO10" s="1784"/>
      <c r="AP10" s="1784"/>
      <c r="AQ10" s="1782"/>
      <c r="AR10" s="1782"/>
      <c r="AS10" s="1783"/>
      <c r="AT10" s="1783"/>
      <c r="AU10" s="1782"/>
      <c r="AV10" s="1782"/>
      <c r="AW10" s="1782"/>
      <c r="AX10" s="1782"/>
      <c r="AY10" s="1783"/>
      <c r="AZ10" s="1783"/>
      <c r="BA10" s="1783"/>
      <c r="BB10" s="1783"/>
      <c r="BC10" s="1783"/>
      <c r="BD10" s="1783"/>
      <c r="BE10" s="1783"/>
      <c r="BF10" s="1783"/>
      <c r="BG10" s="1783"/>
      <c r="BH10" s="1783"/>
      <c r="BI10" s="1783"/>
      <c r="BJ10" s="1783"/>
      <c r="BK10" s="1783"/>
      <c r="BL10" s="1783"/>
      <c r="BM10" s="1779"/>
      <c r="BN10" s="1779"/>
      <c r="BO10" s="1779"/>
      <c r="BP10" s="1779"/>
      <c r="BQ10" s="1779"/>
    </row>
    <row r="11" spans="1:69" ht="13.5" customHeight="1" x14ac:dyDescent="0.2">
      <c r="A11" s="4293"/>
      <c r="B11" s="4294"/>
      <c r="C11" s="4295"/>
      <c r="D11" s="1786">
        <v>11</v>
      </c>
      <c r="E11" s="1787" t="s">
        <v>1278</v>
      </c>
      <c r="F11" s="1787"/>
      <c r="G11" s="1787"/>
      <c r="H11" s="1787"/>
      <c r="I11" s="1787"/>
      <c r="J11" s="1787"/>
      <c r="K11" s="1788"/>
      <c r="L11" s="1787"/>
      <c r="M11" s="1787"/>
      <c r="N11" s="1786"/>
      <c r="O11" s="1787"/>
      <c r="P11" s="1788"/>
      <c r="Q11" s="1787"/>
      <c r="R11" s="1786"/>
      <c r="S11" s="1787"/>
      <c r="T11" s="1788"/>
      <c r="U11" s="1788"/>
      <c r="V11" s="1789"/>
      <c r="W11" s="1789"/>
      <c r="X11" s="1789"/>
      <c r="Y11" s="1786"/>
      <c r="Z11" s="1786"/>
      <c r="AA11" s="1790"/>
      <c r="AB11" s="1790"/>
      <c r="AC11" s="1790"/>
      <c r="AD11" s="1790"/>
      <c r="AE11" s="1791"/>
      <c r="AF11" s="1791"/>
      <c r="AG11" s="1790"/>
      <c r="AH11" s="1790"/>
      <c r="AI11" s="1790"/>
      <c r="AJ11" s="1790"/>
      <c r="AK11" s="1790"/>
      <c r="AL11" s="1790"/>
      <c r="AM11" s="1790"/>
      <c r="AN11" s="1790"/>
      <c r="AO11" s="1792"/>
      <c r="AP11" s="1792"/>
      <c r="AQ11" s="1790"/>
      <c r="AR11" s="1790"/>
      <c r="AS11" s="1791"/>
      <c r="AT11" s="1791"/>
      <c r="AU11" s="1790"/>
      <c r="AV11" s="1790"/>
      <c r="AW11" s="1790"/>
      <c r="AX11" s="1790"/>
      <c r="AY11" s="1791"/>
      <c r="AZ11" s="1791"/>
      <c r="BA11" s="1791"/>
      <c r="BB11" s="1791"/>
      <c r="BC11" s="1791"/>
      <c r="BD11" s="1791"/>
      <c r="BE11" s="1791"/>
      <c r="BF11" s="1791"/>
      <c r="BG11" s="1791"/>
      <c r="BH11" s="1791"/>
      <c r="BI11" s="1791"/>
      <c r="BJ11" s="1791"/>
      <c r="BK11" s="1791"/>
      <c r="BL11" s="1791"/>
      <c r="BM11" s="1787"/>
      <c r="BN11" s="1787"/>
      <c r="BO11" s="1787"/>
      <c r="BP11" s="1787"/>
      <c r="BQ11" s="1787"/>
    </row>
    <row r="12" spans="1:69" ht="15" x14ac:dyDescent="0.2">
      <c r="A12" s="1793"/>
      <c r="B12" s="1794"/>
      <c r="C12" s="1795"/>
      <c r="D12" s="1796"/>
      <c r="E12" s="1796"/>
      <c r="F12" s="1797"/>
      <c r="G12" s="1798">
        <v>35</v>
      </c>
      <c r="H12" s="1799" t="s">
        <v>1422</v>
      </c>
      <c r="I12" s="1799"/>
      <c r="J12" s="1799"/>
      <c r="K12" s="1800"/>
      <c r="L12" s="1799"/>
      <c r="M12" s="1799"/>
      <c r="N12" s="1801"/>
      <c r="O12" s="1799"/>
      <c r="P12" s="1800"/>
      <c r="Q12" s="1799"/>
      <c r="R12" s="1801"/>
      <c r="S12" s="1799"/>
      <c r="T12" s="1800"/>
      <c r="U12" s="1802"/>
      <c r="V12" s="1803"/>
      <c r="W12" s="1804"/>
      <c r="X12" s="1805"/>
      <c r="Y12" s="1801"/>
      <c r="Z12" s="1801"/>
      <c r="AA12" s="1806"/>
      <c r="AB12" s="1806"/>
      <c r="AC12" s="1806"/>
      <c r="AD12" s="1806"/>
      <c r="AE12" s="1807"/>
      <c r="AF12" s="1807"/>
      <c r="AG12" s="1806"/>
      <c r="AH12" s="1806"/>
      <c r="AI12" s="1806"/>
      <c r="AJ12" s="1806"/>
      <c r="AK12" s="1806"/>
      <c r="AL12" s="1806"/>
      <c r="AM12" s="1806"/>
      <c r="AN12" s="1806"/>
      <c r="AO12" s="1808"/>
      <c r="AP12" s="1808"/>
      <c r="AQ12" s="1806"/>
      <c r="AR12" s="1806"/>
      <c r="AS12" s="1807"/>
      <c r="AT12" s="1807"/>
      <c r="AU12" s="1806"/>
      <c r="AV12" s="1806"/>
      <c r="AW12" s="1806"/>
      <c r="AX12" s="1806"/>
      <c r="AY12" s="1807"/>
      <c r="AZ12" s="1807"/>
      <c r="BA12" s="1807"/>
      <c r="BB12" s="1807"/>
      <c r="BC12" s="1807"/>
      <c r="BD12" s="1807"/>
      <c r="BE12" s="1807"/>
      <c r="BF12" s="1807"/>
      <c r="BG12" s="1807"/>
      <c r="BH12" s="1807"/>
      <c r="BI12" s="1807"/>
      <c r="BJ12" s="1807"/>
      <c r="BK12" s="1807"/>
      <c r="BL12" s="1807"/>
      <c r="BM12" s="1799"/>
      <c r="BN12" s="1799"/>
      <c r="BO12" s="1799"/>
      <c r="BP12" s="1799"/>
      <c r="BQ12" s="1799"/>
    </row>
    <row r="13" spans="1:69" s="1815" customFormat="1" ht="59.25" customHeight="1" x14ac:dyDescent="0.2">
      <c r="A13" s="1809"/>
      <c r="B13" s="1810"/>
      <c r="C13" s="1811"/>
      <c r="D13" s="1812"/>
      <c r="E13" s="1812"/>
      <c r="F13" s="1811"/>
      <c r="G13" s="1809"/>
      <c r="H13" s="1812"/>
      <c r="I13" s="1811"/>
      <c r="J13" s="4154">
        <v>127</v>
      </c>
      <c r="K13" s="4136" t="s">
        <v>1423</v>
      </c>
      <c r="L13" s="4136" t="s">
        <v>1424</v>
      </c>
      <c r="M13" s="4123">
        <v>1</v>
      </c>
      <c r="N13" s="4123" t="s">
        <v>1425</v>
      </c>
      <c r="O13" s="4123">
        <v>132</v>
      </c>
      <c r="P13" s="4136" t="s">
        <v>1426</v>
      </c>
      <c r="Q13" s="4133">
        <f>+(V13+V14+V15+V16+V17+V18+V19)/R13</f>
        <v>0.23076923076923078</v>
      </c>
      <c r="R13" s="2908">
        <f>SUM(V13:V31)</f>
        <v>130000000</v>
      </c>
      <c r="S13" s="4136" t="s">
        <v>1427</v>
      </c>
      <c r="T13" s="4136" t="s">
        <v>1428</v>
      </c>
      <c r="U13" s="1813" t="s">
        <v>1429</v>
      </c>
      <c r="V13" s="1626">
        <v>4285800</v>
      </c>
      <c r="W13" s="1626">
        <v>4285800</v>
      </c>
      <c r="X13" s="1626">
        <v>0</v>
      </c>
      <c r="Y13" s="1814">
        <v>61</v>
      </c>
      <c r="Z13" s="4123" t="s">
        <v>1430</v>
      </c>
      <c r="AA13" s="4123" t="s">
        <v>1164</v>
      </c>
      <c r="AB13" s="4123" t="s">
        <v>1164</v>
      </c>
      <c r="AC13" s="4123" t="s">
        <v>1164</v>
      </c>
      <c r="AD13" s="4123" t="s">
        <v>1164</v>
      </c>
      <c r="AE13" s="4123">
        <v>64149</v>
      </c>
      <c r="AF13" s="4123">
        <v>0</v>
      </c>
      <c r="AG13" s="4123" t="s">
        <v>1164</v>
      </c>
      <c r="AH13" s="4123" t="s">
        <v>1164</v>
      </c>
      <c r="AI13" s="4123" t="s">
        <v>1164</v>
      </c>
      <c r="AJ13" s="4123" t="s">
        <v>1164</v>
      </c>
      <c r="AK13" s="4123" t="s">
        <v>1164</v>
      </c>
      <c r="AL13" s="4123" t="s">
        <v>1164</v>
      </c>
      <c r="AM13" s="4123" t="s">
        <v>1164</v>
      </c>
      <c r="AN13" s="4123" t="s">
        <v>1164</v>
      </c>
      <c r="AO13" s="4123" t="s">
        <v>1164</v>
      </c>
      <c r="AP13" s="4123" t="s">
        <v>1164</v>
      </c>
      <c r="AQ13" s="4123" t="s">
        <v>1164</v>
      </c>
      <c r="AR13" s="4123" t="s">
        <v>1164</v>
      </c>
      <c r="AS13" s="4123" t="s">
        <v>1164</v>
      </c>
      <c r="AT13" s="4123" t="s">
        <v>1164</v>
      </c>
      <c r="AU13" s="4123" t="s">
        <v>1164</v>
      </c>
      <c r="AV13" s="4123" t="s">
        <v>1164</v>
      </c>
      <c r="AW13" s="4123" t="s">
        <v>1164</v>
      </c>
      <c r="AX13" s="4123" t="s">
        <v>1164</v>
      </c>
      <c r="AY13" s="4123" t="s">
        <v>1164</v>
      </c>
      <c r="AZ13" s="4123" t="s">
        <v>1164</v>
      </c>
      <c r="BA13" s="4123" t="s">
        <v>1164</v>
      </c>
      <c r="BB13" s="4123" t="s">
        <v>1164</v>
      </c>
      <c r="BC13" s="4123" t="s">
        <v>1164</v>
      </c>
      <c r="BD13" s="4123" t="s">
        <v>1164</v>
      </c>
      <c r="BE13" s="4123" t="s">
        <v>1164</v>
      </c>
      <c r="BF13" s="4123" t="s">
        <v>1164</v>
      </c>
      <c r="BG13" s="4123">
        <v>2</v>
      </c>
      <c r="BH13" s="4292">
        <f>SUM(W13:W31)</f>
        <v>11866667</v>
      </c>
      <c r="BI13" s="4292">
        <f>SUM(X13:X31)</f>
        <v>0</v>
      </c>
      <c r="BJ13" s="2852">
        <f>SUM(BI13/R13)</f>
        <v>0</v>
      </c>
      <c r="BK13" s="4123">
        <v>61</v>
      </c>
      <c r="BL13" s="4123" t="s">
        <v>1431</v>
      </c>
      <c r="BM13" s="4125">
        <v>43467</v>
      </c>
      <c r="BN13" s="4125">
        <v>44196</v>
      </c>
      <c r="BO13" s="4125">
        <v>43830</v>
      </c>
      <c r="BP13" s="4125">
        <v>44196</v>
      </c>
      <c r="BQ13" s="4123" t="s">
        <v>1432</v>
      </c>
    </row>
    <row r="14" spans="1:69" s="1815" customFormat="1" ht="85.5" customHeight="1" x14ac:dyDescent="0.2">
      <c r="A14" s="1809"/>
      <c r="B14" s="1810"/>
      <c r="C14" s="1811"/>
      <c r="D14" s="1812"/>
      <c r="E14" s="1812"/>
      <c r="F14" s="1811"/>
      <c r="G14" s="1809"/>
      <c r="H14" s="1812"/>
      <c r="I14" s="1811"/>
      <c r="J14" s="4154"/>
      <c r="K14" s="4136"/>
      <c r="L14" s="4136"/>
      <c r="M14" s="4123"/>
      <c r="N14" s="4123"/>
      <c r="O14" s="4123"/>
      <c r="P14" s="4136"/>
      <c r="Q14" s="4133"/>
      <c r="R14" s="2908"/>
      <c r="S14" s="4136"/>
      <c r="T14" s="4136"/>
      <c r="U14" s="162" t="s">
        <v>1433</v>
      </c>
      <c r="V14" s="1625">
        <v>4285800</v>
      </c>
      <c r="W14" s="1625">
        <v>0</v>
      </c>
      <c r="X14" s="1625">
        <v>0</v>
      </c>
      <c r="Y14" s="1816">
        <v>61</v>
      </c>
      <c r="Z14" s="4123"/>
      <c r="AA14" s="4123"/>
      <c r="AB14" s="4123"/>
      <c r="AC14" s="4123"/>
      <c r="AD14" s="4123"/>
      <c r="AE14" s="4123"/>
      <c r="AF14" s="4123"/>
      <c r="AG14" s="4123"/>
      <c r="AH14" s="4123"/>
      <c r="AI14" s="4123"/>
      <c r="AJ14" s="4123"/>
      <c r="AK14" s="4123"/>
      <c r="AL14" s="4123"/>
      <c r="AM14" s="4123"/>
      <c r="AN14" s="4123"/>
      <c r="AO14" s="4123"/>
      <c r="AP14" s="4123"/>
      <c r="AQ14" s="4123"/>
      <c r="AR14" s="4123"/>
      <c r="AS14" s="4123"/>
      <c r="AT14" s="4123"/>
      <c r="AU14" s="4123"/>
      <c r="AV14" s="4123"/>
      <c r="AW14" s="4123"/>
      <c r="AX14" s="4123"/>
      <c r="AY14" s="4123"/>
      <c r="AZ14" s="4123"/>
      <c r="BA14" s="4123"/>
      <c r="BB14" s="4123"/>
      <c r="BC14" s="4123"/>
      <c r="BD14" s="4123"/>
      <c r="BE14" s="4123"/>
      <c r="BF14" s="4123"/>
      <c r="BG14" s="4123"/>
      <c r="BH14" s="4123"/>
      <c r="BI14" s="4123"/>
      <c r="BJ14" s="2852"/>
      <c r="BK14" s="4123"/>
      <c r="BL14" s="4123"/>
      <c r="BM14" s="4125"/>
      <c r="BN14" s="4125"/>
      <c r="BO14" s="4125"/>
      <c r="BP14" s="4125"/>
      <c r="BQ14" s="4123"/>
    </row>
    <row r="15" spans="1:69" s="1815" customFormat="1" ht="57.75" customHeight="1" x14ac:dyDescent="0.2">
      <c r="A15" s="1809"/>
      <c r="B15" s="1810"/>
      <c r="C15" s="1811"/>
      <c r="D15" s="1812"/>
      <c r="E15" s="1812"/>
      <c r="F15" s="1811"/>
      <c r="G15" s="1809"/>
      <c r="H15" s="1812"/>
      <c r="I15" s="1811"/>
      <c r="J15" s="4154"/>
      <c r="K15" s="4136"/>
      <c r="L15" s="4136"/>
      <c r="M15" s="4123"/>
      <c r="N15" s="4123"/>
      <c r="O15" s="4123"/>
      <c r="P15" s="4136"/>
      <c r="Q15" s="4133"/>
      <c r="R15" s="2908"/>
      <c r="S15" s="4136"/>
      <c r="T15" s="4136"/>
      <c r="U15" s="162" t="s">
        <v>1434</v>
      </c>
      <c r="V15" s="1625">
        <v>4285800</v>
      </c>
      <c r="W15" s="1625">
        <v>0</v>
      </c>
      <c r="X15" s="1625">
        <v>0</v>
      </c>
      <c r="Y15" s="1816">
        <v>61</v>
      </c>
      <c r="Z15" s="4123"/>
      <c r="AA15" s="4123"/>
      <c r="AB15" s="4123"/>
      <c r="AC15" s="4123"/>
      <c r="AD15" s="4123"/>
      <c r="AE15" s="4123"/>
      <c r="AF15" s="4123"/>
      <c r="AG15" s="4123"/>
      <c r="AH15" s="4123"/>
      <c r="AI15" s="4123"/>
      <c r="AJ15" s="4123"/>
      <c r="AK15" s="4123"/>
      <c r="AL15" s="4123"/>
      <c r="AM15" s="4123"/>
      <c r="AN15" s="4123"/>
      <c r="AO15" s="4123"/>
      <c r="AP15" s="4123"/>
      <c r="AQ15" s="4123"/>
      <c r="AR15" s="4123"/>
      <c r="AS15" s="4123"/>
      <c r="AT15" s="4123"/>
      <c r="AU15" s="4123"/>
      <c r="AV15" s="4123"/>
      <c r="AW15" s="4123"/>
      <c r="AX15" s="4123"/>
      <c r="AY15" s="4123"/>
      <c r="AZ15" s="4123"/>
      <c r="BA15" s="4123"/>
      <c r="BB15" s="4123"/>
      <c r="BC15" s="4123"/>
      <c r="BD15" s="4123"/>
      <c r="BE15" s="4123"/>
      <c r="BF15" s="4123"/>
      <c r="BG15" s="4123"/>
      <c r="BH15" s="4123"/>
      <c r="BI15" s="4123"/>
      <c r="BJ15" s="2852"/>
      <c r="BK15" s="4123"/>
      <c r="BL15" s="4123"/>
      <c r="BM15" s="4125"/>
      <c r="BN15" s="4125"/>
      <c r="BO15" s="4125"/>
      <c r="BP15" s="4125"/>
      <c r="BQ15" s="4123"/>
    </row>
    <row r="16" spans="1:69" s="1815" customFormat="1" ht="72.75" customHeight="1" x14ac:dyDescent="0.2">
      <c r="A16" s="1809"/>
      <c r="B16" s="1810"/>
      <c r="C16" s="1811"/>
      <c r="D16" s="1812"/>
      <c r="E16" s="1812"/>
      <c r="F16" s="1811"/>
      <c r="G16" s="1809"/>
      <c r="H16" s="1812"/>
      <c r="I16" s="1811"/>
      <c r="J16" s="4154"/>
      <c r="K16" s="4136"/>
      <c r="L16" s="4136"/>
      <c r="M16" s="4123"/>
      <c r="N16" s="4123"/>
      <c r="O16" s="4123"/>
      <c r="P16" s="4136"/>
      <c r="Q16" s="4133"/>
      <c r="R16" s="2908"/>
      <c r="S16" s="4136"/>
      <c r="T16" s="4136"/>
      <c r="U16" s="162" t="s">
        <v>1435</v>
      </c>
      <c r="V16" s="1625">
        <v>1071000</v>
      </c>
      <c r="W16" s="1625">
        <v>0</v>
      </c>
      <c r="X16" s="1625">
        <v>0</v>
      </c>
      <c r="Y16" s="1816">
        <v>61</v>
      </c>
      <c r="Z16" s="4123"/>
      <c r="AA16" s="4123"/>
      <c r="AB16" s="4123"/>
      <c r="AC16" s="4123"/>
      <c r="AD16" s="4123"/>
      <c r="AE16" s="4123"/>
      <c r="AF16" s="4123"/>
      <c r="AG16" s="4123"/>
      <c r="AH16" s="4123"/>
      <c r="AI16" s="4123"/>
      <c r="AJ16" s="4123"/>
      <c r="AK16" s="4123"/>
      <c r="AL16" s="4123"/>
      <c r="AM16" s="4123"/>
      <c r="AN16" s="4123"/>
      <c r="AO16" s="4123"/>
      <c r="AP16" s="4123"/>
      <c r="AQ16" s="4123"/>
      <c r="AR16" s="4123"/>
      <c r="AS16" s="4123"/>
      <c r="AT16" s="4123"/>
      <c r="AU16" s="4123"/>
      <c r="AV16" s="4123"/>
      <c r="AW16" s="4123"/>
      <c r="AX16" s="4123"/>
      <c r="AY16" s="4123"/>
      <c r="AZ16" s="4123"/>
      <c r="BA16" s="4123"/>
      <c r="BB16" s="4123"/>
      <c r="BC16" s="4123"/>
      <c r="BD16" s="4123"/>
      <c r="BE16" s="4123"/>
      <c r="BF16" s="4123"/>
      <c r="BG16" s="4123"/>
      <c r="BH16" s="4123"/>
      <c r="BI16" s="4123"/>
      <c r="BJ16" s="2852"/>
      <c r="BK16" s="4123"/>
      <c r="BL16" s="4123"/>
      <c r="BM16" s="4125"/>
      <c r="BN16" s="4125"/>
      <c r="BO16" s="4125"/>
      <c r="BP16" s="4125"/>
      <c r="BQ16" s="4123"/>
    </row>
    <row r="17" spans="1:69" s="1815" customFormat="1" ht="71.25" customHeight="1" x14ac:dyDescent="0.2">
      <c r="A17" s="1809"/>
      <c r="B17" s="1810"/>
      <c r="C17" s="1811"/>
      <c r="D17" s="1812"/>
      <c r="E17" s="1812"/>
      <c r="F17" s="1811"/>
      <c r="G17" s="1809"/>
      <c r="H17" s="1812"/>
      <c r="I17" s="1811"/>
      <c r="J17" s="4154"/>
      <c r="K17" s="4136"/>
      <c r="L17" s="4136"/>
      <c r="M17" s="4123"/>
      <c r="N17" s="4123"/>
      <c r="O17" s="4123"/>
      <c r="P17" s="4136"/>
      <c r="Q17" s="4133"/>
      <c r="R17" s="2908"/>
      <c r="S17" s="4136"/>
      <c r="T17" s="4136"/>
      <c r="U17" s="162" t="s">
        <v>1436</v>
      </c>
      <c r="V17" s="1625">
        <v>4285800</v>
      </c>
      <c r="W17" s="1625">
        <v>4285800</v>
      </c>
      <c r="X17" s="1625">
        <v>0</v>
      </c>
      <c r="Y17" s="1816">
        <v>61</v>
      </c>
      <c r="Z17" s="4123"/>
      <c r="AA17" s="4123"/>
      <c r="AB17" s="4123"/>
      <c r="AC17" s="4123"/>
      <c r="AD17" s="4123"/>
      <c r="AE17" s="4123"/>
      <c r="AF17" s="4123"/>
      <c r="AG17" s="4123"/>
      <c r="AH17" s="4123"/>
      <c r="AI17" s="4123"/>
      <c r="AJ17" s="4123"/>
      <c r="AK17" s="4123"/>
      <c r="AL17" s="4123"/>
      <c r="AM17" s="4123"/>
      <c r="AN17" s="4123"/>
      <c r="AO17" s="4123"/>
      <c r="AP17" s="4123"/>
      <c r="AQ17" s="4123"/>
      <c r="AR17" s="4123"/>
      <c r="AS17" s="4123"/>
      <c r="AT17" s="4123"/>
      <c r="AU17" s="4123"/>
      <c r="AV17" s="4123"/>
      <c r="AW17" s="4123"/>
      <c r="AX17" s="4123"/>
      <c r="AY17" s="4123"/>
      <c r="AZ17" s="4123"/>
      <c r="BA17" s="4123"/>
      <c r="BB17" s="4123"/>
      <c r="BC17" s="4123"/>
      <c r="BD17" s="4123"/>
      <c r="BE17" s="4123"/>
      <c r="BF17" s="4123"/>
      <c r="BG17" s="4123"/>
      <c r="BH17" s="4123"/>
      <c r="BI17" s="4123"/>
      <c r="BJ17" s="2852"/>
      <c r="BK17" s="4123"/>
      <c r="BL17" s="4123"/>
      <c r="BM17" s="4125"/>
      <c r="BN17" s="4125"/>
      <c r="BO17" s="4125"/>
      <c r="BP17" s="4125"/>
      <c r="BQ17" s="4123"/>
    </row>
    <row r="18" spans="1:69" s="1815" customFormat="1" ht="66" customHeight="1" x14ac:dyDescent="0.2">
      <c r="A18" s="1809"/>
      <c r="B18" s="1810"/>
      <c r="C18" s="1811"/>
      <c r="D18" s="1812"/>
      <c r="E18" s="1812"/>
      <c r="F18" s="1811"/>
      <c r="G18" s="1809"/>
      <c r="H18" s="1812"/>
      <c r="I18" s="1811"/>
      <c r="J18" s="4154"/>
      <c r="K18" s="4136"/>
      <c r="L18" s="4136"/>
      <c r="M18" s="4123"/>
      <c r="N18" s="4123"/>
      <c r="O18" s="4123"/>
      <c r="P18" s="4136"/>
      <c r="Q18" s="4133"/>
      <c r="R18" s="2908"/>
      <c r="S18" s="4136"/>
      <c r="T18" s="4136"/>
      <c r="U18" s="162" t="s">
        <v>1437</v>
      </c>
      <c r="V18" s="1625">
        <v>7500000</v>
      </c>
      <c r="W18" s="1625">
        <v>495067</v>
      </c>
      <c r="X18" s="1625">
        <v>0</v>
      </c>
      <c r="Y18" s="1816">
        <v>61</v>
      </c>
      <c r="Z18" s="4123"/>
      <c r="AA18" s="4123"/>
      <c r="AB18" s="4123"/>
      <c r="AC18" s="4123"/>
      <c r="AD18" s="4123"/>
      <c r="AE18" s="4123"/>
      <c r="AF18" s="4123"/>
      <c r="AG18" s="4123"/>
      <c r="AH18" s="4123"/>
      <c r="AI18" s="4123"/>
      <c r="AJ18" s="4123"/>
      <c r="AK18" s="4123"/>
      <c r="AL18" s="4123"/>
      <c r="AM18" s="4123"/>
      <c r="AN18" s="4123"/>
      <c r="AO18" s="4123"/>
      <c r="AP18" s="4123"/>
      <c r="AQ18" s="4123"/>
      <c r="AR18" s="4123"/>
      <c r="AS18" s="4123"/>
      <c r="AT18" s="4123"/>
      <c r="AU18" s="4123"/>
      <c r="AV18" s="4123"/>
      <c r="AW18" s="4123"/>
      <c r="AX18" s="4123"/>
      <c r="AY18" s="4123"/>
      <c r="AZ18" s="4123"/>
      <c r="BA18" s="4123"/>
      <c r="BB18" s="4123"/>
      <c r="BC18" s="4123"/>
      <c r="BD18" s="4123"/>
      <c r="BE18" s="4123"/>
      <c r="BF18" s="4123"/>
      <c r="BG18" s="4123"/>
      <c r="BH18" s="4123"/>
      <c r="BI18" s="4123"/>
      <c r="BJ18" s="2852"/>
      <c r="BK18" s="4123"/>
      <c r="BL18" s="4123"/>
      <c r="BM18" s="4125"/>
      <c r="BN18" s="4125"/>
      <c r="BO18" s="4125"/>
      <c r="BP18" s="4125"/>
      <c r="BQ18" s="4123"/>
    </row>
    <row r="19" spans="1:69" s="1815" customFormat="1" ht="63.75" customHeight="1" x14ac:dyDescent="0.2">
      <c r="A19" s="1809"/>
      <c r="B19" s="1810"/>
      <c r="C19" s="1811"/>
      <c r="D19" s="1812"/>
      <c r="E19" s="1812"/>
      <c r="F19" s="1811"/>
      <c r="G19" s="1809"/>
      <c r="H19" s="1812"/>
      <c r="I19" s="1811"/>
      <c r="J19" s="4155"/>
      <c r="K19" s="4137"/>
      <c r="L19" s="4137"/>
      <c r="M19" s="4171"/>
      <c r="N19" s="4123"/>
      <c r="O19" s="4123"/>
      <c r="P19" s="4136"/>
      <c r="Q19" s="4175"/>
      <c r="R19" s="2908"/>
      <c r="S19" s="4136"/>
      <c r="T19" s="4137"/>
      <c r="U19" s="162" t="s">
        <v>1438</v>
      </c>
      <c r="V19" s="1625">
        <v>4285800</v>
      </c>
      <c r="W19" s="1625">
        <v>2800000</v>
      </c>
      <c r="X19" s="1625">
        <v>0</v>
      </c>
      <c r="Y19" s="1816">
        <v>61</v>
      </c>
      <c r="Z19" s="4123"/>
      <c r="AA19" s="4123"/>
      <c r="AB19" s="4123"/>
      <c r="AC19" s="4123"/>
      <c r="AD19" s="4123"/>
      <c r="AE19" s="4123"/>
      <c r="AF19" s="4123"/>
      <c r="AG19" s="4123"/>
      <c r="AH19" s="4123"/>
      <c r="AI19" s="4123"/>
      <c r="AJ19" s="4123"/>
      <c r="AK19" s="4123"/>
      <c r="AL19" s="4123"/>
      <c r="AM19" s="4123"/>
      <c r="AN19" s="4123"/>
      <c r="AO19" s="4123"/>
      <c r="AP19" s="4123"/>
      <c r="AQ19" s="4123"/>
      <c r="AR19" s="4123"/>
      <c r="AS19" s="4123"/>
      <c r="AT19" s="4123"/>
      <c r="AU19" s="4123"/>
      <c r="AV19" s="4123"/>
      <c r="AW19" s="4123"/>
      <c r="AX19" s="4123"/>
      <c r="AY19" s="4123"/>
      <c r="AZ19" s="4123"/>
      <c r="BA19" s="4123"/>
      <c r="BB19" s="4123"/>
      <c r="BC19" s="4123"/>
      <c r="BD19" s="4123"/>
      <c r="BE19" s="4123"/>
      <c r="BF19" s="4123"/>
      <c r="BG19" s="4123"/>
      <c r="BH19" s="4123"/>
      <c r="BI19" s="4123"/>
      <c r="BJ19" s="2852"/>
      <c r="BK19" s="4123"/>
      <c r="BL19" s="4123"/>
      <c r="BM19" s="4125"/>
      <c r="BN19" s="4125"/>
      <c r="BO19" s="4125"/>
      <c r="BP19" s="4125"/>
      <c r="BQ19" s="4123"/>
    </row>
    <row r="20" spans="1:69" s="1815" customFormat="1" ht="57.75" customHeight="1" x14ac:dyDescent="0.2">
      <c r="A20" s="1809"/>
      <c r="B20" s="1810"/>
      <c r="C20" s="1811"/>
      <c r="D20" s="1812"/>
      <c r="E20" s="1812"/>
      <c r="F20" s="1811"/>
      <c r="G20" s="1809"/>
      <c r="H20" s="1812"/>
      <c r="I20" s="1811"/>
      <c r="J20" s="4153">
        <v>128</v>
      </c>
      <c r="K20" s="4135" t="s">
        <v>1439</v>
      </c>
      <c r="L20" s="4135" t="s">
        <v>1440</v>
      </c>
      <c r="M20" s="4122">
        <v>1</v>
      </c>
      <c r="N20" s="4123"/>
      <c r="O20" s="4123"/>
      <c r="P20" s="4136"/>
      <c r="Q20" s="4132">
        <f>+(V20+V21+V22+V23+V24)/R13</f>
        <v>0.30769230769230771</v>
      </c>
      <c r="R20" s="2908"/>
      <c r="S20" s="4136"/>
      <c r="T20" s="4135" t="s">
        <v>1441</v>
      </c>
      <c r="U20" s="162" t="s">
        <v>1442</v>
      </c>
      <c r="V20" s="1625">
        <v>8000000</v>
      </c>
      <c r="W20" s="1625">
        <v>0</v>
      </c>
      <c r="X20" s="1625">
        <v>0</v>
      </c>
      <c r="Y20" s="1816">
        <v>61</v>
      </c>
      <c r="Z20" s="4123"/>
      <c r="AA20" s="4123"/>
      <c r="AB20" s="4123"/>
      <c r="AC20" s="4123"/>
      <c r="AD20" s="4123"/>
      <c r="AE20" s="4123"/>
      <c r="AF20" s="4123"/>
      <c r="AG20" s="4123"/>
      <c r="AH20" s="4123"/>
      <c r="AI20" s="4123"/>
      <c r="AJ20" s="4123"/>
      <c r="AK20" s="4123"/>
      <c r="AL20" s="4123"/>
      <c r="AM20" s="4123"/>
      <c r="AN20" s="4123"/>
      <c r="AO20" s="4123"/>
      <c r="AP20" s="4123"/>
      <c r="AQ20" s="4123"/>
      <c r="AR20" s="4123"/>
      <c r="AS20" s="4123"/>
      <c r="AT20" s="4123"/>
      <c r="AU20" s="4123"/>
      <c r="AV20" s="4123"/>
      <c r="AW20" s="4123"/>
      <c r="AX20" s="4123"/>
      <c r="AY20" s="4123"/>
      <c r="AZ20" s="4123"/>
      <c r="BA20" s="4123"/>
      <c r="BB20" s="4123"/>
      <c r="BC20" s="4123"/>
      <c r="BD20" s="4123"/>
      <c r="BE20" s="4123"/>
      <c r="BF20" s="4123"/>
      <c r="BG20" s="4123"/>
      <c r="BH20" s="4123"/>
      <c r="BI20" s="4123"/>
      <c r="BJ20" s="2852"/>
      <c r="BK20" s="4123"/>
      <c r="BL20" s="4123"/>
      <c r="BM20" s="4125"/>
      <c r="BN20" s="4125"/>
      <c r="BO20" s="4125"/>
      <c r="BP20" s="4125"/>
      <c r="BQ20" s="4123"/>
    </row>
    <row r="21" spans="1:69" s="1815" customFormat="1" ht="81" customHeight="1" x14ac:dyDescent="0.2">
      <c r="A21" s="1809"/>
      <c r="B21" s="1810"/>
      <c r="C21" s="1811"/>
      <c r="D21" s="1812"/>
      <c r="E21" s="1812"/>
      <c r="F21" s="1811"/>
      <c r="G21" s="1809"/>
      <c r="H21" s="1812"/>
      <c r="I21" s="1811"/>
      <c r="J21" s="4154"/>
      <c r="K21" s="4136"/>
      <c r="L21" s="4136"/>
      <c r="M21" s="4123"/>
      <c r="N21" s="4123"/>
      <c r="O21" s="4123"/>
      <c r="P21" s="4136"/>
      <c r="Q21" s="4133"/>
      <c r="R21" s="2908"/>
      <c r="S21" s="4136"/>
      <c r="T21" s="4136"/>
      <c r="U21" s="162" t="s">
        <v>1443</v>
      </c>
      <c r="V21" s="1625">
        <v>8000000</v>
      </c>
      <c r="W21" s="1625">
        <v>0</v>
      </c>
      <c r="X21" s="1625">
        <v>0</v>
      </c>
      <c r="Y21" s="1816">
        <v>61</v>
      </c>
      <c r="Z21" s="4123"/>
      <c r="AA21" s="4123"/>
      <c r="AB21" s="4123"/>
      <c r="AC21" s="4123"/>
      <c r="AD21" s="4123"/>
      <c r="AE21" s="4123"/>
      <c r="AF21" s="4123"/>
      <c r="AG21" s="4123"/>
      <c r="AH21" s="4123"/>
      <c r="AI21" s="4123"/>
      <c r="AJ21" s="4123"/>
      <c r="AK21" s="4123"/>
      <c r="AL21" s="4123"/>
      <c r="AM21" s="4123"/>
      <c r="AN21" s="4123"/>
      <c r="AO21" s="4123"/>
      <c r="AP21" s="4123"/>
      <c r="AQ21" s="4123"/>
      <c r="AR21" s="4123"/>
      <c r="AS21" s="4123"/>
      <c r="AT21" s="4123"/>
      <c r="AU21" s="4123"/>
      <c r="AV21" s="4123"/>
      <c r="AW21" s="4123"/>
      <c r="AX21" s="4123"/>
      <c r="AY21" s="4123"/>
      <c r="AZ21" s="4123"/>
      <c r="BA21" s="4123"/>
      <c r="BB21" s="4123"/>
      <c r="BC21" s="4123"/>
      <c r="BD21" s="4123"/>
      <c r="BE21" s="4123"/>
      <c r="BF21" s="4123"/>
      <c r="BG21" s="4123"/>
      <c r="BH21" s="4123"/>
      <c r="BI21" s="4123"/>
      <c r="BJ21" s="2852"/>
      <c r="BK21" s="4123"/>
      <c r="BL21" s="4123"/>
      <c r="BM21" s="4125"/>
      <c r="BN21" s="4125"/>
      <c r="BO21" s="4125"/>
      <c r="BP21" s="4125"/>
      <c r="BQ21" s="4123"/>
    </row>
    <row r="22" spans="1:69" s="1815" customFormat="1" ht="61.5" customHeight="1" x14ac:dyDescent="0.2">
      <c r="A22" s="1809"/>
      <c r="B22" s="1810"/>
      <c r="C22" s="1811"/>
      <c r="D22" s="1812"/>
      <c r="E22" s="1812"/>
      <c r="F22" s="1811"/>
      <c r="G22" s="1809"/>
      <c r="H22" s="1812"/>
      <c r="I22" s="1811"/>
      <c r="J22" s="4154"/>
      <c r="K22" s="4136"/>
      <c r="L22" s="4136"/>
      <c r="M22" s="4123"/>
      <c r="N22" s="4123"/>
      <c r="O22" s="4123"/>
      <c r="P22" s="4136"/>
      <c r="Q22" s="4133"/>
      <c r="R22" s="2908"/>
      <c r="S22" s="4136"/>
      <c r="T22" s="4136"/>
      <c r="U22" s="162" t="s">
        <v>1444</v>
      </c>
      <c r="V22" s="1625">
        <v>8000000</v>
      </c>
      <c r="W22" s="1625">
        <v>0</v>
      </c>
      <c r="X22" s="1625">
        <v>0</v>
      </c>
      <c r="Y22" s="1816">
        <v>61</v>
      </c>
      <c r="Z22" s="4123"/>
      <c r="AA22" s="4123"/>
      <c r="AB22" s="4123"/>
      <c r="AC22" s="4123"/>
      <c r="AD22" s="4123"/>
      <c r="AE22" s="4123"/>
      <c r="AF22" s="4123"/>
      <c r="AG22" s="4123"/>
      <c r="AH22" s="4123"/>
      <c r="AI22" s="4123"/>
      <c r="AJ22" s="4123"/>
      <c r="AK22" s="4123"/>
      <c r="AL22" s="4123"/>
      <c r="AM22" s="4123"/>
      <c r="AN22" s="4123"/>
      <c r="AO22" s="4123"/>
      <c r="AP22" s="4123"/>
      <c r="AQ22" s="4123"/>
      <c r="AR22" s="4123"/>
      <c r="AS22" s="4123"/>
      <c r="AT22" s="4123"/>
      <c r="AU22" s="4123"/>
      <c r="AV22" s="4123"/>
      <c r="AW22" s="4123"/>
      <c r="AX22" s="4123"/>
      <c r="AY22" s="4123"/>
      <c r="AZ22" s="4123"/>
      <c r="BA22" s="4123"/>
      <c r="BB22" s="4123"/>
      <c r="BC22" s="4123"/>
      <c r="BD22" s="4123"/>
      <c r="BE22" s="4123"/>
      <c r="BF22" s="4123"/>
      <c r="BG22" s="4123"/>
      <c r="BH22" s="4123"/>
      <c r="BI22" s="4123"/>
      <c r="BJ22" s="2852"/>
      <c r="BK22" s="4123"/>
      <c r="BL22" s="4123"/>
      <c r="BM22" s="4125"/>
      <c r="BN22" s="4125"/>
      <c r="BO22" s="4125"/>
      <c r="BP22" s="4125"/>
      <c r="BQ22" s="4123"/>
    </row>
    <row r="23" spans="1:69" s="1815" customFormat="1" ht="48" customHeight="1" x14ac:dyDescent="0.2">
      <c r="A23" s="1809"/>
      <c r="B23" s="1810"/>
      <c r="C23" s="1811"/>
      <c r="D23" s="1812"/>
      <c r="E23" s="1812"/>
      <c r="F23" s="1811"/>
      <c r="G23" s="1809"/>
      <c r="H23" s="1812"/>
      <c r="I23" s="1811"/>
      <c r="J23" s="4154"/>
      <c r="K23" s="4136"/>
      <c r="L23" s="4136"/>
      <c r="M23" s="4123"/>
      <c r="N23" s="4123"/>
      <c r="O23" s="4123"/>
      <c r="P23" s="4136"/>
      <c r="Q23" s="4133"/>
      <c r="R23" s="2908"/>
      <c r="S23" s="4136"/>
      <c r="T23" s="4136"/>
      <c r="U23" s="162" t="s">
        <v>1445</v>
      </c>
      <c r="V23" s="1625">
        <v>8000000</v>
      </c>
      <c r="W23" s="1625">
        <v>0</v>
      </c>
      <c r="X23" s="1625">
        <v>0</v>
      </c>
      <c r="Y23" s="1816">
        <v>61</v>
      </c>
      <c r="Z23" s="4123"/>
      <c r="AA23" s="4123"/>
      <c r="AB23" s="4123"/>
      <c r="AC23" s="4123"/>
      <c r="AD23" s="4123"/>
      <c r="AE23" s="4123"/>
      <c r="AF23" s="4123"/>
      <c r="AG23" s="4123"/>
      <c r="AH23" s="4123"/>
      <c r="AI23" s="4123"/>
      <c r="AJ23" s="4123"/>
      <c r="AK23" s="4123"/>
      <c r="AL23" s="4123"/>
      <c r="AM23" s="4123"/>
      <c r="AN23" s="4123"/>
      <c r="AO23" s="4123"/>
      <c r="AP23" s="4123"/>
      <c r="AQ23" s="4123"/>
      <c r="AR23" s="4123"/>
      <c r="AS23" s="4123"/>
      <c r="AT23" s="4123"/>
      <c r="AU23" s="4123"/>
      <c r="AV23" s="4123"/>
      <c r="AW23" s="4123"/>
      <c r="AX23" s="4123"/>
      <c r="AY23" s="4123"/>
      <c r="AZ23" s="4123"/>
      <c r="BA23" s="4123"/>
      <c r="BB23" s="4123"/>
      <c r="BC23" s="4123"/>
      <c r="BD23" s="4123"/>
      <c r="BE23" s="4123"/>
      <c r="BF23" s="4123"/>
      <c r="BG23" s="4123"/>
      <c r="BH23" s="4123"/>
      <c r="BI23" s="4123"/>
      <c r="BJ23" s="2852"/>
      <c r="BK23" s="4123"/>
      <c r="BL23" s="4123"/>
      <c r="BM23" s="4125"/>
      <c r="BN23" s="4125"/>
      <c r="BO23" s="4125"/>
      <c r="BP23" s="4125"/>
      <c r="BQ23" s="4123"/>
    </row>
    <row r="24" spans="1:69" s="1815" customFormat="1" ht="63" customHeight="1" x14ac:dyDescent="0.2">
      <c r="A24" s="1809"/>
      <c r="B24" s="1810"/>
      <c r="C24" s="1811"/>
      <c r="D24" s="1812"/>
      <c r="E24" s="1812"/>
      <c r="F24" s="1811"/>
      <c r="G24" s="1809"/>
      <c r="H24" s="1812"/>
      <c r="I24" s="1811"/>
      <c r="J24" s="4154"/>
      <c r="K24" s="4136"/>
      <c r="L24" s="4136"/>
      <c r="M24" s="4123"/>
      <c r="N24" s="4123"/>
      <c r="O24" s="4123"/>
      <c r="P24" s="4136"/>
      <c r="Q24" s="4133"/>
      <c r="R24" s="2908"/>
      <c r="S24" s="4136"/>
      <c r="T24" s="4136"/>
      <c r="U24" s="162" t="s">
        <v>1446</v>
      </c>
      <c r="V24" s="1625">
        <v>8000000</v>
      </c>
      <c r="W24" s="1625">
        <v>0</v>
      </c>
      <c r="X24" s="1625">
        <v>0</v>
      </c>
      <c r="Y24" s="1816">
        <v>61</v>
      </c>
      <c r="Z24" s="4123"/>
      <c r="AA24" s="4123"/>
      <c r="AB24" s="4123"/>
      <c r="AC24" s="4123"/>
      <c r="AD24" s="4123"/>
      <c r="AE24" s="4123"/>
      <c r="AF24" s="4123"/>
      <c r="AG24" s="4123"/>
      <c r="AH24" s="4123"/>
      <c r="AI24" s="4123"/>
      <c r="AJ24" s="4123"/>
      <c r="AK24" s="4123"/>
      <c r="AL24" s="4123"/>
      <c r="AM24" s="4123"/>
      <c r="AN24" s="4123"/>
      <c r="AO24" s="4123"/>
      <c r="AP24" s="4123"/>
      <c r="AQ24" s="4123"/>
      <c r="AR24" s="4123"/>
      <c r="AS24" s="4123"/>
      <c r="AT24" s="4123"/>
      <c r="AU24" s="4123"/>
      <c r="AV24" s="4123"/>
      <c r="AW24" s="4123"/>
      <c r="AX24" s="4123"/>
      <c r="AY24" s="4123"/>
      <c r="AZ24" s="4123"/>
      <c r="BA24" s="4123"/>
      <c r="BB24" s="4123"/>
      <c r="BC24" s="4123"/>
      <c r="BD24" s="4123"/>
      <c r="BE24" s="4123"/>
      <c r="BF24" s="4123"/>
      <c r="BG24" s="4123"/>
      <c r="BH24" s="4123"/>
      <c r="BI24" s="4123"/>
      <c r="BJ24" s="2852"/>
      <c r="BK24" s="4123"/>
      <c r="BL24" s="4123"/>
      <c r="BM24" s="4125"/>
      <c r="BN24" s="4125"/>
      <c r="BO24" s="4125"/>
      <c r="BP24" s="4125"/>
      <c r="BQ24" s="4123"/>
    </row>
    <row r="25" spans="1:69" s="1815" customFormat="1" ht="74.25" customHeight="1" x14ac:dyDescent="0.2">
      <c r="A25" s="1809"/>
      <c r="B25" s="1810"/>
      <c r="C25" s="1811"/>
      <c r="D25" s="1812"/>
      <c r="E25" s="1812"/>
      <c r="F25" s="1811"/>
      <c r="G25" s="1809"/>
      <c r="H25" s="1812"/>
      <c r="I25" s="1811"/>
      <c r="J25" s="4138">
        <v>129</v>
      </c>
      <c r="K25" s="4135" t="s">
        <v>1447</v>
      </c>
      <c r="L25" s="4135" t="s">
        <v>1448</v>
      </c>
      <c r="M25" s="4122">
        <v>6</v>
      </c>
      <c r="N25" s="4123"/>
      <c r="O25" s="4123"/>
      <c r="P25" s="4136"/>
      <c r="Q25" s="4132">
        <f>+(V25+V26+V27+V28+V29+V31+V30)/R13</f>
        <v>0.46153846153846156</v>
      </c>
      <c r="R25" s="2908"/>
      <c r="S25" s="4136"/>
      <c r="T25" s="4135" t="s">
        <v>1449</v>
      </c>
      <c r="U25" s="162" t="s">
        <v>1450</v>
      </c>
      <c r="V25" s="1625">
        <v>5143200</v>
      </c>
      <c r="W25" s="1625">
        <v>0</v>
      </c>
      <c r="X25" s="1625">
        <v>0</v>
      </c>
      <c r="Y25" s="1816">
        <v>61</v>
      </c>
      <c r="Z25" s="4123"/>
      <c r="AA25" s="4123"/>
      <c r="AB25" s="4123"/>
      <c r="AC25" s="4123"/>
      <c r="AD25" s="4123"/>
      <c r="AE25" s="4123"/>
      <c r="AF25" s="4123"/>
      <c r="AG25" s="4123"/>
      <c r="AH25" s="4123"/>
      <c r="AI25" s="4123"/>
      <c r="AJ25" s="4123"/>
      <c r="AK25" s="4123"/>
      <c r="AL25" s="4123"/>
      <c r="AM25" s="4123"/>
      <c r="AN25" s="4123"/>
      <c r="AO25" s="4123"/>
      <c r="AP25" s="4123"/>
      <c r="AQ25" s="4123"/>
      <c r="AR25" s="4123"/>
      <c r="AS25" s="4123"/>
      <c r="AT25" s="4123"/>
      <c r="AU25" s="4123"/>
      <c r="AV25" s="4123"/>
      <c r="AW25" s="4123"/>
      <c r="AX25" s="4123"/>
      <c r="AY25" s="4123"/>
      <c r="AZ25" s="4123"/>
      <c r="BA25" s="4123"/>
      <c r="BB25" s="4123"/>
      <c r="BC25" s="4123"/>
      <c r="BD25" s="4123"/>
      <c r="BE25" s="4123"/>
      <c r="BF25" s="4123"/>
      <c r="BG25" s="4123"/>
      <c r="BH25" s="4123"/>
      <c r="BI25" s="4123"/>
      <c r="BJ25" s="2852"/>
      <c r="BK25" s="4123"/>
      <c r="BL25" s="4123"/>
      <c r="BM25" s="4125"/>
      <c r="BN25" s="4125"/>
      <c r="BO25" s="4125"/>
      <c r="BP25" s="4125"/>
      <c r="BQ25" s="4123"/>
    </row>
    <row r="26" spans="1:69" s="1815" customFormat="1" ht="74.25" customHeight="1" x14ac:dyDescent="0.2">
      <c r="A26" s="1809"/>
      <c r="B26" s="1810"/>
      <c r="C26" s="1811"/>
      <c r="D26" s="1812"/>
      <c r="E26" s="1812"/>
      <c r="F26" s="1811"/>
      <c r="G26" s="1809"/>
      <c r="H26" s="1812"/>
      <c r="I26" s="1811"/>
      <c r="J26" s="4138"/>
      <c r="K26" s="4136"/>
      <c r="L26" s="4136"/>
      <c r="M26" s="4123"/>
      <c r="N26" s="4123"/>
      <c r="O26" s="4123"/>
      <c r="P26" s="4136"/>
      <c r="Q26" s="4133"/>
      <c r="R26" s="2908"/>
      <c r="S26" s="4136"/>
      <c r="T26" s="4136"/>
      <c r="U26" s="162" t="s">
        <v>1451</v>
      </c>
      <c r="V26" s="1625">
        <v>5143200</v>
      </c>
      <c r="W26" s="1625">
        <v>0</v>
      </c>
      <c r="X26" s="1625">
        <v>0</v>
      </c>
      <c r="Y26" s="1816">
        <v>61</v>
      </c>
      <c r="Z26" s="4123"/>
      <c r="AA26" s="4123"/>
      <c r="AB26" s="4123"/>
      <c r="AC26" s="4123"/>
      <c r="AD26" s="4123"/>
      <c r="AE26" s="4123"/>
      <c r="AF26" s="4123"/>
      <c r="AG26" s="4123"/>
      <c r="AH26" s="4123"/>
      <c r="AI26" s="4123"/>
      <c r="AJ26" s="4123"/>
      <c r="AK26" s="4123"/>
      <c r="AL26" s="4123"/>
      <c r="AM26" s="4123"/>
      <c r="AN26" s="4123"/>
      <c r="AO26" s="4123"/>
      <c r="AP26" s="4123"/>
      <c r="AQ26" s="4123"/>
      <c r="AR26" s="4123"/>
      <c r="AS26" s="4123"/>
      <c r="AT26" s="4123"/>
      <c r="AU26" s="4123"/>
      <c r="AV26" s="4123"/>
      <c r="AW26" s="4123"/>
      <c r="AX26" s="4123"/>
      <c r="AY26" s="4123"/>
      <c r="AZ26" s="4123"/>
      <c r="BA26" s="4123"/>
      <c r="BB26" s="4123"/>
      <c r="BC26" s="4123"/>
      <c r="BD26" s="4123"/>
      <c r="BE26" s="4123"/>
      <c r="BF26" s="4123"/>
      <c r="BG26" s="4123"/>
      <c r="BH26" s="4123"/>
      <c r="BI26" s="4123"/>
      <c r="BJ26" s="2852"/>
      <c r="BK26" s="4123"/>
      <c r="BL26" s="4123"/>
      <c r="BM26" s="4125"/>
      <c r="BN26" s="4125"/>
      <c r="BO26" s="4125"/>
      <c r="BP26" s="4125"/>
      <c r="BQ26" s="4123"/>
    </row>
    <row r="27" spans="1:69" s="1815" customFormat="1" ht="74.25" customHeight="1" x14ac:dyDescent="0.2">
      <c r="A27" s="1809"/>
      <c r="B27" s="1810"/>
      <c r="C27" s="1811"/>
      <c r="D27" s="1812"/>
      <c r="E27" s="1812"/>
      <c r="F27" s="1811"/>
      <c r="G27" s="1809"/>
      <c r="H27" s="1812"/>
      <c r="I27" s="1811"/>
      <c r="J27" s="4138"/>
      <c r="K27" s="4136"/>
      <c r="L27" s="4136"/>
      <c r="M27" s="4123"/>
      <c r="N27" s="4123"/>
      <c r="O27" s="4123"/>
      <c r="P27" s="4136"/>
      <c r="Q27" s="4133"/>
      <c r="R27" s="2908"/>
      <c r="S27" s="4136"/>
      <c r="T27" s="4136"/>
      <c r="U27" s="162" t="s">
        <v>1452</v>
      </c>
      <c r="V27" s="1625">
        <v>5143200</v>
      </c>
      <c r="W27" s="1625">
        <v>0</v>
      </c>
      <c r="X27" s="1625">
        <v>0</v>
      </c>
      <c r="Y27" s="1816">
        <v>61</v>
      </c>
      <c r="Z27" s="4123"/>
      <c r="AA27" s="4123"/>
      <c r="AB27" s="4123"/>
      <c r="AC27" s="4123"/>
      <c r="AD27" s="4123"/>
      <c r="AE27" s="4123"/>
      <c r="AF27" s="4123"/>
      <c r="AG27" s="4123"/>
      <c r="AH27" s="4123"/>
      <c r="AI27" s="4123"/>
      <c r="AJ27" s="4123"/>
      <c r="AK27" s="4123"/>
      <c r="AL27" s="4123"/>
      <c r="AM27" s="4123"/>
      <c r="AN27" s="4123"/>
      <c r="AO27" s="4123"/>
      <c r="AP27" s="4123"/>
      <c r="AQ27" s="4123"/>
      <c r="AR27" s="4123"/>
      <c r="AS27" s="4123"/>
      <c r="AT27" s="4123"/>
      <c r="AU27" s="4123"/>
      <c r="AV27" s="4123"/>
      <c r="AW27" s="4123"/>
      <c r="AX27" s="4123"/>
      <c r="AY27" s="4123"/>
      <c r="AZ27" s="4123"/>
      <c r="BA27" s="4123"/>
      <c r="BB27" s="4123"/>
      <c r="BC27" s="4123"/>
      <c r="BD27" s="4123"/>
      <c r="BE27" s="4123"/>
      <c r="BF27" s="4123"/>
      <c r="BG27" s="4123"/>
      <c r="BH27" s="4123"/>
      <c r="BI27" s="4123"/>
      <c r="BJ27" s="2852"/>
      <c r="BK27" s="4123"/>
      <c r="BL27" s="4123"/>
      <c r="BM27" s="4125"/>
      <c r="BN27" s="4125"/>
      <c r="BO27" s="4125"/>
      <c r="BP27" s="4125"/>
      <c r="BQ27" s="4123"/>
    </row>
    <row r="28" spans="1:69" s="1815" customFormat="1" ht="74.25" customHeight="1" x14ac:dyDescent="0.2">
      <c r="A28" s="1809"/>
      <c r="B28" s="1810"/>
      <c r="C28" s="1811"/>
      <c r="D28" s="1812"/>
      <c r="E28" s="1812"/>
      <c r="F28" s="1811"/>
      <c r="G28" s="1809"/>
      <c r="H28" s="1812"/>
      <c r="I28" s="1811"/>
      <c r="J28" s="4138"/>
      <c r="K28" s="4136"/>
      <c r="L28" s="4136"/>
      <c r="M28" s="4123"/>
      <c r="N28" s="4123"/>
      <c r="O28" s="4123"/>
      <c r="P28" s="4136"/>
      <c r="Q28" s="4133"/>
      <c r="R28" s="2908"/>
      <c r="S28" s="4136"/>
      <c r="T28" s="4136"/>
      <c r="U28" s="162" t="s">
        <v>1453</v>
      </c>
      <c r="V28" s="1625">
        <v>24000000</v>
      </c>
      <c r="W28" s="1625">
        <v>0</v>
      </c>
      <c r="X28" s="1625">
        <v>0</v>
      </c>
      <c r="Y28" s="1816">
        <v>61</v>
      </c>
      <c r="Z28" s="4123"/>
      <c r="AA28" s="4123"/>
      <c r="AB28" s="4123"/>
      <c r="AC28" s="4123"/>
      <c r="AD28" s="4123"/>
      <c r="AE28" s="4123"/>
      <c r="AF28" s="4123"/>
      <c r="AG28" s="4123"/>
      <c r="AH28" s="4123"/>
      <c r="AI28" s="4123"/>
      <c r="AJ28" s="4123"/>
      <c r="AK28" s="4123"/>
      <c r="AL28" s="4123"/>
      <c r="AM28" s="4123"/>
      <c r="AN28" s="4123"/>
      <c r="AO28" s="4123"/>
      <c r="AP28" s="4123"/>
      <c r="AQ28" s="4123"/>
      <c r="AR28" s="4123"/>
      <c r="AS28" s="4123"/>
      <c r="AT28" s="4123"/>
      <c r="AU28" s="4123"/>
      <c r="AV28" s="4123"/>
      <c r="AW28" s="4123"/>
      <c r="AX28" s="4123"/>
      <c r="AY28" s="4123"/>
      <c r="AZ28" s="4123"/>
      <c r="BA28" s="4123"/>
      <c r="BB28" s="4123"/>
      <c r="BC28" s="4123"/>
      <c r="BD28" s="4123"/>
      <c r="BE28" s="4123"/>
      <c r="BF28" s="4123"/>
      <c r="BG28" s="4123"/>
      <c r="BH28" s="4123"/>
      <c r="BI28" s="4123"/>
      <c r="BJ28" s="2852"/>
      <c r="BK28" s="4123"/>
      <c r="BL28" s="4123"/>
      <c r="BM28" s="4125"/>
      <c r="BN28" s="4125"/>
      <c r="BO28" s="4125"/>
      <c r="BP28" s="4125"/>
      <c r="BQ28" s="4123"/>
    </row>
    <row r="29" spans="1:69" s="1815" customFormat="1" ht="54.75" customHeight="1" x14ac:dyDescent="0.2">
      <c r="A29" s="1809"/>
      <c r="B29" s="1810"/>
      <c r="C29" s="1811"/>
      <c r="D29" s="1812"/>
      <c r="E29" s="1812"/>
      <c r="F29" s="1811"/>
      <c r="G29" s="1809"/>
      <c r="H29" s="1812"/>
      <c r="I29" s="1811"/>
      <c r="J29" s="4138"/>
      <c r="K29" s="4136"/>
      <c r="L29" s="4136"/>
      <c r="M29" s="4123"/>
      <c r="N29" s="4123"/>
      <c r="O29" s="4123"/>
      <c r="P29" s="4136"/>
      <c r="Q29" s="4133"/>
      <c r="R29" s="2908"/>
      <c r="S29" s="4136"/>
      <c r="T29" s="4136"/>
      <c r="U29" s="162" t="s">
        <v>1454</v>
      </c>
      <c r="V29" s="1625">
        <v>5143200</v>
      </c>
      <c r="W29" s="1625">
        <v>0</v>
      </c>
      <c r="X29" s="1625">
        <v>0</v>
      </c>
      <c r="Y29" s="1816">
        <v>61</v>
      </c>
      <c r="Z29" s="4123"/>
      <c r="AA29" s="4123"/>
      <c r="AB29" s="4123"/>
      <c r="AC29" s="4123"/>
      <c r="AD29" s="4123"/>
      <c r="AE29" s="4123"/>
      <c r="AF29" s="4123"/>
      <c r="AG29" s="4123"/>
      <c r="AH29" s="4123"/>
      <c r="AI29" s="4123"/>
      <c r="AJ29" s="4123"/>
      <c r="AK29" s="4123"/>
      <c r="AL29" s="4123"/>
      <c r="AM29" s="4123"/>
      <c r="AN29" s="4123"/>
      <c r="AO29" s="4123"/>
      <c r="AP29" s="4123"/>
      <c r="AQ29" s="4123"/>
      <c r="AR29" s="4123"/>
      <c r="AS29" s="4123"/>
      <c r="AT29" s="4123"/>
      <c r="AU29" s="4123"/>
      <c r="AV29" s="4123"/>
      <c r="AW29" s="4123"/>
      <c r="AX29" s="4123"/>
      <c r="AY29" s="4123"/>
      <c r="AZ29" s="4123"/>
      <c r="BA29" s="4123"/>
      <c r="BB29" s="4123"/>
      <c r="BC29" s="4123"/>
      <c r="BD29" s="4123"/>
      <c r="BE29" s="4123"/>
      <c r="BF29" s="4123"/>
      <c r="BG29" s="4123"/>
      <c r="BH29" s="4123"/>
      <c r="BI29" s="4123"/>
      <c r="BJ29" s="2852"/>
      <c r="BK29" s="4123"/>
      <c r="BL29" s="4123"/>
      <c r="BM29" s="4125"/>
      <c r="BN29" s="4125"/>
      <c r="BO29" s="4125"/>
      <c r="BP29" s="4125"/>
      <c r="BQ29" s="4123"/>
    </row>
    <row r="30" spans="1:69" s="1815" customFormat="1" ht="51.75" customHeight="1" x14ac:dyDescent="0.2">
      <c r="A30" s="1809"/>
      <c r="B30" s="1810"/>
      <c r="C30" s="1811"/>
      <c r="D30" s="1812"/>
      <c r="E30" s="1812"/>
      <c r="F30" s="1811"/>
      <c r="G30" s="1809"/>
      <c r="H30" s="1812"/>
      <c r="I30" s="1811"/>
      <c r="J30" s="4138"/>
      <c r="K30" s="4136"/>
      <c r="L30" s="4136"/>
      <c r="M30" s="4123"/>
      <c r="N30" s="4123"/>
      <c r="O30" s="4123"/>
      <c r="P30" s="4136"/>
      <c r="Q30" s="4133"/>
      <c r="R30" s="2908"/>
      <c r="S30" s="4136"/>
      <c r="T30" s="4136"/>
      <c r="U30" s="162" t="s">
        <v>1455</v>
      </c>
      <c r="V30" s="1625">
        <v>5143200</v>
      </c>
      <c r="W30" s="1625">
        <v>0</v>
      </c>
      <c r="X30" s="1625">
        <v>0</v>
      </c>
      <c r="Y30" s="1816">
        <v>61</v>
      </c>
      <c r="Z30" s="4123"/>
      <c r="AA30" s="4123"/>
      <c r="AB30" s="4123"/>
      <c r="AC30" s="4123"/>
      <c r="AD30" s="4123"/>
      <c r="AE30" s="4123"/>
      <c r="AF30" s="4123"/>
      <c r="AG30" s="4123"/>
      <c r="AH30" s="4123"/>
      <c r="AI30" s="4123"/>
      <c r="AJ30" s="4123"/>
      <c r="AK30" s="4123"/>
      <c r="AL30" s="4123"/>
      <c r="AM30" s="4123"/>
      <c r="AN30" s="4123"/>
      <c r="AO30" s="4123"/>
      <c r="AP30" s="4123"/>
      <c r="AQ30" s="4123"/>
      <c r="AR30" s="4123"/>
      <c r="AS30" s="4123"/>
      <c r="AT30" s="4123"/>
      <c r="AU30" s="4123"/>
      <c r="AV30" s="4123"/>
      <c r="AW30" s="4123"/>
      <c r="AX30" s="4123"/>
      <c r="AY30" s="4123"/>
      <c r="AZ30" s="4123"/>
      <c r="BA30" s="4123"/>
      <c r="BB30" s="4123"/>
      <c r="BC30" s="4123"/>
      <c r="BD30" s="4123"/>
      <c r="BE30" s="4123"/>
      <c r="BF30" s="4123"/>
      <c r="BG30" s="4123"/>
      <c r="BH30" s="4123"/>
      <c r="BI30" s="4123"/>
      <c r="BJ30" s="2852"/>
      <c r="BK30" s="4123"/>
      <c r="BL30" s="4123"/>
      <c r="BM30" s="4125"/>
      <c r="BN30" s="4125"/>
      <c r="BO30" s="4125"/>
      <c r="BP30" s="4125"/>
      <c r="BQ30" s="4123"/>
    </row>
    <row r="31" spans="1:69" s="1815" customFormat="1" ht="39" customHeight="1" x14ac:dyDescent="0.2">
      <c r="A31" s="1809"/>
      <c r="B31" s="1810"/>
      <c r="C31" s="1811"/>
      <c r="D31" s="1817"/>
      <c r="E31" s="1817"/>
      <c r="F31" s="1818"/>
      <c r="G31" s="1819"/>
      <c r="H31" s="1817"/>
      <c r="I31" s="1818"/>
      <c r="J31" s="4138"/>
      <c r="K31" s="4137"/>
      <c r="L31" s="4137"/>
      <c r="M31" s="4171"/>
      <c r="N31" s="4171"/>
      <c r="O31" s="4171"/>
      <c r="P31" s="4137"/>
      <c r="Q31" s="4175"/>
      <c r="R31" s="2909"/>
      <c r="S31" s="4137"/>
      <c r="T31" s="4137"/>
      <c r="U31" s="162" t="s">
        <v>1456</v>
      </c>
      <c r="V31" s="1625">
        <v>10284000</v>
      </c>
      <c r="W31" s="1625">
        <v>0</v>
      </c>
      <c r="X31" s="1625">
        <v>0</v>
      </c>
      <c r="Y31" s="1816">
        <v>61</v>
      </c>
      <c r="Z31" s="4171"/>
      <c r="AA31" s="4171"/>
      <c r="AB31" s="4171"/>
      <c r="AC31" s="4171"/>
      <c r="AD31" s="4171"/>
      <c r="AE31" s="4171"/>
      <c r="AF31" s="4171"/>
      <c r="AG31" s="4171"/>
      <c r="AH31" s="4171"/>
      <c r="AI31" s="4171"/>
      <c r="AJ31" s="4171"/>
      <c r="AK31" s="4171"/>
      <c r="AL31" s="4171"/>
      <c r="AM31" s="4171"/>
      <c r="AN31" s="4171"/>
      <c r="AO31" s="4171"/>
      <c r="AP31" s="4171"/>
      <c r="AQ31" s="4171"/>
      <c r="AR31" s="4171"/>
      <c r="AS31" s="4171"/>
      <c r="AT31" s="4171"/>
      <c r="AU31" s="4171"/>
      <c r="AV31" s="4171"/>
      <c r="AW31" s="4171"/>
      <c r="AX31" s="4171"/>
      <c r="AY31" s="4171"/>
      <c r="AZ31" s="4171"/>
      <c r="BA31" s="4171"/>
      <c r="BB31" s="4171"/>
      <c r="BC31" s="4171"/>
      <c r="BD31" s="4171"/>
      <c r="BE31" s="4171"/>
      <c r="BF31" s="4171"/>
      <c r="BG31" s="4171"/>
      <c r="BH31" s="4171"/>
      <c r="BI31" s="4171"/>
      <c r="BJ31" s="2853"/>
      <c r="BK31" s="4171"/>
      <c r="BL31" s="4171"/>
      <c r="BM31" s="4165"/>
      <c r="BN31" s="4165"/>
      <c r="BO31" s="4165"/>
      <c r="BP31" s="4165"/>
      <c r="BQ31" s="4171"/>
    </row>
    <row r="32" spans="1:69" ht="15" x14ac:dyDescent="0.2">
      <c r="A32" s="1793"/>
      <c r="B32" s="1820"/>
      <c r="C32" s="1821"/>
      <c r="D32" s="1822">
        <v>12</v>
      </c>
      <c r="E32" s="1823" t="s">
        <v>1457</v>
      </c>
      <c r="F32" s="1824"/>
      <c r="G32" s="1825"/>
      <c r="H32" s="1825"/>
      <c r="I32" s="1825"/>
      <c r="J32" s="1825"/>
      <c r="K32" s="1826"/>
      <c r="L32" s="1826"/>
      <c r="M32" s="1825"/>
      <c r="N32" s="1827"/>
      <c r="O32" s="1825"/>
      <c r="P32" s="1826"/>
      <c r="Q32" s="1825"/>
      <c r="R32" s="1828"/>
      <c r="S32" s="1826"/>
      <c r="T32" s="1826"/>
      <c r="U32" s="1826"/>
      <c r="V32" s="1829"/>
      <c r="W32" s="1829"/>
      <c r="X32" s="1829"/>
      <c r="Y32" s="1830"/>
      <c r="Z32" s="1827"/>
      <c r="AA32" s="1827"/>
      <c r="AB32" s="1827"/>
      <c r="AC32" s="1827"/>
      <c r="AD32" s="1827"/>
      <c r="AE32" s="1827"/>
      <c r="AF32" s="1827"/>
      <c r="AG32" s="1827"/>
      <c r="AH32" s="1827"/>
      <c r="AI32" s="1827"/>
      <c r="AJ32" s="1827"/>
      <c r="AK32" s="1827"/>
      <c r="AL32" s="1827"/>
      <c r="AM32" s="1827"/>
      <c r="AN32" s="1827"/>
      <c r="AO32" s="1827"/>
      <c r="AP32" s="1827"/>
      <c r="AQ32" s="1827"/>
      <c r="AR32" s="1827"/>
      <c r="AS32" s="1827"/>
      <c r="AT32" s="1827"/>
      <c r="AU32" s="1827"/>
      <c r="AV32" s="1827"/>
      <c r="AW32" s="1827"/>
      <c r="AX32" s="1827"/>
      <c r="AY32" s="1827"/>
      <c r="AZ32" s="1827"/>
      <c r="BA32" s="1827"/>
      <c r="BB32" s="1827"/>
      <c r="BC32" s="1827"/>
      <c r="BD32" s="1827"/>
      <c r="BE32" s="1827"/>
      <c r="BF32" s="1827"/>
      <c r="BG32" s="1827"/>
      <c r="BH32" s="1827"/>
      <c r="BI32" s="1827"/>
      <c r="BJ32" s="1827"/>
      <c r="BK32" s="1827"/>
      <c r="BL32" s="1827"/>
      <c r="BM32" s="1831"/>
      <c r="BN32" s="1831"/>
      <c r="BO32" s="1831"/>
      <c r="BP32" s="1832"/>
      <c r="BQ32" s="1833"/>
    </row>
    <row r="33" spans="1:69" ht="15" x14ac:dyDescent="0.2">
      <c r="A33" s="1793"/>
      <c r="B33" s="1794"/>
      <c r="C33" s="1795"/>
      <c r="D33" s="1796"/>
      <c r="E33" s="1796"/>
      <c r="F33" s="1797"/>
      <c r="G33" s="1834">
        <v>36</v>
      </c>
      <c r="H33" s="1799" t="s">
        <v>1458</v>
      </c>
      <c r="I33" s="1799"/>
      <c r="J33" s="1799"/>
      <c r="K33" s="1800"/>
      <c r="L33" s="1800"/>
      <c r="M33" s="1799"/>
      <c r="N33" s="1801"/>
      <c r="O33" s="1799"/>
      <c r="P33" s="1800"/>
      <c r="Q33" s="1799"/>
      <c r="R33" s="1835"/>
      <c r="S33" s="1800"/>
      <c r="T33" s="1800"/>
      <c r="U33" s="1800"/>
      <c r="V33" s="1836"/>
      <c r="W33" s="1836"/>
      <c r="X33" s="1836"/>
      <c r="Y33" s="1837"/>
      <c r="Z33" s="1801"/>
      <c r="AA33" s="1801"/>
      <c r="AB33" s="1801"/>
      <c r="AC33" s="1801"/>
      <c r="AD33" s="1801"/>
      <c r="AE33" s="1801"/>
      <c r="AF33" s="1801"/>
      <c r="AG33" s="1801"/>
      <c r="AH33" s="1801"/>
      <c r="AI33" s="1801"/>
      <c r="AJ33" s="1801"/>
      <c r="AK33" s="1801"/>
      <c r="AL33" s="1801"/>
      <c r="AM33" s="1801"/>
      <c r="AN33" s="1801"/>
      <c r="AO33" s="1801"/>
      <c r="AP33" s="1801"/>
      <c r="AQ33" s="1801"/>
      <c r="AR33" s="1801"/>
      <c r="AS33" s="1801"/>
      <c r="AT33" s="1801"/>
      <c r="AU33" s="1801"/>
      <c r="AV33" s="1801"/>
      <c r="AW33" s="1801"/>
      <c r="AX33" s="1801"/>
      <c r="AY33" s="1801"/>
      <c r="AZ33" s="1801"/>
      <c r="BA33" s="1801"/>
      <c r="BB33" s="1801"/>
      <c r="BC33" s="1801"/>
      <c r="BD33" s="1801"/>
      <c r="BE33" s="1801"/>
      <c r="BF33" s="1801"/>
      <c r="BG33" s="1801"/>
      <c r="BH33" s="1801"/>
      <c r="BI33" s="1801"/>
      <c r="BJ33" s="1801"/>
      <c r="BK33" s="1801"/>
      <c r="BL33" s="1801"/>
      <c r="BM33" s="1838"/>
      <c r="BN33" s="1838"/>
      <c r="BO33" s="1838"/>
      <c r="BP33" s="1839"/>
      <c r="BQ33" s="1840"/>
    </row>
    <row r="34" spans="1:69" s="1815" customFormat="1" ht="95.25" customHeight="1" x14ac:dyDescent="0.2">
      <c r="A34" s="1809"/>
      <c r="B34" s="1810"/>
      <c r="C34" s="1811"/>
      <c r="D34" s="1812"/>
      <c r="E34" s="1812"/>
      <c r="F34" s="1811"/>
      <c r="G34" s="1841"/>
      <c r="H34" s="1842"/>
      <c r="I34" s="1843"/>
      <c r="J34" s="1844">
        <v>130</v>
      </c>
      <c r="K34" s="1845" t="s">
        <v>1459</v>
      </c>
      <c r="L34" s="1845" t="s">
        <v>1460</v>
      </c>
      <c r="M34" s="1846">
        <v>1</v>
      </c>
      <c r="N34" s="4122" t="s">
        <v>1461</v>
      </c>
      <c r="O34" s="4122">
        <v>133</v>
      </c>
      <c r="P34" s="4135" t="s">
        <v>1462</v>
      </c>
      <c r="Q34" s="1847">
        <f>(V34)/R34</f>
        <v>0.38095238095238093</v>
      </c>
      <c r="R34" s="4134">
        <f>SUM(V34:V37)</f>
        <v>210000000</v>
      </c>
      <c r="S34" s="4135" t="s">
        <v>1463</v>
      </c>
      <c r="T34" s="1845" t="s">
        <v>1464</v>
      </c>
      <c r="U34" s="162" t="s">
        <v>1465</v>
      </c>
      <c r="V34" s="1625">
        <v>80000000</v>
      </c>
      <c r="W34" s="1625">
        <v>11200000</v>
      </c>
      <c r="X34" s="1625">
        <v>2800000</v>
      </c>
      <c r="Y34" s="1816">
        <v>61</v>
      </c>
      <c r="Z34" s="4122" t="s">
        <v>1430</v>
      </c>
      <c r="AA34" s="4286">
        <v>292684</v>
      </c>
      <c r="AB34" s="4286">
        <f>SUM(AA34*0.01)</f>
        <v>2926.84</v>
      </c>
      <c r="AC34" s="4286">
        <v>282326</v>
      </c>
      <c r="AD34" s="4286">
        <f>SUM(AC34*0.01)</f>
        <v>2823.26</v>
      </c>
      <c r="AE34" s="4286">
        <v>135912</v>
      </c>
      <c r="AF34" s="4286">
        <f>SUM(AE34*0.01)</f>
        <v>1359.1200000000001</v>
      </c>
      <c r="AG34" s="4286">
        <v>45122</v>
      </c>
      <c r="AH34" s="4286">
        <f>SUM(AG34*0.01)</f>
        <v>451.22</v>
      </c>
      <c r="AI34" s="4286">
        <v>307101</v>
      </c>
      <c r="AJ34" s="4286">
        <f>SUM(AI34*0.01)</f>
        <v>3071.01</v>
      </c>
      <c r="AK34" s="4286">
        <v>86875</v>
      </c>
      <c r="AL34" s="4286">
        <f>SUM(AK34*0.01)</f>
        <v>868.75</v>
      </c>
      <c r="AM34" s="4286">
        <v>2145</v>
      </c>
      <c r="AN34" s="4286">
        <f>SUM(AM34*0.01)</f>
        <v>21.45</v>
      </c>
      <c r="AO34" s="4286">
        <v>12718</v>
      </c>
      <c r="AP34" s="4286">
        <f>SUM(AO34*0.01)</f>
        <v>127.18</v>
      </c>
      <c r="AQ34" s="4286">
        <v>26</v>
      </c>
      <c r="AR34" s="4286">
        <f>SUM(AQ34*0.01)</f>
        <v>0.26</v>
      </c>
      <c r="AS34" s="4286">
        <v>37</v>
      </c>
      <c r="AT34" s="4286">
        <f>SUM(AS34*0.01)</f>
        <v>0.37</v>
      </c>
      <c r="AU34" s="4286">
        <v>16897</v>
      </c>
      <c r="AV34" s="4286">
        <f>SUM(AU34*0.01)</f>
        <v>168.97</v>
      </c>
      <c r="AW34" s="4286" t="s">
        <v>1164</v>
      </c>
      <c r="AX34" s="4286" t="s">
        <v>1164</v>
      </c>
      <c r="AY34" s="4286">
        <v>53164</v>
      </c>
      <c r="AZ34" s="4286">
        <f>SUM(AY34*0.01)</f>
        <v>531.64</v>
      </c>
      <c r="BA34" s="4286">
        <v>16982</v>
      </c>
      <c r="BB34" s="4286">
        <f>SUM(BA34*0.01)</f>
        <v>169.82</v>
      </c>
      <c r="BC34" s="4286">
        <v>60013</v>
      </c>
      <c r="BD34" s="4286">
        <f>SUM(BC34*0.01)</f>
        <v>600.13</v>
      </c>
      <c r="BE34" s="4286">
        <v>575010</v>
      </c>
      <c r="BF34" s="4286">
        <f>SUM(BE34*0.01)</f>
        <v>5750.1</v>
      </c>
      <c r="BG34" s="4286">
        <v>1</v>
      </c>
      <c r="BH34" s="4134">
        <f>SUM(W34:W37)</f>
        <v>11200000</v>
      </c>
      <c r="BI34" s="4134">
        <f>SUM(X34:X37)</f>
        <v>2800000</v>
      </c>
      <c r="BJ34" s="4131">
        <f>SUM(BI34/R34)</f>
        <v>1.3333333333333334E-2</v>
      </c>
      <c r="BK34" s="4286">
        <v>61</v>
      </c>
      <c r="BL34" s="4286" t="s">
        <v>1466</v>
      </c>
      <c r="BM34" s="4289">
        <v>43467</v>
      </c>
      <c r="BN34" s="4289">
        <v>44196</v>
      </c>
      <c r="BO34" s="4289">
        <v>43830</v>
      </c>
      <c r="BP34" s="4126">
        <v>44196</v>
      </c>
      <c r="BQ34" s="4167" t="s">
        <v>1432</v>
      </c>
    </row>
    <row r="35" spans="1:69" s="1815" customFormat="1" ht="64.5" customHeight="1" x14ac:dyDescent="0.2">
      <c r="A35" s="1809"/>
      <c r="B35" s="1810"/>
      <c r="C35" s="1811"/>
      <c r="D35" s="1812"/>
      <c r="E35" s="1812"/>
      <c r="F35" s="1811"/>
      <c r="G35" s="1809"/>
      <c r="H35" s="1812"/>
      <c r="I35" s="1811"/>
      <c r="J35" s="4153">
        <v>131</v>
      </c>
      <c r="K35" s="4135" t="s">
        <v>1467</v>
      </c>
      <c r="L35" s="4135" t="s">
        <v>1468</v>
      </c>
      <c r="M35" s="4122">
        <v>5</v>
      </c>
      <c r="N35" s="4123"/>
      <c r="O35" s="4123"/>
      <c r="P35" s="4136"/>
      <c r="Q35" s="4132">
        <f>(V35+V37+V36)/R34</f>
        <v>0.61904761904761907</v>
      </c>
      <c r="R35" s="2908"/>
      <c r="S35" s="4136"/>
      <c r="T35" s="4135" t="s">
        <v>1469</v>
      </c>
      <c r="U35" s="162" t="s">
        <v>1470</v>
      </c>
      <c r="V35" s="1625">
        <v>28437500</v>
      </c>
      <c r="W35" s="1625">
        <v>0</v>
      </c>
      <c r="X35" s="1625">
        <v>0</v>
      </c>
      <c r="Y35" s="1816">
        <v>61</v>
      </c>
      <c r="Z35" s="4123"/>
      <c r="AA35" s="4287"/>
      <c r="AB35" s="4287"/>
      <c r="AC35" s="4287"/>
      <c r="AD35" s="4287"/>
      <c r="AE35" s="4287"/>
      <c r="AF35" s="4287"/>
      <c r="AG35" s="4287"/>
      <c r="AH35" s="4287"/>
      <c r="AI35" s="4287"/>
      <c r="AJ35" s="4287"/>
      <c r="AK35" s="4287"/>
      <c r="AL35" s="4287"/>
      <c r="AM35" s="4287"/>
      <c r="AN35" s="4287"/>
      <c r="AO35" s="4287"/>
      <c r="AP35" s="4287"/>
      <c r="AQ35" s="4287"/>
      <c r="AR35" s="4287"/>
      <c r="AS35" s="4287"/>
      <c r="AT35" s="4287"/>
      <c r="AU35" s="4287"/>
      <c r="AV35" s="4287"/>
      <c r="AW35" s="4287"/>
      <c r="AX35" s="4287"/>
      <c r="AY35" s="4287"/>
      <c r="AZ35" s="4287"/>
      <c r="BA35" s="4287"/>
      <c r="BB35" s="4287"/>
      <c r="BC35" s="4287"/>
      <c r="BD35" s="4287"/>
      <c r="BE35" s="4287"/>
      <c r="BF35" s="4287"/>
      <c r="BG35" s="4287"/>
      <c r="BH35" s="4287"/>
      <c r="BI35" s="4287"/>
      <c r="BJ35" s="2852"/>
      <c r="BK35" s="4287"/>
      <c r="BL35" s="4287"/>
      <c r="BM35" s="4290"/>
      <c r="BN35" s="4290"/>
      <c r="BO35" s="4290"/>
      <c r="BP35" s="4127"/>
      <c r="BQ35" s="4168"/>
    </row>
    <row r="36" spans="1:69" s="1815" customFormat="1" ht="64.5" customHeight="1" x14ac:dyDescent="0.2">
      <c r="A36" s="1809"/>
      <c r="B36" s="1810"/>
      <c r="C36" s="1811"/>
      <c r="D36" s="1812"/>
      <c r="E36" s="1812"/>
      <c r="F36" s="1811"/>
      <c r="G36" s="1809"/>
      <c r="H36" s="1812"/>
      <c r="I36" s="1811"/>
      <c r="J36" s="4154"/>
      <c r="K36" s="4136"/>
      <c r="L36" s="4136"/>
      <c r="M36" s="4123"/>
      <c r="N36" s="4123"/>
      <c r="O36" s="4123"/>
      <c r="P36" s="4136"/>
      <c r="Q36" s="4133"/>
      <c r="R36" s="2908"/>
      <c r="S36" s="4136"/>
      <c r="T36" s="4136"/>
      <c r="U36" s="162" t="s">
        <v>1471</v>
      </c>
      <c r="V36" s="1625">
        <v>40625000</v>
      </c>
      <c r="W36" s="1625">
        <v>0</v>
      </c>
      <c r="X36" s="1625">
        <v>0</v>
      </c>
      <c r="Y36" s="1816">
        <v>61</v>
      </c>
      <c r="Z36" s="4123"/>
      <c r="AA36" s="4287"/>
      <c r="AB36" s="4287"/>
      <c r="AC36" s="4287"/>
      <c r="AD36" s="4287"/>
      <c r="AE36" s="4287"/>
      <c r="AF36" s="4287"/>
      <c r="AG36" s="4287"/>
      <c r="AH36" s="4287"/>
      <c r="AI36" s="4287"/>
      <c r="AJ36" s="4287"/>
      <c r="AK36" s="4287"/>
      <c r="AL36" s="4287"/>
      <c r="AM36" s="4287"/>
      <c r="AN36" s="4287"/>
      <c r="AO36" s="4287"/>
      <c r="AP36" s="4287"/>
      <c r="AQ36" s="4287"/>
      <c r="AR36" s="4287"/>
      <c r="AS36" s="4287"/>
      <c r="AT36" s="4287"/>
      <c r="AU36" s="4287"/>
      <c r="AV36" s="4287"/>
      <c r="AW36" s="4287"/>
      <c r="AX36" s="4287"/>
      <c r="AY36" s="4287"/>
      <c r="AZ36" s="4287"/>
      <c r="BA36" s="4287"/>
      <c r="BB36" s="4287"/>
      <c r="BC36" s="4287"/>
      <c r="BD36" s="4287"/>
      <c r="BE36" s="4287"/>
      <c r="BF36" s="4287"/>
      <c r="BG36" s="4287"/>
      <c r="BH36" s="4287"/>
      <c r="BI36" s="4287"/>
      <c r="BJ36" s="2852"/>
      <c r="BK36" s="4287"/>
      <c r="BL36" s="4287"/>
      <c r="BM36" s="4290"/>
      <c r="BN36" s="4290"/>
      <c r="BO36" s="4290"/>
      <c r="BP36" s="4127"/>
      <c r="BQ36" s="4168"/>
    </row>
    <row r="37" spans="1:69" s="1815" customFormat="1" ht="64.5" customHeight="1" x14ac:dyDescent="0.2">
      <c r="A37" s="1809"/>
      <c r="B37" s="1810"/>
      <c r="C37" s="1811"/>
      <c r="D37" s="1812"/>
      <c r="E37" s="1812"/>
      <c r="F37" s="1811"/>
      <c r="G37" s="1819"/>
      <c r="H37" s="1817"/>
      <c r="I37" s="1818"/>
      <c r="J37" s="4155"/>
      <c r="K37" s="4137"/>
      <c r="L37" s="4137"/>
      <c r="M37" s="4171"/>
      <c r="N37" s="4171"/>
      <c r="O37" s="4171"/>
      <c r="P37" s="4137"/>
      <c r="Q37" s="4175"/>
      <c r="R37" s="2909"/>
      <c r="S37" s="4137"/>
      <c r="T37" s="4137"/>
      <c r="U37" s="162" t="s">
        <v>1472</v>
      </c>
      <c r="V37" s="1625">
        <v>60937500</v>
      </c>
      <c r="W37" s="1625">
        <v>0</v>
      </c>
      <c r="X37" s="1625">
        <v>0</v>
      </c>
      <c r="Y37" s="1816">
        <v>61</v>
      </c>
      <c r="Z37" s="4171"/>
      <c r="AA37" s="4288"/>
      <c r="AB37" s="4288"/>
      <c r="AC37" s="4288"/>
      <c r="AD37" s="4288"/>
      <c r="AE37" s="4288"/>
      <c r="AF37" s="4288"/>
      <c r="AG37" s="4288"/>
      <c r="AH37" s="4288"/>
      <c r="AI37" s="4288"/>
      <c r="AJ37" s="4288"/>
      <c r="AK37" s="4288"/>
      <c r="AL37" s="4288"/>
      <c r="AM37" s="4288"/>
      <c r="AN37" s="4288"/>
      <c r="AO37" s="4288"/>
      <c r="AP37" s="4288"/>
      <c r="AQ37" s="4288"/>
      <c r="AR37" s="4288"/>
      <c r="AS37" s="4288"/>
      <c r="AT37" s="4288"/>
      <c r="AU37" s="4288"/>
      <c r="AV37" s="4288"/>
      <c r="AW37" s="4288"/>
      <c r="AX37" s="4288"/>
      <c r="AY37" s="4288"/>
      <c r="AZ37" s="4288"/>
      <c r="BA37" s="4288"/>
      <c r="BB37" s="4288"/>
      <c r="BC37" s="4288"/>
      <c r="BD37" s="4288"/>
      <c r="BE37" s="4288"/>
      <c r="BF37" s="4288"/>
      <c r="BG37" s="4288"/>
      <c r="BH37" s="4288"/>
      <c r="BI37" s="4288"/>
      <c r="BJ37" s="2853"/>
      <c r="BK37" s="4288"/>
      <c r="BL37" s="4288"/>
      <c r="BM37" s="4291"/>
      <c r="BN37" s="4291"/>
      <c r="BO37" s="4291"/>
      <c r="BP37" s="4166"/>
      <c r="BQ37" s="4169"/>
    </row>
    <row r="38" spans="1:69" ht="15" x14ac:dyDescent="0.2">
      <c r="A38" s="1793"/>
      <c r="B38" s="1794"/>
      <c r="C38" s="1795"/>
      <c r="D38" s="1848"/>
      <c r="E38" s="1848"/>
      <c r="F38" s="1795"/>
      <c r="G38" s="1834">
        <v>37</v>
      </c>
      <c r="H38" s="1799" t="s">
        <v>1473</v>
      </c>
      <c r="I38" s="1799"/>
      <c r="J38" s="1799"/>
      <c r="K38" s="1800"/>
      <c r="L38" s="1800"/>
      <c r="M38" s="1799"/>
      <c r="N38" s="1801"/>
      <c r="O38" s="1799"/>
      <c r="P38" s="1800"/>
      <c r="Q38" s="1799"/>
      <c r="R38" s="1835"/>
      <c r="S38" s="1800"/>
      <c r="T38" s="1800"/>
      <c r="U38" s="1800"/>
      <c r="V38" s="1836"/>
      <c r="W38" s="1836"/>
      <c r="X38" s="1836"/>
      <c r="Y38" s="1837"/>
      <c r="Z38" s="1801"/>
      <c r="AA38" s="1801"/>
      <c r="AB38" s="1801"/>
      <c r="AC38" s="1801"/>
      <c r="AD38" s="1801"/>
      <c r="AE38" s="1801"/>
      <c r="AF38" s="1801"/>
      <c r="AG38" s="1801"/>
      <c r="AH38" s="1801"/>
      <c r="AI38" s="1801"/>
      <c r="AJ38" s="1801"/>
      <c r="AK38" s="1801"/>
      <c r="AL38" s="1801"/>
      <c r="AM38" s="1801"/>
      <c r="AN38" s="1801"/>
      <c r="AO38" s="1801"/>
      <c r="AP38" s="1801"/>
      <c r="AQ38" s="1801"/>
      <c r="AR38" s="1801"/>
      <c r="AS38" s="1801"/>
      <c r="AT38" s="1801"/>
      <c r="AU38" s="1801"/>
      <c r="AV38" s="1801"/>
      <c r="AW38" s="1801"/>
      <c r="AX38" s="1801"/>
      <c r="AY38" s="1801"/>
      <c r="AZ38" s="1801"/>
      <c r="BA38" s="1801"/>
      <c r="BB38" s="1801"/>
      <c r="BC38" s="1801"/>
      <c r="BD38" s="1801"/>
      <c r="BE38" s="1801"/>
      <c r="BF38" s="1801"/>
      <c r="BG38" s="1801"/>
      <c r="BH38" s="1801"/>
      <c r="BI38" s="1801"/>
      <c r="BJ38" s="1801"/>
      <c r="BK38" s="1801"/>
      <c r="BL38" s="1801"/>
      <c r="BM38" s="1849"/>
      <c r="BN38" s="1849"/>
      <c r="BO38" s="1849"/>
      <c r="BP38" s="1839"/>
      <c r="BQ38" s="1840"/>
    </row>
    <row r="39" spans="1:69" ht="63.75" customHeight="1" x14ac:dyDescent="0.2">
      <c r="A39" s="1793"/>
      <c r="B39" s="1794"/>
      <c r="C39" s="1795"/>
      <c r="D39" s="1848"/>
      <c r="E39" s="1848"/>
      <c r="F39" s="1795"/>
      <c r="G39" s="1850"/>
      <c r="H39" s="1796"/>
      <c r="I39" s="1797"/>
      <c r="J39" s="4153">
        <v>132</v>
      </c>
      <c r="K39" s="4147" t="s">
        <v>1474</v>
      </c>
      <c r="L39" s="4147" t="s">
        <v>1475</v>
      </c>
      <c r="M39" s="4153">
        <v>8</v>
      </c>
      <c r="N39" s="4153" t="s">
        <v>1476</v>
      </c>
      <c r="O39" s="4153">
        <v>134</v>
      </c>
      <c r="P39" s="4147" t="s">
        <v>1477</v>
      </c>
      <c r="Q39" s="4204">
        <f>(V39+V40+V42+V41)/R39</f>
        <v>0.1891891891891892</v>
      </c>
      <c r="R39" s="4134">
        <f>SUM(V39:V64)</f>
        <v>148000000</v>
      </c>
      <c r="S39" s="4147" t="s">
        <v>1478</v>
      </c>
      <c r="T39" s="4147" t="s">
        <v>1479</v>
      </c>
      <c r="U39" s="161" t="s">
        <v>1480</v>
      </c>
      <c r="V39" s="1851">
        <v>10000000</v>
      </c>
      <c r="W39" s="1851">
        <v>0</v>
      </c>
      <c r="X39" s="1625">
        <v>0</v>
      </c>
      <c r="Y39" s="1852">
        <v>61</v>
      </c>
      <c r="Z39" s="4153" t="s">
        <v>1430</v>
      </c>
      <c r="AA39" s="4212">
        <v>289394</v>
      </c>
      <c r="AB39" s="4212">
        <v>0</v>
      </c>
      <c r="AC39" s="4212">
        <v>279112</v>
      </c>
      <c r="AD39" s="4212">
        <v>0</v>
      </c>
      <c r="AE39" s="4212">
        <v>63164</v>
      </c>
      <c r="AF39" s="4212">
        <v>0</v>
      </c>
      <c r="AG39" s="4212">
        <v>45607</v>
      </c>
      <c r="AH39" s="4212">
        <v>0</v>
      </c>
      <c r="AI39" s="4212">
        <v>365607</v>
      </c>
      <c r="AJ39" s="4212">
        <v>0</v>
      </c>
      <c r="AK39" s="4212">
        <v>75612</v>
      </c>
      <c r="AL39" s="4212">
        <v>0</v>
      </c>
      <c r="AM39" s="4212">
        <v>2145</v>
      </c>
      <c r="AN39" s="4212">
        <v>0</v>
      </c>
      <c r="AO39" s="4212">
        <v>12718</v>
      </c>
      <c r="AP39" s="4212">
        <v>0</v>
      </c>
      <c r="AQ39" s="4212">
        <v>26</v>
      </c>
      <c r="AR39" s="4212">
        <v>0</v>
      </c>
      <c r="AS39" s="4212">
        <v>37</v>
      </c>
      <c r="AT39" s="4212">
        <v>0</v>
      </c>
      <c r="AU39" s="4212">
        <v>16897</v>
      </c>
      <c r="AV39" s="4212">
        <v>0</v>
      </c>
      <c r="AW39" s="4212" t="s">
        <v>1164</v>
      </c>
      <c r="AX39" s="4212" t="s">
        <v>1164</v>
      </c>
      <c r="AY39" s="4212">
        <v>78</v>
      </c>
      <c r="AZ39" s="4212">
        <v>0</v>
      </c>
      <c r="BA39" s="4212">
        <v>16897</v>
      </c>
      <c r="BB39" s="4212">
        <v>0</v>
      </c>
      <c r="BC39" s="4212">
        <f>SUM('[1]P. 100'!$X$5+'[1]P. 100'!$Y$5)</f>
        <v>852</v>
      </c>
      <c r="BD39" s="4212">
        <v>0</v>
      </c>
      <c r="BE39" s="4212">
        <f>+AA39+AC39</f>
        <v>568506</v>
      </c>
      <c r="BF39" s="4212">
        <v>0</v>
      </c>
      <c r="BG39" s="4212">
        <v>0</v>
      </c>
      <c r="BH39" s="4283">
        <v>0</v>
      </c>
      <c r="BI39" s="4283">
        <v>0</v>
      </c>
      <c r="BJ39" s="4209">
        <v>0</v>
      </c>
      <c r="BK39" s="4212">
        <v>61</v>
      </c>
      <c r="BL39" s="4212" t="s">
        <v>1466</v>
      </c>
      <c r="BM39" s="4214">
        <v>43467</v>
      </c>
      <c r="BN39" s="4214">
        <v>44196</v>
      </c>
      <c r="BO39" s="4214">
        <v>43830</v>
      </c>
      <c r="BP39" s="4140">
        <v>44196</v>
      </c>
      <c r="BQ39" s="4143" t="s">
        <v>1432</v>
      </c>
    </row>
    <row r="40" spans="1:69" ht="63.75" customHeight="1" x14ac:dyDescent="0.2">
      <c r="A40" s="1793"/>
      <c r="B40" s="1794"/>
      <c r="C40" s="1795"/>
      <c r="D40" s="1848"/>
      <c r="E40" s="1848"/>
      <c r="F40" s="1795"/>
      <c r="G40" s="1793"/>
      <c r="H40" s="1848"/>
      <c r="I40" s="1795"/>
      <c r="J40" s="4154"/>
      <c r="K40" s="4148"/>
      <c r="L40" s="4148"/>
      <c r="M40" s="4154"/>
      <c r="N40" s="4154"/>
      <c r="O40" s="4154"/>
      <c r="P40" s="4148"/>
      <c r="Q40" s="4205"/>
      <c r="R40" s="2908"/>
      <c r="S40" s="4148"/>
      <c r="T40" s="4148"/>
      <c r="U40" s="161" t="s">
        <v>1481</v>
      </c>
      <c r="V40" s="1851">
        <v>10000000</v>
      </c>
      <c r="W40" s="1851">
        <v>0</v>
      </c>
      <c r="X40" s="1625">
        <v>0</v>
      </c>
      <c r="Y40" s="1852">
        <v>61</v>
      </c>
      <c r="Z40" s="4154"/>
      <c r="AA40" s="2858"/>
      <c r="AB40" s="2858"/>
      <c r="AC40" s="2858"/>
      <c r="AD40" s="2858"/>
      <c r="AE40" s="2858"/>
      <c r="AF40" s="2858"/>
      <c r="AG40" s="2858"/>
      <c r="AH40" s="2858"/>
      <c r="AI40" s="2858"/>
      <c r="AJ40" s="2858"/>
      <c r="AK40" s="2858"/>
      <c r="AL40" s="2858"/>
      <c r="AM40" s="2858"/>
      <c r="AN40" s="2858"/>
      <c r="AO40" s="2858"/>
      <c r="AP40" s="2858"/>
      <c r="AQ40" s="2858"/>
      <c r="AR40" s="2858"/>
      <c r="AS40" s="2858"/>
      <c r="AT40" s="2858"/>
      <c r="AU40" s="2858"/>
      <c r="AV40" s="2858"/>
      <c r="AW40" s="2858"/>
      <c r="AX40" s="2858"/>
      <c r="AY40" s="2858"/>
      <c r="AZ40" s="2858"/>
      <c r="BA40" s="2858"/>
      <c r="BB40" s="2858"/>
      <c r="BC40" s="2858"/>
      <c r="BD40" s="2858"/>
      <c r="BE40" s="2858"/>
      <c r="BF40" s="2858"/>
      <c r="BG40" s="2858"/>
      <c r="BH40" s="4284"/>
      <c r="BI40" s="4284"/>
      <c r="BJ40" s="4210"/>
      <c r="BK40" s="2858"/>
      <c r="BL40" s="2858"/>
      <c r="BM40" s="3052"/>
      <c r="BN40" s="3052"/>
      <c r="BO40" s="3052"/>
      <c r="BP40" s="4141"/>
      <c r="BQ40" s="4144"/>
    </row>
    <row r="41" spans="1:69" ht="87" customHeight="1" x14ac:dyDescent="0.2">
      <c r="A41" s="1793"/>
      <c r="B41" s="1794"/>
      <c r="C41" s="1795"/>
      <c r="D41" s="1848"/>
      <c r="E41" s="1848"/>
      <c r="F41" s="1795"/>
      <c r="G41" s="1793"/>
      <c r="H41" s="1848"/>
      <c r="I41" s="1795"/>
      <c r="J41" s="4154"/>
      <c r="K41" s="4148"/>
      <c r="L41" s="4148"/>
      <c r="M41" s="4154"/>
      <c r="N41" s="4154"/>
      <c r="O41" s="4154"/>
      <c r="P41" s="4148"/>
      <c r="Q41" s="4205"/>
      <c r="R41" s="2908"/>
      <c r="S41" s="4148"/>
      <c r="T41" s="4148"/>
      <c r="U41" s="161" t="s">
        <v>1482</v>
      </c>
      <c r="V41" s="1851">
        <v>2000000</v>
      </c>
      <c r="W41" s="1851">
        <v>0</v>
      </c>
      <c r="X41" s="1625">
        <v>0</v>
      </c>
      <c r="Y41" s="1852">
        <v>61</v>
      </c>
      <c r="Z41" s="4154"/>
      <c r="AA41" s="2858"/>
      <c r="AB41" s="2858"/>
      <c r="AC41" s="2858"/>
      <c r="AD41" s="2858"/>
      <c r="AE41" s="2858"/>
      <c r="AF41" s="2858"/>
      <c r="AG41" s="2858"/>
      <c r="AH41" s="2858"/>
      <c r="AI41" s="2858"/>
      <c r="AJ41" s="2858"/>
      <c r="AK41" s="2858"/>
      <c r="AL41" s="2858"/>
      <c r="AM41" s="2858"/>
      <c r="AN41" s="2858"/>
      <c r="AO41" s="2858"/>
      <c r="AP41" s="2858"/>
      <c r="AQ41" s="2858"/>
      <c r="AR41" s="2858"/>
      <c r="AS41" s="2858"/>
      <c r="AT41" s="2858"/>
      <c r="AU41" s="2858"/>
      <c r="AV41" s="2858"/>
      <c r="AW41" s="2858"/>
      <c r="AX41" s="2858"/>
      <c r="AY41" s="2858"/>
      <c r="AZ41" s="2858"/>
      <c r="BA41" s="2858"/>
      <c r="BB41" s="2858"/>
      <c r="BC41" s="2858"/>
      <c r="BD41" s="2858"/>
      <c r="BE41" s="2858"/>
      <c r="BF41" s="2858"/>
      <c r="BG41" s="2858"/>
      <c r="BH41" s="4284"/>
      <c r="BI41" s="4284"/>
      <c r="BJ41" s="4210"/>
      <c r="BK41" s="2858"/>
      <c r="BL41" s="2858"/>
      <c r="BM41" s="3052"/>
      <c r="BN41" s="3052"/>
      <c r="BO41" s="3052"/>
      <c r="BP41" s="4141"/>
      <c r="BQ41" s="4144"/>
    </row>
    <row r="42" spans="1:69" ht="88.5" customHeight="1" x14ac:dyDescent="0.2">
      <c r="A42" s="1793"/>
      <c r="B42" s="1794"/>
      <c r="C42" s="1795"/>
      <c r="D42" s="1848"/>
      <c r="E42" s="1848"/>
      <c r="F42" s="1795"/>
      <c r="G42" s="1793"/>
      <c r="H42" s="1848"/>
      <c r="I42" s="1795"/>
      <c r="J42" s="4155"/>
      <c r="K42" s="4149"/>
      <c r="L42" s="4149"/>
      <c r="M42" s="4155"/>
      <c r="N42" s="4154"/>
      <c r="O42" s="4154"/>
      <c r="P42" s="4148"/>
      <c r="Q42" s="4206"/>
      <c r="R42" s="2908"/>
      <c r="S42" s="4148"/>
      <c r="T42" s="4148"/>
      <c r="U42" s="161" t="s">
        <v>1483</v>
      </c>
      <c r="V42" s="1851">
        <v>6000000</v>
      </c>
      <c r="W42" s="1851">
        <v>0</v>
      </c>
      <c r="X42" s="1625">
        <v>0</v>
      </c>
      <c r="Y42" s="1852">
        <v>61</v>
      </c>
      <c r="Z42" s="4154"/>
      <c r="AA42" s="2858"/>
      <c r="AB42" s="2858"/>
      <c r="AC42" s="2858"/>
      <c r="AD42" s="2858"/>
      <c r="AE42" s="2858"/>
      <c r="AF42" s="2858"/>
      <c r="AG42" s="2858"/>
      <c r="AH42" s="2858"/>
      <c r="AI42" s="2858"/>
      <c r="AJ42" s="2858"/>
      <c r="AK42" s="2858"/>
      <c r="AL42" s="2858"/>
      <c r="AM42" s="2858"/>
      <c r="AN42" s="2858"/>
      <c r="AO42" s="2858"/>
      <c r="AP42" s="2858"/>
      <c r="AQ42" s="2858"/>
      <c r="AR42" s="2858"/>
      <c r="AS42" s="2858"/>
      <c r="AT42" s="2858"/>
      <c r="AU42" s="2858"/>
      <c r="AV42" s="2858"/>
      <c r="AW42" s="2858"/>
      <c r="AX42" s="2858"/>
      <c r="AY42" s="2858"/>
      <c r="AZ42" s="2858"/>
      <c r="BA42" s="2858"/>
      <c r="BB42" s="2858"/>
      <c r="BC42" s="2858"/>
      <c r="BD42" s="2858"/>
      <c r="BE42" s="2858"/>
      <c r="BF42" s="2858"/>
      <c r="BG42" s="2858"/>
      <c r="BH42" s="4284"/>
      <c r="BI42" s="4284"/>
      <c r="BJ42" s="4210"/>
      <c r="BK42" s="2858"/>
      <c r="BL42" s="2858"/>
      <c r="BM42" s="3052"/>
      <c r="BN42" s="3052"/>
      <c r="BO42" s="3052"/>
      <c r="BP42" s="4141"/>
      <c r="BQ42" s="4144"/>
    </row>
    <row r="43" spans="1:69" ht="63.75" customHeight="1" x14ac:dyDescent="0.2">
      <c r="A43" s="1793"/>
      <c r="B43" s="1794"/>
      <c r="C43" s="1795"/>
      <c r="D43" s="1848"/>
      <c r="E43" s="1848"/>
      <c r="F43" s="1795"/>
      <c r="G43" s="1793"/>
      <c r="H43" s="1848"/>
      <c r="I43" s="1795"/>
      <c r="J43" s="4154">
        <v>133</v>
      </c>
      <c r="K43" s="4148" t="s">
        <v>1484</v>
      </c>
      <c r="L43" s="4148" t="s">
        <v>1485</v>
      </c>
      <c r="M43" s="4154"/>
      <c r="N43" s="4154"/>
      <c r="O43" s="4154"/>
      <c r="P43" s="4148"/>
      <c r="Q43" s="4160">
        <f>SUM(V43+V44+V45+V46+V47)/R39</f>
        <v>0.1891891891891892</v>
      </c>
      <c r="R43" s="2908"/>
      <c r="S43" s="4148"/>
      <c r="T43" s="4148"/>
      <c r="U43" s="161" t="s">
        <v>1486</v>
      </c>
      <c r="V43" s="1851">
        <v>8000000</v>
      </c>
      <c r="W43" s="1851">
        <v>0</v>
      </c>
      <c r="X43" s="1625">
        <v>0</v>
      </c>
      <c r="Y43" s="1852">
        <v>61</v>
      </c>
      <c r="Z43" s="4154"/>
      <c r="AA43" s="2858"/>
      <c r="AB43" s="2858"/>
      <c r="AC43" s="2858"/>
      <c r="AD43" s="2858"/>
      <c r="AE43" s="2858"/>
      <c r="AF43" s="2858"/>
      <c r="AG43" s="2858"/>
      <c r="AH43" s="2858"/>
      <c r="AI43" s="2858"/>
      <c r="AJ43" s="2858"/>
      <c r="AK43" s="2858"/>
      <c r="AL43" s="2858"/>
      <c r="AM43" s="2858"/>
      <c r="AN43" s="2858"/>
      <c r="AO43" s="2858"/>
      <c r="AP43" s="2858"/>
      <c r="AQ43" s="2858"/>
      <c r="AR43" s="2858"/>
      <c r="AS43" s="2858"/>
      <c r="AT43" s="2858"/>
      <c r="AU43" s="2858"/>
      <c r="AV43" s="2858"/>
      <c r="AW43" s="2858"/>
      <c r="AX43" s="2858"/>
      <c r="AY43" s="2858"/>
      <c r="AZ43" s="2858"/>
      <c r="BA43" s="2858"/>
      <c r="BB43" s="2858"/>
      <c r="BC43" s="2858"/>
      <c r="BD43" s="2858"/>
      <c r="BE43" s="2858"/>
      <c r="BF43" s="2858"/>
      <c r="BG43" s="2858"/>
      <c r="BH43" s="4284"/>
      <c r="BI43" s="4284"/>
      <c r="BJ43" s="4210"/>
      <c r="BK43" s="2858"/>
      <c r="BL43" s="2858"/>
      <c r="BM43" s="3052"/>
      <c r="BN43" s="3052"/>
      <c r="BO43" s="3052"/>
      <c r="BP43" s="4141"/>
      <c r="BQ43" s="4144"/>
    </row>
    <row r="44" spans="1:69" ht="63.75" customHeight="1" x14ac:dyDescent="0.2">
      <c r="A44" s="1793"/>
      <c r="B44" s="1794"/>
      <c r="C44" s="1795"/>
      <c r="D44" s="1848"/>
      <c r="E44" s="1848"/>
      <c r="F44" s="1795"/>
      <c r="G44" s="1793"/>
      <c r="H44" s="1848"/>
      <c r="I44" s="1795"/>
      <c r="J44" s="4154"/>
      <c r="K44" s="4148"/>
      <c r="L44" s="4148"/>
      <c r="M44" s="4154"/>
      <c r="N44" s="4154"/>
      <c r="O44" s="4154"/>
      <c r="P44" s="4148"/>
      <c r="Q44" s="2692"/>
      <c r="R44" s="2908"/>
      <c r="S44" s="4148"/>
      <c r="T44" s="4148"/>
      <c r="U44" s="161" t="s">
        <v>1487</v>
      </c>
      <c r="V44" s="1851">
        <v>10000000</v>
      </c>
      <c r="W44" s="1851">
        <v>0</v>
      </c>
      <c r="X44" s="1625">
        <v>0</v>
      </c>
      <c r="Y44" s="1852">
        <v>61</v>
      </c>
      <c r="Z44" s="4154"/>
      <c r="AA44" s="2858"/>
      <c r="AB44" s="2858"/>
      <c r="AC44" s="2858"/>
      <c r="AD44" s="2858"/>
      <c r="AE44" s="2858"/>
      <c r="AF44" s="2858"/>
      <c r="AG44" s="2858"/>
      <c r="AH44" s="2858"/>
      <c r="AI44" s="2858"/>
      <c r="AJ44" s="2858"/>
      <c r="AK44" s="2858"/>
      <c r="AL44" s="2858"/>
      <c r="AM44" s="2858"/>
      <c r="AN44" s="2858"/>
      <c r="AO44" s="2858"/>
      <c r="AP44" s="2858"/>
      <c r="AQ44" s="2858"/>
      <c r="AR44" s="2858"/>
      <c r="AS44" s="2858"/>
      <c r="AT44" s="2858"/>
      <c r="AU44" s="2858"/>
      <c r="AV44" s="2858"/>
      <c r="AW44" s="2858"/>
      <c r="AX44" s="2858"/>
      <c r="AY44" s="2858"/>
      <c r="AZ44" s="2858"/>
      <c r="BA44" s="2858"/>
      <c r="BB44" s="2858"/>
      <c r="BC44" s="2858"/>
      <c r="BD44" s="2858"/>
      <c r="BE44" s="2858"/>
      <c r="BF44" s="2858"/>
      <c r="BG44" s="2858"/>
      <c r="BH44" s="4284"/>
      <c r="BI44" s="4284"/>
      <c r="BJ44" s="4210"/>
      <c r="BK44" s="2858"/>
      <c r="BL44" s="2858"/>
      <c r="BM44" s="3052"/>
      <c r="BN44" s="3052"/>
      <c r="BO44" s="3052"/>
      <c r="BP44" s="4141"/>
      <c r="BQ44" s="4144"/>
    </row>
    <row r="45" spans="1:69" ht="96" customHeight="1" x14ac:dyDescent="0.2">
      <c r="A45" s="1793"/>
      <c r="B45" s="1794"/>
      <c r="C45" s="1795"/>
      <c r="D45" s="1848"/>
      <c r="E45" s="1848"/>
      <c r="F45" s="1795"/>
      <c r="G45" s="1793"/>
      <c r="H45" s="1848"/>
      <c r="I45" s="1795"/>
      <c r="J45" s="4154"/>
      <c r="K45" s="4148"/>
      <c r="L45" s="4148"/>
      <c r="M45" s="4154"/>
      <c r="N45" s="4154"/>
      <c r="O45" s="4154"/>
      <c r="P45" s="4148"/>
      <c r="Q45" s="2692"/>
      <c r="R45" s="2908"/>
      <c r="S45" s="4148"/>
      <c r="T45" s="4148"/>
      <c r="U45" s="161" t="s">
        <v>1488</v>
      </c>
      <c r="V45" s="1851">
        <v>2000000</v>
      </c>
      <c r="W45" s="1851">
        <v>0</v>
      </c>
      <c r="X45" s="1625">
        <v>0</v>
      </c>
      <c r="Y45" s="1852">
        <v>61</v>
      </c>
      <c r="Z45" s="4154"/>
      <c r="AA45" s="2858"/>
      <c r="AB45" s="2858"/>
      <c r="AC45" s="2858"/>
      <c r="AD45" s="2858"/>
      <c r="AE45" s="2858"/>
      <c r="AF45" s="2858"/>
      <c r="AG45" s="2858"/>
      <c r="AH45" s="2858"/>
      <c r="AI45" s="2858"/>
      <c r="AJ45" s="2858"/>
      <c r="AK45" s="2858"/>
      <c r="AL45" s="2858"/>
      <c r="AM45" s="2858"/>
      <c r="AN45" s="2858"/>
      <c r="AO45" s="2858"/>
      <c r="AP45" s="2858"/>
      <c r="AQ45" s="2858"/>
      <c r="AR45" s="2858"/>
      <c r="AS45" s="2858"/>
      <c r="AT45" s="2858"/>
      <c r="AU45" s="2858"/>
      <c r="AV45" s="2858"/>
      <c r="AW45" s="2858"/>
      <c r="AX45" s="2858"/>
      <c r="AY45" s="2858"/>
      <c r="AZ45" s="2858"/>
      <c r="BA45" s="2858"/>
      <c r="BB45" s="2858"/>
      <c r="BC45" s="2858"/>
      <c r="BD45" s="2858"/>
      <c r="BE45" s="2858"/>
      <c r="BF45" s="2858"/>
      <c r="BG45" s="2858"/>
      <c r="BH45" s="4284"/>
      <c r="BI45" s="4284"/>
      <c r="BJ45" s="4210"/>
      <c r="BK45" s="2858"/>
      <c r="BL45" s="2858"/>
      <c r="BM45" s="3052"/>
      <c r="BN45" s="3052"/>
      <c r="BO45" s="3052"/>
      <c r="BP45" s="4141"/>
      <c r="BQ45" s="4144"/>
    </row>
    <row r="46" spans="1:69" ht="63.75" customHeight="1" x14ac:dyDescent="0.2">
      <c r="A46" s="1793"/>
      <c r="B46" s="1794"/>
      <c r="C46" s="1795"/>
      <c r="D46" s="1848"/>
      <c r="E46" s="1848"/>
      <c r="F46" s="1795"/>
      <c r="G46" s="1793"/>
      <c r="H46" s="1848"/>
      <c r="I46" s="1795"/>
      <c r="J46" s="4154"/>
      <c r="K46" s="4148"/>
      <c r="L46" s="4148"/>
      <c r="M46" s="4154"/>
      <c r="N46" s="4154"/>
      <c r="O46" s="4154"/>
      <c r="P46" s="4148"/>
      <c r="Q46" s="2692"/>
      <c r="R46" s="2908"/>
      <c r="S46" s="4148"/>
      <c r="T46" s="4148"/>
      <c r="U46" s="1853" t="s">
        <v>1489</v>
      </c>
      <c r="V46" s="1851">
        <v>4000000</v>
      </c>
      <c r="W46" s="1851">
        <v>0</v>
      </c>
      <c r="X46" s="1625">
        <v>0</v>
      </c>
      <c r="Y46" s="1852">
        <v>61</v>
      </c>
      <c r="Z46" s="4154"/>
      <c r="AA46" s="2858"/>
      <c r="AB46" s="2858"/>
      <c r="AC46" s="2858"/>
      <c r="AD46" s="2858"/>
      <c r="AE46" s="2858"/>
      <c r="AF46" s="2858"/>
      <c r="AG46" s="2858"/>
      <c r="AH46" s="2858"/>
      <c r="AI46" s="2858"/>
      <c r="AJ46" s="2858"/>
      <c r="AK46" s="2858"/>
      <c r="AL46" s="2858"/>
      <c r="AM46" s="2858"/>
      <c r="AN46" s="2858"/>
      <c r="AO46" s="2858"/>
      <c r="AP46" s="2858"/>
      <c r="AQ46" s="2858"/>
      <c r="AR46" s="2858"/>
      <c r="AS46" s="2858"/>
      <c r="AT46" s="2858"/>
      <c r="AU46" s="2858"/>
      <c r="AV46" s="2858"/>
      <c r="AW46" s="2858"/>
      <c r="AX46" s="2858"/>
      <c r="AY46" s="2858"/>
      <c r="AZ46" s="2858"/>
      <c r="BA46" s="2858"/>
      <c r="BB46" s="2858"/>
      <c r="BC46" s="2858"/>
      <c r="BD46" s="2858"/>
      <c r="BE46" s="2858"/>
      <c r="BF46" s="2858"/>
      <c r="BG46" s="2858"/>
      <c r="BH46" s="4284"/>
      <c r="BI46" s="4284"/>
      <c r="BJ46" s="4210"/>
      <c r="BK46" s="2858"/>
      <c r="BL46" s="2858"/>
      <c r="BM46" s="3052"/>
      <c r="BN46" s="3052"/>
      <c r="BO46" s="3052"/>
      <c r="BP46" s="4141"/>
      <c r="BQ46" s="4144"/>
    </row>
    <row r="47" spans="1:69" ht="63.75" customHeight="1" x14ac:dyDescent="0.2">
      <c r="A47" s="1793"/>
      <c r="B47" s="1794"/>
      <c r="C47" s="1795"/>
      <c r="D47" s="1848"/>
      <c r="E47" s="1848"/>
      <c r="F47" s="1795"/>
      <c r="G47" s="1793"/>
      <c r="H47" s="1848"/>
      <c r="I47" s="1795"/>
      <c r="J47" s="4155"/>
      <c r="K47" s="4149"/>
      <c r="L47" s="4149"/>
      <c r="M47" s="4155"/>
      <c r="N47" s="4154"/>
      <c r="O47" s="4154"/>
      <c r="P47" s="4148"/>
      <c r="Q47" s="4161"/>
      <c r="R47" s="2908"/>
      <c r="S47" s="4148"/>
      <c r="T47" s="4149"/>
      <c r="U47" s="161" t="s">
        <v>1490</v>
      </c>
      <c r="V47" s="1851">
        <v>4000000</v>
      </c>
      <c r="W47" s="1851">
        <v>0</v>
      </c>
      <c r="X47" s="1625">
        <v>0</v>
      </c>
      <c r="Y47" s="1852">
        <v>61</v>
      </c>
      <c r="Z47" s="4154"/>
      <c r="AA47" s="2858"/>
      <c r="AB47" s="2858"/>
      <c r="AC47" s="2858"/>
      <c r="AD47" s="2858"/>
      <c r="AE47" s="2858"/>
      <c r="AF47" s="2858"/>
      <c r="AG47" s="2858"/>
      <c r="AH47" s="2858"/>
      <c r="AI47" s="2858"/>
      <c r="AJ47" s="2858"/>
      <c r="AK47" s="2858"/>
      <c r="AL47" s="2858"/>
      <c r="AM47" s="2858"/>
      <c r="AN47" s="2858"/>
      <c r="AO47" s="2858"/>
      <c r="AP47" s="2858"/>
      <c r="AQ47" s="2858"/>
      <c r="AR47" s="2858"/>
      <c r="AS47" s="2858"/>
      <c r="AT47" s="2858"/>
      <c r="AU47" s="2858"/>
      <c r="AV47" s="2858"/>
      <c r="AW47" s="2858"/>
      <c r="AX47" s="2858"/>
      <c r="AY47" s="2858"/>
      <c r="AZ47" s="2858"/>
      <c r="BA47" s="2858"/>
      <c r="BB47" s="2858"/>
      <c r="BC47" s="2858"/>
      <c r="BD47" s="2858"/>
      <c r="BE47" s="2858"/>
      <c r="BF47" s="2858"/>
      <c r="BG47" s="2858"/>
      <c r="BH47" s="4284"/>
      <c r="BI47" s="4284"/>
      <c r="BJ47" s="4210"/>
      <c r="BK47" s="2858"/>
      <c r="BL47" s="2858"/>
      <c r="BM47" s="3052"/>
      <c r="BN47" s="3052"/>
      <c r="BO47" s="3052"/>
      <c r="BP47" s="4141"/>
      <c r="BQ47" s="4144"/>
    </row>
    <row r="48" spans="1:69" ht="62.25" customHeight="1" x14ac:dyDescent="0.2">
      <c r="A48" s="1793"/>
      <c r="B48" s="1794"/>
      <c r="C48" s="1795"/>
      <c r="D48" s="1848"/>
      <c r="E48" s="1848"/>
      <c r="F48" s="1795"/>
      <c r="G48" s="1793"/>
      <c r="H48" s="1848"/>
      <c r="I48" s="1795"/>
      <c r="J48" s="4153">
        <v>134</v>
      </c>
      <c r="K48" s="4147" t="s">
        <v>1491</v>
      </c>
      <c r="L48" s="4147" t="s">
        <v>1492</v>
      </c>
      <c r="M48" s="4153">
        <v>4800</v>
      </c>
      <c r="N48" s="4154"/>
      <c r="O48" s="4154"/>
      <c r="P48" s="4148"/>
      <c r="Q48" s="4204">
        <f>(V48+V49+V50+V51+V52+V53+V54+V55+V56+V57+V58+V59)/R39</f>
        <v>0.40540540540540543</v>
      </c>
      <c r="R48" s="2908"/>
      <c r="S48" s="4148"/>
      <c r="T48" s="4147" t="s">
        <v>1493</v>
      </c>
      <c r="U48" s="161" t="s">
        <v>1494</v>
      </c>
      <c r="V48" s="1851">
        <v>5000000</v>
      </c>
      <c r="W48" s="1851">
        <v>0</v>
      </c>
      <c r="X48" s="1625">
        <v>0</v>
      </c>
      <c r="Y48" s="1852">
        <v>61</v>
      </c>
      <c r="Z48" s="4154"/>
      <c r="AA48" s="2858"/>
      <c r="AB48" s="2858"/>
      <c r="AC48" s="2858"/>
      <c r="AD48" s="2858">
        <v>0</v>
      </c>
      <c r="AE48" s="2858"/>
      <c r="AF48" s="2858">
        <v>0</v>
      </c>
      <c r="AG48" s="2858"/>
      <c r="AH48" s="2858">
        <v>0</v>
      </c>
      <c r="AI48" s="2858"/>
      <c r="AJ48" s="2858">
        <v>0</v>
      </c>
      <c r="AK48" s="2858"/>
      <c r="AL48" s="2858">
        <v>0</v>
      </c>
      <c r="AM48" s="2858"/>
      <c r="AN48" s="2858">
        <v>0</v>
      </c>
      <c r="AO48" s="2858"/>
      <c r="AP48" s="2858">
        <v>0</v>
      </c>
      <c r="AQ48" s="2858"/>
      <c r="AR48" s="2858">
        <v>0</v>
      </c>
      <c r="AS48" s="2858"/>
      <c r="AT48" s="2858">
        <v>0</v>
      </c>
      <c r="AU48" s="2858"/>
      <c r="AV48" s="2858">
        <v>0</v>
      </c>
      <c r="AW48" s="2858"/>
      <c r="AX48" s="2858">
        <v>0</v>
      </c>
      <c r="AY48" s="2858"/>
      <c r="AZ48" s="2858">
        <v>0</v>
      </c>
      <c r="BA48" s="2858"/>
      <c r="BB48" s="2858">
        <v>0</v>
      </c>
      <c r="BC48" s="2858"/>
      <c r="BD48" s="2858">
        <v>0</v>
      </c>
      <c r="BE48" s="2858"/>
      <c r="BF48" s="2858">
        <v>0</v>
      </c>
      <c r="BG48" s="2858"/>
      <c r="BH48" s="4284"/>
      <c r="BI48" s="4284"/>
      <c r="BJ48" s="4210"/>
      <c r="BK48" s="2858"/>
      <c r="BL48" s="2858"/>
      <c r="BM48" s="3052"/>
      <c r="BN48" s="3052"/>
      <c r="BO48" s="3052"/>
      <c r="BP48" s="4141"/>
      <c r="BQ48" s="4144"/>
    </row>
    <row r="49" spans="1:69" ht="62.25" customHeight="1" x14ac:dyDescent="0.2">
      <c r="A49" s="1793"/>
      <c r="B49" s="1794"/>
      <c r="C49" s="1795"/>
      <c r="D49" s="1848"/>
      <c r="E49" s="1848"/>
      <c r="F49" s="1795"/>
      <c r="G49" s="1793"/>
      <c r="H49" s="1848"/>
      <c r="I49" s="1795"/>
      <c r="J49" s="4154"/>
      <c r="K49" s="4148"/>
      <c r="L49" s="4148"/>
      <c r="M49" s="4154"/>
      <c r="N49" s="4154"/>
      <c r="O49" s="4154"/>
      <c r="P49" s="4148"/>
      <c r="Q49" s="4205"/>
      <c r="R49" s="2908"/>
      <c r="S49" s="4148"/>
      <c r="T49" s="4148"/>
      <c r="U49" s="161" t="s">
        <v>1495</v>
      </c>
      <c r="V49" s="1851">
        <v>5000000</v>
      </c>
      <c r="W49" s="1851">
        <v>0</v>
      </c>
      <c r="X49" s="1625">
        <v>0</v>
      </c>
      <c r="Y49" s="1852">
        <v>61</v>
      </c>
      <c r="Z49" s="4154"/>
      <c r="AA49" s="2858"/>
      <c r="AB49" s="2858"/>
      <c r="AC49" s="2858"/>
      <c r="AD49" s="2858"/>
      <c r="AE49" s="2858"/>
      <c r="AF49" s="2858"/>
      <c r="AG49" s="2858"/>
      <c r="AH49" s="2858"/>
      <c r="AI49" s="2858"/>
      <c r="AJ49" s="2858"/>
      <c r="AK49" s="2858"/>
      <c r="AL49" s="2858"/>
      <c r="AM49" s="2858"/>
      <c r="AN49" s="2858"/>
      <c r="AO49" s="2858"/>
      <c r="AP49" s="2858"/>
      <c r="AQ49" s="2858"/>
      <c r="AR49" s="2858"/>
      <c r="AS49" s="2858"/>
      <c r="AT49" s="2858"/>
      <c r="AU49" s="2858"/>
      <c r="AV49" s="2858"/>
      <c r="AW49" s="2858"/>
      <c r="AX49" s="2858"/>
      <c r="AY49" s="2858"/>
      <c r="AZ49" s="2858"/>
      <c r="BA49" s="2858"/>
      <c r="BB49" s="2858"/>
      <c r="BC49" s="2858"/>
      <c r="BD49" s="2858"/>
      <c r="BE49" s="2858"/>
      <c r="BF49" s="2858"/>
      <c r="BG49" s="2858"/>
      <c r="BH49" s="4284"/>
      <c r="BI49" s="4284"/>
      <c r="BJ49" s="4210"/>
      <c r="BK49" s="2858"/>
      <c r="BL49" s="2858"/>
      <c r="BM49" s="3052"/>
      <c r="BN49" s="3052"/>
      <c r="BO49" s="3052"/>
      <c r="BP49" s="4141"/>
      <c r="BQ49" s="4144"/>
    </row>
    <row r="50" spans="1:69" ht="62.25" customHeight="1" x14ac:dyDescent="0.2">
      <c r="A50" s="1793"/>
      <c r="B50" s="1794"/>
      <c r="C50" s="1795"/>
      <c r="D50" s="1848"/>
      <c r="E50" s="1848"/>
      <c r="F50" s="1795"/>
      <c r="G50" s="1793"/>
      <c r="H50" s="1848"/>
      <c r="I50" s="1795"/>
      <c r="J50" s="4154"/>
      <c r="K50" s="4148"/>
      <c r="L50" s="4148"/>
      <c r="M50" s="4154"/>
      <c r="N50" s="4154"/>
      <c r="O50" s="4154"/>
      <c r="P50" s="4148"/>
      <c r="Q50" s="4205"/>
      <c r="R50" s="2908"/>
      <c r="S50" s="4148"/>
      <c r="T50" s="4148"/>
      <c r="U50" s="161" t="s">
        <v>1496</v>
      </c>
      <c r="V50" s="1851">
        <v>5000000</v>
      </c>
      <c r="W50" s="1851">
        <v>0</v>
      </c>
      <c r="X50" s="1625">
        <v>0</v>
      </c>
      <c r="Y50" s="1852">
        <v>61</v>
      </c>
      <c r="Z50" s="4154"/>
      <c r="AA50" s="2858"/>
      <c r="AB50" s="2858"/>
      <c r="AC50" s="2858"/>
      <c r="AD50" s="2858"/>
      <c r="AE50" s="2858"/>
      <c r="AF50" s="2858"/>
      <c r="AG50" s="2858"/>
      <c r="AH50" s="2858"/>
      <c r="AI50" s="2858"/>
      <c r="AJ50" s="2858"/>
      <c r="AK50" s="2858"/>
      <c r="AL50" s="2858"/>
      <c r="AM50" s="2858"/>
      <c r="AN50" s="2858"/>
      <c r="AO50" s="2858"/>
      <c r="AP50" s="2858"/>
      <c r="AQ50" s="2858"/>
      <c r="AR50" s="2858"/>
      <c r="AS50" s="2858"/>
      <c r="AT50" s="2858"/>
      <c r="AU50" s="2858"/>
      <c r="AV50" s="2858"/>
      <c r="AW50" s="2858"/>
      <c r="AX50" s="2858"/>
      <c r="AY50" s="2858"/>
      <c r="AZ50" s="2858"/>
      <c r="BA50" s="2858"/>
      <c r="BB50" s="2858"/>
      <c r="BC50" s="2858"/>
      <c r="BD50" s="2858"/>
      <c r="BE50" s="2858"/>
      <c r="BF50" s="2858"/>
      <c r="BG50" s="2858"/>
      <c r="BH50" s="4284"/>
      <c r="BI50" s="4284"/>
      <c r="BJ50" s="4210"/>
      <c r="BK50" s="2858"/>
      <c r="BL50" s="2858"/>
      <c r="BM50" s="3052"/>
      <c r="BN50" s="3052"/>
      <c r="BO50" s="3052"/>
      <c r="BP50" s="4141"/>
      <c r="BQ50" s="4144"/>
    </row>
    <row r="51" spans="1:69" ht="62.25" customHeight="1" x14ac:dyDescent="0.2">
      <c r="A51" s="1793"/>
      <c r="B51" s="1794"/>
      <c r="C51" s="1795"/>
      <c r="D51" s="1848"/>
      <c r="E51" s="1848"/>
      <c r="F51" s="1795"/>
      <c r="G51" s="1793"/>
      <c r="H51" s="1848"/>
      <c r="I51" s="1795"/>
      <c r="J51" s="4154"/>
      <c r="K51" s="4148"/>
      <c r="L51" s="4148"/>
      <c r="M51" s="4154"/>
      <c r="N51" s="4154"/>
      <c r="O51" s="4154"/>
      <c r="P51" s="4148"/>
      <c r="Q51" s="4205"/>
      <c r="R51" s="2908"/>
      <c r="S51" s="4148"/>
      <c r="T51" s="4148"/>
      <c r="U51" s="161" t="s">
        <v>1497</v>
      </c>
      <c r="V51" s="1851">
        <v>5000000</v>
      </c>
      <c r="W51" s="1851">
        <v>0</v>
      </c>
      <c r="X51" s="1625">
        <v>0</v>
      </c>
      <c r="Y51" s="1852">
        <v>61</v>
      </c>
      <c r="Z51" s="4154"/>
      <c r="AA51" s="2858"/>
      <c r="AB51" s="2858"/>
      <c r="AC51" s="2858"/>
      <c r="AD51" s="2858"/>
      <c r="AE51" s="2858"/>
      <c r="AF51" s="2858"/>
      <c r="AG51" s="2858"/>
      <c r="AH51" s="2858"/>
      <c r="AI51" s="2858"/>
      <c r="AJ51" s="2858"/>
      <c r="AK51" s="2858"/>
      <c r="AL51" s="2858"/>
      <c r="AM51" s="2858"/>
      <c r="AN51" s="2858"/>
      <c r="AO51" s="2858"/>
      <c r="AP51" s="2858"/>
      <c r="AQ51" s="2858"/>
      <c r="AR51" s="2858"/>
      <c r="AS51" s="2858"/>
      <c r="AT51" s="2858"/>
      <c r="AU51" s="2858"/>
      <c r="AV51" s="2858"/>
      <c r="AW51" s="2858"/>
      <c r="AX51" s="2858"/>
      <c r="AY51" s="2858"/>
      <c r="AZ51" s="2858"/>
      <c r="BA51" s="2858"/>
      <c r="BB51" s="2858"/>
      <c r="BC51" s="2858"/>
      <c r="BD51" s="2858"/>
      <c r="BE51" s="2858"/>
      <c r="BF51" s="2858"/>
      <c r="BG51" s="2858"/>
      <c r="BH51" s="4284"/>
      <c r="BI51" s="4284"/>
      <c r="BJ51" s="4210"/>
      <c r="BK51" s="2858"/>
      <c r="BL51" s="2858"/>
      <c r="BM51" s="3052"/>
      <c r="BN51" s="3052"/>
      <c r="BO51" s="3052"/>
      <c r="BP51" s="4141"/>
      <c r="BQ51" s="4144"/>
    </row>
    <row r="52" spans="1:69" ht="62.25" customHeight="1" x14ac:dyDescent="0.2">
      <c r="A52" s="1793"/>
      <c r="B52" s="1794"/>
      <c r="C52" s="1795"/>
      <c r="D52" s="1848"/>
      <c r="E52" s="1848"/>
      <c r="F52" s="1795"/>
      <c r="G52" s="1793"/>
      <c r="H52" s="1848"/>
      <c r="I52" s="1795"/>
      <c r="J52" s="4154"/>
      <c r="K52" s="4148"/>
      <c r="L52" s="4148"/>
      <c r="M52" s="4154"/>
      <c r="N52" s="4154"/>
      <c r="O52" s="4154"/>
      <c r="P52" s="4148"/>
      <c r="Q52" s="4205"/>
      <c r="R52" s="2908"/>
      <c r="S52" s="4148"/>
      <c r="T52" s="4148"/>
      <c r="U52" s="161" t="s">
        <v>1498</v>
      </c>
      <c r="V52" s="1851">
        <v>5000000</v>
      </c>
      <c r="W52" s="1851">
        <v>0</v>
      </c>
      <c r="X52" s="1625">
        <v>0</v>
      </c>
      <c r="Y52" s="1852">
        <v>61</v>
      </c>
      <c r="Z52" s="4154"/>
      <c r="AA52" s="2858"/>
      <c r="AB52" s="2858"/>
      <c r="AC52" s="2858"/>
      <c r="AD52" s="2858"/>
      <c r="AE52" s="2858"/>
      <c r="AF52" s="2858"/>
      <c r="AG52" s="2858"/>
      <c r="AH52" s="2858"/>
      <c r="AI52" s="2858"/>
      <c r="AJ52" s="2858"/>
      <c r="AK52" s="2858"/>
      <c r="AL52" s="2858"/>
      <c r="AM52" s="2858"/>
      <c r="AN52" s="2858"/>
      <c r="AO52" s="2858"/>
      <c r="AP52" s="2858"/>
      <c r="AQ52" s="2858"/>
      <c r="AR52" s="2858"/>
      <c r="AS52" s="2858"/>
      <c r="AT52" s="2858"/>
      <c r="AU52" s="2858"/>
      <c r="AV52" s="2858"/>
      <c r="AW52" s="2858"/>
      <c r="AX52" s="2858"/>
      <c r="AY52" s="2858"/>
      <c r="AZ52" s="2858"/>
      <c r="BA52" s="2858"/>
      <c r="BB52" s="2858"/>
      <c r="BC52" s="2858"/>
      <c r="BD52" s="2858"/>
      <c r="BE52" s="2858"/>
      <c r="BF52" s="2858"/>
      <c r="BG52" s="2858"/>
      <c r="BH52" s="4284"/>
      <c r="BI52" s="4284"/>
      <c r="BJ52" s="4210"/>
      <c r="BK52" s="2858"/>
      <c r="BL52" s="2858"/>
      <c r="BM52" s="3052"/>
      <c r="BN52" s="3052"/>
      <c r="BO52" s="3052"/>
      <c r="BP52" s="4141"/>
      <c r="BQ52" s="4144"/>
    </row>
    <row r="53" spans="1:69" ht="62.25" customHeight="1" x14ac:dyDescent="0.2">
      <c r="A53" s="1793"/>
      <c r="B53" s="1794"/>
      <c r="C53" s="1795"/>
      <c r="D53" s="1848"/>
      <c r="E53" s="1848"/>
      <c r="F53" s="1795"/>
      <c r="G53" s="1793"/>
      <c r="H53" s="1848"/>
      <c r="I53" s="1795"/>
      <c r="J53" s="4154"/>
      <c r="K53" s="4148"/>
      <c r="L53" s="4148"/>
      <c r="M53" s="4154"/>
      <c r="N53" s="4154"/>
      <c r="O53" s="4154"/>
      <c r="P53" s="4148"/>
      <c r="Q53" s="4205"/>
      <c r="R53" s="2908"/>
      <c r="S53" s="4148"/>
      <c r="T53" s="4148"/>
      <c r="U53" s="161" t="s">
        <v>1499</v>
      </c>
      <c r="V53" s="1851">
        <v>5000000</v>
      </c>
      <c r="W53" s="1851">
        <v>0</v>
      </c>
      <c r="X53" s="1625">
        <v>0</v>
      </c>
      <c r="Y53" s="1852">
        <v>61</v>
      </c>
      <c r="Z53" s="4154"/>
      <c r="AA53" s="2858"/>
      <c r="AB53" s="2858"/>
      <c r="AC53" s="2858"/>
      <c r="AD53" s="2858"/>
      <c r="AE53" s="2858"/>
      <c r="AF53" s="2858"/>
      <c r="AG53" s="2858"/>
      <c r="AH53" s="2858"/>
      <c r="AI53" s="2858"/>
      <c r="AJ53" s="2858"/>
      <c r="AK53" s="2858"/>
      <c r="AL53" s="2858"/>
      <c r="AM53" s="2858"/>
      <c r="AN53" s="2858"/>
      <c r="AO53" s="2858"/>
      <c r="AP53" s="2858"/>
      <c r="AQ53" s="2858"/>
      <c r="AR53" s="2858"/>
      <c r="AS53" s="2858"/>
      <c r="AT53" s="2858"/>
      <c r="AU53" s="2858"/>
      <c r="AV53" s="2858"/>
      <c r="AW53" s="2858"/>
      <c r="AX53" s="2858"/>
      <c r="AY53" s="2858"/>
      <c r="AZ53" s="2858"/>
      <c r="BA53" s="2858"/>
      <c r="BB53" s="2858"/>
      <c r="BC53" s="2858"/>
      <c r="BD53" s="2858"/>
      <c r="BE53" s="2858"/>
      <c r="BF53" s="2858"/>
      <c r="BG53" s="2858"/>
      <c r="BH53" s="4284"/>
      <c r="BI53" s="4284"/>
      <c r="BJ53" s="4210"/>
      <c r="BK53" s="2858"/>
      <c r="BL53" s="2858"/>
      <c r="BM53" s="3052"/>
      <c r="BN53" s="3052"/>
      <c r="BO53" s="3052"/>
      <c r="BP53" s="4141"/>
      <c r="BQ53" s="4144"/>
    </row>
    <row r="54" spans="1:69" ht="62.25" customHeight="1" x14ac:dyDescent="0.2">
      <c r="A54" s="1793"/>
      <c r="B54" s="1794"/>
      <c r="C54" s="1795"/>
      <c r="D54" s="1848"/>
      <c r="E54" s="1848"/>
      <c r="F54" s="1795"/>
      <c r="G54" s="1793"/>
      <c r="H54" s="1848"/>
      <c r="I54" s="1795"/>
      <c r="J54" s="4154"/>
      <c r="K54" s="4148"/>
      <c r="L54" s="4148"/>
      <c r="M54" s="4154"/>
      <c r="N54" s="4154"/>
      <c r="O54" s="4154"/>
      <c r="P54" s="4148"/>
      <c r="Q54" s="4205"/>
      <c r="R54" s="2908"/>
      <c r="S54" s="4148"/>
      <c r="T54" s="4148"/>
      <c r="U54" s="161" t="s">
        <v>1500</v>
      </c>
      <c r="V54" s="1851">
        <v>5000000</v>
      </c>
      <c r="W54" s="1851">
        <v>0</v>
      </c>
      <c r="X54" s="1625">
        <v>0</v>
      </c>
      <c r="Y54" s="1852">
        <v>61</v>
      </c>
      <c r="Z54" s="4154"/>
      <c r="AA54" s="2858"/>
      <c r="AB54" s="2858"/>
      <c r="AC54" s="2858"/>
      <c r="AD54" s="2858"/>
      <c r="AE54" s="2858"/>
      <c r="AF54" s="2858"/>
      <c r="AG54" s="2858"/>
      <c r="AH54" s="2858"/>
      <c r="AI54" s="2858"/>
      <c r="AJ54" s="2858"/>
      <c r="AK54" s="2858"/>
      <c r="AL54" s="2858"/>
      <c r="AM54" s="2858"/>
      <c r="AN54" s="2858"/>
      <c r="AO54" s="2858"/>
      <c r="AP54" s="2858"/>
      <c r="AQ54" s="2858"/>
      <c r="AR54" s="2858"/>
      <c r="AS54" s="2858"/>
      <c r="AT54" s="2858"/>
      <c r="AU54" s="2858"/>
      <c r="AV54" s="2858"/>
      <c r="AW54" s="2858"/>
      <c r="AX54" s="2858"/>
      <c r="AY54" s="2858"/>
      <c r="AZ54" s="2858"/>
      <c r="BA54" s="2858"/>
      <c r="BB54" s="2858"/>
      <c r="BC54" s="2858"/>
      <c r="BD54" s="2858"/>
      <c r="BE54" s="2858"/>
      <c r="BF54" s="2858"/>
      <c r="BG54" s="2858"/>
      <c r="BH54" s="4284"/>
      <c r="BI54" s="4284"/>
      <c r="BJ54" s="4210"/>
      <c r="BK54" s="2858"/>
      <c r="BL54" s="2858"/>
      <c r="BM54" s="3052"/>
      <c r="BN54" s="3052"/>
      <c r="BO54" s="3052"/>
      <c r="BP54" s="4141"/>
      <c r="BQ54" s="4144"/>
    </row>
    <row r="55" spans="1:69" ht="62.25" customHeight="1" x14ac:dyDescent="0.2">
      <c r="A55" s="1793"/>
      <c r="B55" s="1794"/>
      <c r="C55" s="1795"/>
      <c r="D55" s="1848"/>
      <c r="E55" s="1848"/>
      <c r="F55" s="1795"/>
      <c r="G55" s="1793"/>
      <c r="H55" s="1848"/>
      <c r="I55" s="1795"/>
      <c r="J55" s="4154"/>
      <c r="K55" s="4148"/>
      <c r="L55" s="4148"/>
      <c r="M55" s="4154"/>
      <c r="N55" s="4154"/>
      <c r="O55" s="4154"/>
      <c r="P55" s="4148"/>
      <c r="Q55" s="4205"/>
      <c r="R55" s="2908"/>
      <c r="S55" s="4148"/>
      <c r="T55" s="4148"/>
      <c r="U55" s="161" t="s">
        <v>1501</v>
      </c>
      <c r="V55" s="1851">
        <v>5000000</v>
      </c>
      <c r="W55" s="1851">
        <v>0</v>
      </c>
      <c r="X55" s="1625">
        <v>0</v>
      </c>
      <c r="Y55" s="1852">
        <v>61</v>
      </c>
      <c r="Z55" s="4154"/>
      <c r="AA55" s="2858"/>
      <c r="AB55" s="2858"/>
      <c r="AC55" s="2858"/>
      <c r="AD55" s="2858"/>
      <c r="AE55" s="2858"/>
      <c r="AF55" s="2858"/>
      <c r="AG55" s="2858"/>
      <c r="AH55" s="2858"/>
      <c r="AI55" s="2858"/>
      <c r="AJ55" s="2858"/>
      <c r="AK55" s="2858"/>
      <c r="AL55" s="2858"/>
      <c r="AM55" s="2858"/>
      <c r="AN55" s="2858"/>
      <c r="AO55" s="2858"/>
      <c r="AP55" s="2858"/>
      <c r="AQ55" s="2858"/>
      <c r="AR55" s="2858"/>
      <c r="AS55" s="2858"/>
      <c r="AT55" s="2858"/>
      <c r="AU55" s="2858"/>
      <c r="AV55" s="2858"/>
      <c r="AW55" s="2858"/>
      <c r="AX55" s="2858"/>
      <c r="AY55" s="2858"/>
      <c r="AZ55" s="2858"/>
      <c r="BA55" s="2858"/>
      <c r="BB55" s="2858"/>
      <c r="BC55" s="2858"/>
      <c r="BD55" s="2858"/>
      <c r="BE55" s="2858"/>
      <c r="BF55" s="2858"/>
      <c r="BG55" s="2858"/>
      <c r="BH55" s="4284"/>
      <c r="BI55" s="4284"/>
      <c r="BJ55" s="4210"/>
      <c r="BK55" s="2858"/>
      <c r="BL55" s="2858"/>
      <c r="BM55" s="3052"/>
      <c r="BN55" s="3052"/>
      <c r="BO55" s="3052"/>
      <c r="BP55" s="4141"/>
      <c r="BQ55" s="4144"/>
    </row>
    <row r="56" spans="1:69" ht="61.5" customHeight="1" x14ac:dyDescent="0.2">
      <c r="A56" s="1793"/>
      <c r="B56" s="1794"/>
      <c r="C56" s="1795"/>
      <c r="D56" s="1848"/>
      <c r="E56" s="1848"/>
      <c r="F56" s="1795"/>
      <c r="G56" s="1793"/>
      <c r="H56" s="1848"/>
      <c r="I56" s="1795"/>
      <c r="J56" s="4154"/>
      <c r="K56" s="4148"/>
      <c r="L56" s="4148"/>
      <c r="M56" s="4154"/>
      <c r="N56" s="4154"/>
      <c r="O56" s="4154"/>
      <c r="P56" s="4148"/>
      <c r="Q56" s="4205"/>
      <c r="R56" s="2908"/>
      <c r="S56" s="4148"/>
      <c r="T56" s="4148"/>
      <c r="U56" s="161" t="s">
        <v>1502</v>
      </c>
      <c r="V56" s="1851">
        <v>5000000</v>
      </c>
      <c r="W56" s="1851">
        <v>0</v>
      </c>
      <c r="X56" s="1625">
        <v>0</v>
      </c>
      <c r="Y56" s="1852">
        <v>61</v>
      </c>
      <c r="Z56" s="4154"/>
      <c r="AA56" s="2858"/>
      <c r="AB56" s="2858"/>
      <c r="AC56" s="2858"/>
      <c r="AD56" s="2858"/>
      <c r="AE56" s="2858"/>
      <c r="AF56" s="2858"/>
      <c r="AG56" s="2858"/>
      <c r="AH56" s="2858"/>
      <c r="AI56" s="2858"/>
      <c r="AJ56" s="2858"/>
      <c r="AK56" s="2858"/>
      <c r="AL56" s="2858"/>
      <c r="AM56" s="2858"/>
      <c r="AN56" s="2858"/>
      <c r="AO56" s="2858"/>
      <c r="AP56" s="2858"/>
      <c r="AQ56" s="2858"/>
      <c r="AR56" s="2858"/>
      <c r="AS56" s="2858"/>
      <c r="AT56" s="2858"/>
      <c r="AU56" s="2858"/>
      <c r="AV56" s="2858"/>
      <c r="AW56" s="2858"/>
      <c r="AX56" s="2858"/>
      <c r="AY56" s="2858"/>
      <c r="AZ56" s="2858"/>
      <c r="BA56" s="2858"/>
      <c r="BB56" s="2858"/>
      <c r="BC56" s="2858"/>
      <c r="BD56" s="2858"/>
      <c r="BE56" s="2858"/>
      <c r="BF56" s="2858"/>
      <c r="BG56" s="2858"/>
      <c r="BH56" s="4284"/>
      <c r="BI56" s="4284"/>
      <c r="BJ56" s="4210"/>
      <c r="BK56" s="2858"/>
      <c r="BL56" s="2858"/>
      <c r="BM56" s="3052"/>
      <c r="BN56" s="3052"/>
      <c r="BO56" s="3052"/>
      <c r="BP56" s="4141"/>
      <c r="BQ56" s="4144"/>
    </row>
    <row r="57" spans="1:69" ht="61.5" customHeight="1" x14ac:dyDescent="0.2">
      <c r="A57" s="1793"/>
      <c r="B57" s="1794"/>
      <c r="C57" s="1795"/>
      <c r="D57" s="1848"/>
      <c r="E57" s="1848"/>
      <c r="F57" s="1795"/>
      <c r="G57" s="1793"/>
      <c r="H57" s="1848"/>
      <c r="I57" s="1795"/>
      <c r="J57" s="4154"/>
      <c r="K57" s="4148"/>
      <c r="L57" s="4148"/>
      <c r="M57" s="4154"/>
      <c r="N57" s="4154"/>
      <c r="O57" s="4154"/>
      <c r="P57" s="4148"/>
      <c r="Q57" s="4205"/>
      <c r="R57" s="2908"/>
      <c r="S57" s="4148"/>
      <c r="T57" s="4148"/>
      <c r="U57" s="161" t="s">
        <v>1496</v>
      </c>
      <c r="V57" s="1851">
        <v>5000000</v>
      </c>
      <c r="W57" s="1851">
        <v>0</v>
      </c>
      <c r="X57" s="1625">
        <v>0</v>
      </c>
      <c r="Y57" s="1852">
        <v>61</v>
      </c>
      <c r="Z57" s="4154"/>
      <c r="AA57" s="2858"/>
      <c r="AB57" s="2858"/>
      <c r="AC57" s="2858"/>
      <c r="AD57" s="2858"/>
      <c r="AE57" s="2858"/>
      <c r="AF57" s="2858"/>
      <c r="AG57" s="2858"/>
      <c r="AH57" s="2858"/>
      <c r="AI57" s="2858"/>
      <c r="AJ57" s="2858"/>
      <c r="AK57" s="2858"/>
      <c r="AL57" s="2858"/>
      <c r="AM57" s="2858"/>
      <c r="AN57" s="2858"/>
      <c r="AO57" s="2858"/>
      <c r="AP57" s="2858"/>
      <c r="AQ57" s="2858"/>
      <c r="AR57" s="2858"/>
      <c r="AS57" s="2858"/>
      <c r="AT57" s="2858"/>
      <c r="AU57" s="2858"/>
      <c r="AV57" s="2858"/>
      <c r="AW57" s="2858"/>
      <c r="AX57" s="2858"/>
      <c r="AY57" s="2858"/>
      <c r="AZ57" s="2858"/>
      <c r="BA57" s="2858"/>
      <c r="BB57" s="2858"/>
      <c r="BC57" s="2858"/>
      <c r="BD57" s="2858"/>
      <c r="BE57" s="2858"/>
      <c r="BF57" s="2858"/>
      <c r="BG57" s="2858"/>
      <c r="BH57" s="4284"/>
      <c r="BI57" s="4284"/>
      <c r="BJ57" s="4210"/>
      <c r="BK57" s="2858"/>
      <c r="BL57" s="2858"/>
      <c r="BM57" s="3052"/>
      <c r="BN57" s="3052"/>
      <c r="BO57" s="3052"/>
      <c r="BP57" s="4141"/>
      <c r="BQ57" s="4144"/>
    </row>
    <row r="58" spans="1:69" ht="61.5" customHeight="1" x14ac:dyDescent="0.2">
      <c r="A58" s="1793"/>
      <c r="B58" s="1794"/>
      <c r="C58" s="1795"/>
      <c r="D58" s="1848"/>
      <c r="E58" s="1848"/>
      <c r="F58" s="1795"/>
      <c r="G58" s="1793"/>
      <c r="H58" s="1848"/>
      <c r="I58" s="1795"/>
      <c r="J58" s="4154"/>
      <c r="K58" s="4148"/>
      <c r="L58" s="4148"/>
      <c r="M58" s="4154"/>
      <c r="N58" s="4154"/>
      <c r="O58" s="4154"/>
      <c r="P58" s="4148"/>
      <c r="Q58" s="4205"/>
      <c r="R58" s="2908"/>
      <c r="S58" s="4148"/>
      <c r="T58" s="4148"/>
      <c r="U58" s="161" t="s">
        <v>1495</v>
      </c>
      <c r="V58" s="1851">
        <v>5000000</v>
      </c>
      <c r="W58" s="1851">
        <v>0</v>
      </c>
      <c r="X58" s="1625">
        <v>0</v>
      </c>
      <c r="Y58" s="1852">
        <v>61</v>
      </c>
      <c r="Z58" s="4154"/>
      <c r="AA58" s="2858"/>
      <c r="AB58" s="2858"/>
      <c r="AC58" s="2858"/>
      <c r="AD58" s="2858"/>
      <c r="AE58" s="2858"/>
      <c r="AF58" s="2858"/>
      <c r="AG58" s="2858"/>
      <c r="AH58" s="2858"/>
      <c r="AI58" s="2858"/>
      <c r="AJ58" s="2858"/>
      <c r="AK58" s="2858"/>
      <c r="AL58" s="2858"/>
      <c r="AM58" s="2858"/>
      <c r="AN58" s="2858"/>
      <c r="AO58" s="2858"/>
      <c r="AP58" s="2858"/>
      <c r="AQ58" s="2858"/>
      <c r="AR58" s="2858"/>
      <c r="AS58" s="2858"/>
      <c r="AT58" s="2858"/>
      <c r="AU58" s="2858"/>
      <c r="AV58" s="2858"/>
      <c r="AW58" s="2858"/>
      <c r="AX58" s="2858"/>
      <c r="AY58" s="2858"/>
      <c r="AZ58" s="2858"/>
      <c r="BA58" s="2858"/>
      <c r="BB58" s="2858"/>
      <c r="BC58" s="2858"/>
      <c r="BD58" s="2858"/>
      <c r="BE58" s="2858"/>
      <c r="BF58" s="2858"/>
      <c r="BG58" s="2858"/>
      <c r="BH58" s="4284"/>
      <c r="BI58" s="4284"/>
      <c r="BJ58" s="4210"/>
      <c r="BK58" s="2858"/>
      <c r="BL58" s="2858"/>
      <c r="BM58" s="3052"/>
      <c r="BN58" s="3052"/>
      <c r="BO58" s="3052"/>
      <c r="BP58" s="4141"/>
      <c r="BQ58" s="4144"/>
    </row>
    <row r="59" spans="1:69" ht="61.5" customHeight="1" x14ac:dyDescent="0.2">
      <c r="A59" s="1793"/>
      <c r="B59" s="1794"/>
      <c r="C59" s="1795"/>
      <c r="D59" s="1848"/>
      <c r="E59" s="1848"/>
      <c r="F59" s="1795"/>
      <c r="G59" s="1793"/>
      <c r="H59" s="1848"/>
      <c r="I59" s="1795"/>
      <c r="J59" s="4155"/>
      <c r="K59" s="4149"/>
      <c r="L59" s="4149"/>
      <c r="M59" s="4155"/>
      <c r="N59" s="4154"/>
      <c r="O59" s="4154"/>
      <c r="P59" s="4148"/>
      <c r="Q59" s="4206"/>
      <c r="R59" s="2908"/>
      <c r="S59" s="4148"/>
      <c r="T59" s="4148"/>
      <c r="U59" s="161" t="s">
        <v>1503</v>
      </c>
      <c r="V59" s="1851">
        <v>5000000</v>
      </c>
      <c r="W59" s="1851">
        <v>0</v>
      </c>
      <c r="X59" s="1625">
        <v>0</v>
      </c>
      <c r="Y59" s="1852">
        <v>61</v>
      </c>
      <c r="Z59" s="4154"/>
      <c r="AA59" s="2858"/>
      <c r="AB59" s="2858"/>
      <c r="AC59" s="2858"/>
      <c r="AD59" s="2858"/>
      <c r="AE59" s="2858"/>
      <c r="AF59" s="2858"/>
      <c r="AG59" s="2858"/>
      <c r="AH59" s="2858"/>
      <c r="AI59" s="2858"/>
      <c r="AJ59" s="2858"/>
      <c r="AK59" s="2858"/>
      <c r="AL59" s="2858"/>
      <c r="AM59" s="2858"/>
      <c r="AN59" s="2858"/>
      <c r="AO59" s="2858"/>
      <c r="AP59" s="2858"/>
      <c r="AQ59" s="2858"/>
      <c r="AR59" s="2858"/>
      <c r="AS59" s="2858"/>
      <c r="AT59" s="2858"/>
      <c r="AU59" s="2858"/>
      <c r="AV59" s="2858"/>
      <c r="AW59" s="2858"/>
      <c r="AX59" s="2858"/>
      <c r="AY59" s="2858"/>
      <c r="AZ59" s="2858"/>
      <c r="BA59" s="2858"/>
      <c r="BB59" s="2858"/>
      <c r="BC59" s="2858"/>
      <c r="BD59" s="2858"/>
      <c r="BE59" s="2858"/>
      <c r="BF59" s="2858"/>
      <c r="BG59" s="2858"/>
      <c r="BH59" s="4284"/>
      <c r="BI59" s="4284"/>
      <c r="BJ59" s="4210"/>
      <c r="BK59" s="2858"/>
      <c r="BL59" s="2858"/>
      <c r="BM59" s="3052"/>
      <c r="BN59" s="3052"/>
      <c r="BO59" s="3052"/>
      <c r="BP59" s="4141"/>
      <c r="BQ59" s="4144"/>
    </row>
    <row r="60" spans="1:69" ht="61.5" customHeight="1" x14ac:dyDescent="0.2">
      <c r="A60" s="1793"/>
      <c r="B60" s="1794"/>
      <c r="C60" s="1795"/>
      <c r="D60" s="1848"/>
      <c r="E60" s="1848"/>
      <c r="F60" s="1795"/>
      <c r="G60" s="1793"/>
      <c r="H60" s="1848"/>
      <c r="I60" s="1795"/>
      <c r="J60" s="4153">
        <v>135</v>
      </c>
      <c r="K60" s="4147" t="s">
        <v>1504</v>
      </c>
      <c r="L60" s="4147" t="s">
        <v>1505</v>
      </c>
      <c r="M60" s="4153">
        <v>12</v>
      </c>
      <c r="N60" s="4154"/>
      <c r="O60" s="4154"/>
      <c r="P60" s="4148"/>
      <c r="Q60" s="4204">
        <f>(V60+V61+V62+V63+V64)/R39</f>
        <v>0.21621621621621623</v>
      </c>
      <c r="R60" s="2908"/>
      <c r="S60" s="4148"/>
      <c r="T60" s="4148"/>
      <c r="U60" s="161" t="s">
        <v>1506</v>
      </c>
      <c r="V60" s="1851">
        <v>8000000</v>
      </c>
      <c r="W60" s="1851">
        <v>0</v>
      </c>
      <c r="X60" s="1625">
        <v>0</v>
      </c>
      <c r="Y60" s="1852">
        <v>61</v>
      </c>
      <c r="Z60" s="4154"/>
      <c r="AA60" s="2858"/>
      <c r="AB60" s="2858"/>
      <c r="AC60" s="2858"/>
      <c r="AD60" s="2858"/>
      <c r="AE60" s="2858"/>
      <c r="AF60" s="2858"/>
      <c r="AG60" s="2858"/>
      <c r="AH60" s="2858"/>
      <c r="AI60" s="2858"/>
      <c r="AJ60" s="2858"/>
      <c r="AK60" s="2858"/>
      <c r="AL60" s="2858"/>
      <c r="AM60" s="2858"/>
      <c r="AN60" s="2858"/>
      <c r="AO60" s="2858"/>
      <c r="AP60" s="2858"/>
      <c r="AQ60" s="2858"/>
      <c r="AR60" s="2858"/>
      <c r="AS60" s="2858"/>
      <c r="AT60" s="2858"/>
      <c r="AU60" s="2858"/>
      <c r="AV60" s="2858"/>
      <c r="AW60" s="2858"/>
      <c r="AX60" s="2858"/>
      <c r="AY60" s="2858"/>
      <c r="AZ60" s="2858"/>
      <c r="BA60" s="2858"/>
      <c r="BB60" s="2858"/>
      <c r="BC60" s="2858"/>
      <c r="BD60" s="2858"/>
      <c r="BE60" s="2858"/>
      <c r="BF60" s="2858"/>
      <c r="BG60" s="2858"/>
      <c r="BH60" s="4284"/>
      <c r="BI60" s="4284"/>
      <c r="BJ60" s="4210"/>
      <c r="BK60" s="2858"/>
      <c r="BL60" s="2858"/>
      <c r="BM60" s="3052"/>
      <c r="BN60" s="3052"/>
      <c r="BO60" s="3052"/>
      <c r="BP60" s="4141"/>
      <c r="BQ60" s="4144"/>
    </row>
    <row r="61" spans="1:69" ht="61.5" customHeight="1" x14ac:dyDescent="0.2">
      <c r="A61" s="1793"/>
      <c r="B61" s="1794"/>
      <c r="C61" s="1795"/>
      <c r="D61" s="1848"/>
      <c r="E61" s="1848"/>
      <c r="F61" s="1795"/>
      <c r="G61" s="1793"/>
      <c r="H61" s="1848"/>
      <c r="I61" s="1795"/>
      <c r="J61" s="4154"/>
      <c r="K61" s="4148"/>
      <c r="L61" s="4148"/>
      <c r="M61" s="4154"/>
      <c r="N61" s="4154"/>
      <c r="O61" s="4154"/>
      <c r="P61" s="4148"/>
      <c r="Q61" s="4205"/>
      <c r="R61" s="2908"/>
      <c r="S61" s="4148"/>
      <c r="T61" s="4148"/>
      <c r="U61" s="161" t="s">
        <v>1507</v>
      </c>
      <c r="V61" s="1851">
        <v>10000000</v>
      </c>
      <c r="W61" s="1851">
        <v>0</v>
      </c>
      <c r="X61" s="1625">
        <v>0</v>
      </c>
      <c r="Y61" s="1852">
        <v>61</v>
      </c>
      <c r="Z61" s="4154"/>
      <c r="AA61" s="2858"/>
      <c r="AB61" s="2858"/>
      <c r="AC61" s="2858"/>
      <c r="AD61" s="2858"/>
      <c r="AE61" s="2858"/>
      <c r="AF61" s="2858"/>
      <c r="AG61" s="2858"/>
      <c r="AH61" s="2858"/>
      <c r="AI61" s="2858"/>
      <c r="AJ61" s="2858"/>
      <c r="AK61" s="2858"/>
      <c r="AL61" s="2858"/>
      <c r="AM61" s="2858"/>
      <c r="AN61" s="2858"/>
      <c r="AO61" s="2858"/>
      <c r="AP61" s="2858"/>
      <c r="AQ61" s="2858"/>
      <c r="AR61" s="2858"/>
      <c r="AS61" s="2858"/>
      <c r="AT61" s="2858"/>
      <c r="AU61" s="2858"/>
      <c r="AV61" s="2858"/>
      <c r="AW61" s="2858"/>
      <c r="AX61" s="2858"/>
      <c r="AY61" s="2858"/>
      <c r="AZ61" s="2858"/>
      <c r="BA61" s="2858"/>
      <c r="BB61" s="2858"/>
      <c r="BC61" s="2858"/>
      <c r="BD61" s="2858"/>
      <c r="BE61" s="2858"/>
      <c r="BF61" s="2858"/>
      <c r="BG61" s="2858"/>
      <c r="BH61" s="4284"/>
      <c r="BI61" s="4284"/>
      <c r="BJ61" s="4210"/>
      <c r="BK61" s="2858"/>
      <c r="BL61" s="2858"/>
      <c r="BM61" s="3052"/>
      <c r="BN61" s="3052"/>
      <c r="BO61" s="3052"/>
      <c r="BP61" s="4141"/>
      <c r="BQ61" s="4144"/>
    </row>
    <row r="62" spans="1:69" ht="61.5" customHeight="1" x14ac:dyDescent="0.2">
      <c r="A62" s="1793"/>
      <c r="B62" s="1794"/>
      <c r="C62" s="1795"/>
      <c r="D62" s="1848"/>
      <c r="E62" s="1848"/>
      <c r="F62" s="1795"/>
      <c r="G62" s="1793"/>
      <c r="H62" s="1848"/>
      <c r="I62" s="1795"/>
      <c r="J62" s="4154"/>
      <c r="K62" s="4148"/>
      <c r="L62" s="4148"/>
      <c r="M62" s="4154"/>
      <c r="N62" s="4154"/>
      <c r="O62" s="4154"/>
      <c r="P62" s="4148"/>
      <c r="Q62" s="4205"/>
      <c r="R62" s="2908"/>
      <c r="S62" s="4148"/>
      <c r="T62" s="4148"/>
      <c r="U62" s="161" t="s">
        <v>1508</v>
      </c>
      <c r="V62" s="1851">
        <v>4000000</v>
      </c>
      <c r="W62" s="1851">
        <v>0</v>
      </c>
      <c r="X62" s="1625">
        <v>0</v>
      </c>
      <c r="Y62" s="1852">
        <v>61</v>
      </c>
      <c r="Z62" s="4154"/>
      <c r="AA62" s="2858"/>
      <c r="AB62" s="2858"/>
      <c r="AC62" s="2858"/>
      <c r="AD62" s="2858"/>
      <c r="AE62" s="2858"/>
      <c r="AF62" s="2858"/>
      <c r="AG62" s="2858"/>
      <c r="AH62" s="2858"/>
      <c r="AI62" s="2858"/>
      <c r="AJ62" s="2858"/>
      <c r="AK62" s="2858"/>
      <c r="AL62" s="2858"/>
      <c r="AM62" s="2858"/>
      <c r="AN62" s="2858"/>
      <c r="AO62" s="2858"/>
      <c r="AP62" s="2858"/>
      <c r="AQ62" s="2858"/>
      <c r="AR62" s="2858"/>
      <c r="AS62" s="2858"/>
      <c r="AT62" s="2858"/>
      <c r="AU62" s="2858"/>
      <c r="AV62" s="2858"/>
      <c r="AW62" s="2858"/>
      <c r="AX62" s="2858"/>
      <c r="AY62" s="2858"/>
      <c r="AZ62" s="2858"/>
      <c r="BA62" s="2858"/>
      <c r="BB62" s="2858"/>
      <c r="BC62" s="2858"/>
      <c r="BD62" s="2858"/>
      <c r="BE62" s="2858"/>
      <c r="BF62" s="2858"/>
      <c r="BG62" s="2858"/>
      <c r="BH62" s="4284"/>
      <c r="BI62" s="4284"/>
      <c r="BJ62" s="4210"/>
      <c r="BK62" s="2858"/>
      <c r="BL62" s="2858"/>
      <c r="BM62" s="3052"/>
      <c r="BN62" s="3052"/>
      <c r="BO62" s="3052"/>
      <c r="BP62" s="4141"/>
      <c r="BQ62" s="4144"/>
    </row>
    <row r="63" spans="1:69" ht="61.5" customHeight="1" x14ac:dyDescent="0.2">
      <c r="A63" s="1793"/>
      <c r="B63" s="1794"/>
      <c r="C63" s="1795"/>
      <c r="D63" s="1848"/>
      <c r="E63" s="1848"/>
      <c r="F63" s="1795"/>
      <c r="G63" s="1793"/>
      <c r="H63" s="1848"/>
      <c r="I63" s="1795"/>
      <c r="J63" s="4154"/>
      <c r="K63" s="4148"/>
      <c r="L63" s="4148"/>
      <c r="M63" s="4154"/>
      <c r="N63" s="4154"/>
      <c r="O63" s="4154"/>
      <c r="P63" s="4148"/>
      <c r="Q63" s="4205"/>
      <c r="R63" s="2908"/>
      <c r="S63" s="4148"/>
      <c r="T63" s="4148"/>
      <c r="U63" s="161" t="s">
        <v>1509</v>
      </c>
      <c r="V63" s="1851">
        <v>6000000</v>
      </c>
      <c r="W63" s="1851">
        <v>0</v>
      </c>
      <c r="X63" s="1625">
        <v>0</v>
      </c>
      <c r="Y63" s="1852">
        <v>61</v>
      </c>
      <c r="Z63" s="4154"/>
      <c r="AA63" s="2858"/>
      <c r="AB63" s="2858"/>
      <c r="AC63" s="2858"/>
      <c r="AD63" s="2858"/>
      <c r="AE63" s="2858"/>
      <c r="AF63" s="2858"/>
      <c r="AG63" s="2858"/>
      <c r="AH63" s="2858"/>
      <c r="AI63" s="2858"/>
      <c r="AJ63" s="2858"/>
      <c r="AK63" s="2858"/>
      <c r="AL63" s="2858"/>
      <c r="AM63" s="2858"/>
      <c r="AN63" s="2858"/>
      <c r="AO63" s="2858"/>
      <c r="AP63" s="2858"/>
      <c r="AQ63" s="2858"/>
      <c r="AR63" s="2858"/>
      <c r="AS63" s="2858"/>
      <c r="AT63" s="2858"/>
      <c r="AU63" s="2858"/>
      <c r="AV63" s="2858"/>
      <c r="AW63" s="2858"/>
      <c r="AX63" s="2858"/>
      <c r="AY63" s="2858"/>
      <c r="AZ63" s="2858"/>
      <c r="BA63" s="2858"/>
      <c r="BB63" s="2858"/>
      <c r="BC63" s="2858"/>
      <c r="BD63" s="2858"/>
      <c r="BE63" s="2858"/>
      <c r="BF63" s="2858"/>
      <c r="BG63" s="2858"/>
      <c r="BH63" s="4284"/>
      <c r="BI63" s="4284"/>
      <c r="BJ63" s="4210"/>
      <c r="BK63" s="2858"/>
      <c r="BL63" s="2858"/>
      <c r="BM63" s="3052"/>
      <c r="BN63" s="3052"/>
      <c r="BO63" s="3052"/>
      <c r="BP63" s="4141"/>
      <c r="BQ63" s="4144"/>
    </row>
    <row r="64" spans="1:69" ht="61.5" customHeight="1" x14ac:dyDescent="0.2">
      <c r="A64" s="1793"/>
      <c r="B64" s="1794"/>
      <c r="C64" s="1795"/>
      <c r="D64" s="1848"/>
      <c r="E64" s="1848"/>
      <c r="F64" s="1795"/>
      <c r="G64" s="1854"/>
      <c r="H64" s="1855"/>
      <c r="I64" s="1856"/>
      <c r="J64" s="4155"/>
      <c r="K64" s="4149"/>
      <c r="L64" s="4149"/>
      <c r="M64" s="4155"/>
      <c r="N64" s="4155"/>
      <c r="O64" s="4155"/>
      <c r="P64" s="4149"/>
      <c r="Q64" s="4206"/>
      <c r="R64" s="2909"/>
      <c r="S64" s="4149"/>
      <c r="T64" s="4149"/>
      <c r="U64" s="161" t="s">
        <v>1510</v>
      </c>
      <c r="V64" s="1851">
        <v>4000000</v>
      </c>
      <c r="W64" s="1851">
        <v>0</v>
      </c>
      <c r="X64" s="1625">
        <v>0</v>
      </c>
      <c r="Y64" s="1852">
        <v>61</v>
      </c>
      <c r="Z64" s="4155"/>
      <c r="AA64" s="2859"/>
      <c r="AB64" s="2859"/>
      <c r="AC64" s="2859"/>
      <c r="AD64" s="2859"/>
      <c r="AE64" s="2859"/>
      <c r="AF64" s="2859"/>
      <c r="AG64" s="2859"/>
      <c r="AH64" s="2859"/>
      <c r="AI64" s="2859"/>
      <c r="AJ64" s="2859"/>
      <c r="AK64" s="2859"/>
      <c r="AL64" s="2859"/>
      <c r="AM64" s="2859"/>
      <c r="AN64" s="2859"/>
      <c r="AO64" s="2859"/>
      <c r="AP64" s="2859"/>
      <c r="AQ64" s="2859"/>
      <c r="AR64" s="2859"/>
      <c r="AS64" s="2859"/>
      <c r="AT64" s="2859"/>
      <c r="AU64" s="2859"/>
      <c r="AV64" s="2859"/>
      <c r="AW64" s="2859"/>
      <c r="AX64" s="2859"/>
      <c r="AY64" s="2859"/>
      <c r="AZ64" s="2859"/>
      <c r="BA64" s="2859"/>
      <c r="BB64" s="2859"/>
      <c r="BC64" s="2859"/>
      <c r="BD64" s="2859"/>
      <c r="BE64" s="2859"/>
      <c r="BF64" s="2859"/>
      <c r="BG64" s="2859"/>
      <c r="BH64" s="4285"/>
      <c r="BI64" s="4285"/>
      <c r="BJ64" s="4211"/>
      <c r="BK64" s="2859"/>
      <c r="BL64" s="2859"/>
      <c r="BM64" s="3053"/>
      <c r="BN64" s="3053"/>
      <c r="BO64" s="3053"/>
      <c r="BP64" s="4142"/>
      <c r="BQ64" s="4145"/>
    </row>
    <row r="65" spans="1:69" ht="15" x14ac:dyDescent="0.2">
      <c r="A65" s="1793"/>
      <c r="B65" s="1794"/>
      <c r="C65" s="1795"/>
      <c r="D65" s="1848"/>
      <c r="E65" s="1848"/>
      <c r="F65" s="1795"/>
      <c r="G65" s="1834">
        <v>38</v>
      </c>
      <c r="H65" s="1799" t="s">
        <v>1511</v>
      </c>
      <c r="I65" s="1799"/>
      <c r="J65" s="1799"/>
      <c r="K65" s="1800"/>
      <c r="L65" s="1800"/>
      <c r="M65" s="1799"/>
      <c r="N65" s="1801"/>
      <c r="O65" s="1799"/>
      <c r="P65" s="1800"/>
      <c r="Q65" s="1799"/>
      <c r="R65" s="1835"/>
      <c r="S65" s="1800"/>
      <c r="T65" s="1800"/>
      <c r="U65" s="1800"/>
      <c r="V65" s="1836"/>
      <c r="W65" s="1836"/>
      <c r="X65" s="1836"/>
      <c r="Y65" s="1837"/>
      <c r="Z65" s="1801"/>
      <c r="AA65" s="1801"/>
      <c r="AB65" s="1801"/>
      <c r="AC65" s="1801"/>
      <c r="AD65" s="1801"/>
      <c r="AE65" s="1801"/>
      <c r="AF65" s="1801"/>
      <c r="AG65" s="1801"/>
      <c r="AH65" s="1801"/>
      <c r="AI65" s="1801"/>
      <c r="AJ65" s="1801"/>
      <c r="AK65" s="1801"/>
      <c r="AL65" s="1801"/>
      <c r="AM65" s="1801"/>
      <c r="AN65" s="1801"/>
      <c r="AO65" s="1801"/>
      <c r="AP65" s="1801"/>
      <c r="AQ65" s="1801"/>
      <c r="AR65" s="1801"/>
      <c r="AS65" s="1801"/>
      <c r="AT65" s="1801"/>
      <c r="AU65" s="1801"/>
      <c r="AV65" s="1801"/>
      <c r="AW65" s="1801"/>
      <c r="AX65" s="1801"/>
      <c r="AY65" s="1801"/>
      <c r="AZ65" s="1801"/>
      <c r="BA65" s="1801"/>
      <c r="BB65" s="1801"/>
      <c r="BC65" s="1801"/>
      <c r="BD65" s="1801"/>
      <c r="BE65" s="1801"/>
      <c r="BF65" s="1801"/>
      <c r="BG65" s="1801"/>
      <c r="BH65" s="1801"/>
      <c r="BI65" s="1801"/>
      <c r="BJ65" s="1801"/>
      <c r="BK65" s="1801"/>
      <c r="BL65" s="1801"/>
      <c r="BM65" s="1849"/>
      <c r="BN65" s="1849"/>
      <c r="BO65" s="1849"/>
      <c r="BP65" s="1839"/>
      <c r="BQ65" s="1840"/>
    </row>
    <row r="66" spans="1:69" ht="57.75" customHeight="1" x14ac:dyDescent="0.2">
      <c r="A66" s="1857"/>
      <c r="B66" s="1858"/>
      <c r="C66" s="1859"/>
      <c r="D66" s="1860"/>
      <c r="E66" s="1860"/>
      <c r="F66" s="1859"/>
      <c r="G66" s="1861"/>
      <c r="H66" s="1862"/>
      <c r="I66" s="1863"/>
      <c r="J66" s="4153">
        <v>136</v>
      </c>
      <c r="K66" s="4147" t="s">
        <v>1512</v>
      </c>
      <c r="L66" s="4147" t="s">
        <v>1513</v>
      </c>
      <c r="M66" s="4153">
        <v>12</v>
      </c>
      <c r="N66" s="4153" t="s">
        <v>1514</v>
      </c>
      <c r="O66" s="4153">
        <v>135</v>
      </c>
      <c r="P66" s="4147" t="s">
        <v>1515</v>
      </c>
      <c r="Q66" s="4204">
        <f>(V66+V67+V68+V69+V70)/R66</f>
        <v>0.2857142857142857</v>
      </c>
      <c r="R66" s="4134">
        <f>SUM(V66:V83)</f>
        <v>140000000</v>
      </c>
      <c r="S66" s="4147" t="s">
        <v>1516</v>
      </c>
      <c r="T66" s="4147" t="s">
        <v>1517</v>
      </c>
      <c r="U66" s="161" t="s">
        <v>1518</v>
      </c>
      <c r="V66" s="1851">
        <v>11140000</v>
      </c>
      <c r="W66" s="1851">
        <v>0</v>
      </c>
      <c r="X66" s="1851">
        <v>0</v>
      </c>
      <c r="Y66" s="1852">
        <v>61</v>
      </c>
      <c r="Z66" s="4153" t="s">
        <v>1430</v>
      </c>
      <c r="AA66" s="4212">
        <v>289394</v>
      </c>
      <c r="AB66" s="4153">
        <f>SUM(AA66*0.02)</f>
        <v>5787.88</v>
      </c>
      <c r="AC66" s="4212">
        <v>279112</v>
      </c>
      <c r="AD66" s="4153">
        <f>SUM(AC66*0.02)</f>
        <v>5582.24</v>
      </c>
      <c r="AE66" s="4212">
        <v>63164</v>
      </c>
      <c r="AF66" s="4153">
        <f>SUM(AE66*0.02)</f>
        <v>1263.28</v>
      </c>
      <c r="AG66" s="4212">
        <v>45607</v>
      </c>
      <c r="AH66" s="4153">
        <f>SUM(AG66*0.02)</f>
        <v>912.14</v>
      </c>
      <c r="AI66" s="4212">
        <v>365607</v>
      </c>
      <c r="AJ66" s="4153">
        <f>SUM(AI66*0.02)</f>
        <v>7312.14</v>
      </c>
      <c r="AK66" s="4212">
        <v>75612</v>
      </c>
      <c r="AL66" s="4153">
        <f>SUM(AK66*0.02)</f>
        <v>1512.24</v>
      </c>
      <c r="AM66" s="4212">
        <v>2145</v>
      </c>
      <c r="AN66" s="4153">
        <f>SUM(AM66*0.02)</f>
        <v>42.9</v>
      </c>
      <c r="AO66" s="4212">
        <v>12718</v>
      </c>
      <c r="AP66" s="4153">
        <f>SUM(AO66*0.02)</f>
        <v>254.36</v>
      </c>
      <c r="AQ66" s="4212">
        <v>26</v>
      </c>
      <c r="AR66" s="4153">
        <f>SUM(AQ66*0.02)</f>
        <v>0.52</v>
      </c>
      <c r="AS66" s="4212">
        <v>37</v>
      </c>
      <c r="AT66" s="4153">
        <f>SUM(AS66*0.02)</f>
        <v>0.74</v>
      </c>
      <c r="AU66" s="4212">
        <v>0</v>
      </c>
      <c r="AV66" s="4153">
        <f>SUM(AU66*0.02)</f>
        <v>0</v>
      </c>
      <c r="AW66" s="4212">
        <v>0</v>
      </c>
      <c r="AX66" s="4153">
        <f>SUM(AW66*0.02)</f>
        <v>0</v>
      </c>
      <c r="AY66" s="4212">
        <v>78</v>
      </c>
      <c r="AZ66" s="4153">
        <f>SUM(AY66*0.02)</f>
        <v>1.56</v>
      </c>
      <c r="BA66" s="4212">
        <v>16897</v>
      </c>
      <c r="BB66" s="4153">
        <f>SUM(BA66*0.02)</f>
        <v>337.94</v>
      </c>
      <c r="BC66" s="4212">
        <f>SUM('[2]P. 100'!$W$5+'[2]P. 100'!$X$5)</f>
        <v>852</v>
      </c>
      <c r="BD66" s="4153">
        <f>SUM(BC66*0.02)</f>
        <v>17.04</v>
      </c>
      <c r="BE66" s="4212">
        <f>SUM(AA77:AC77)</f>
        <v>0</v>
      </c>
      <c r="BF66" s="4153">
        <f>SUM(BE66*0.02)</f>
        <v>0</v>
      </c>
      <c r="BG66" s="4153">
        <v>2</v>
      </c>
      <c r="BH66" s="4159">
        <f>SUM(W66:W83)</f>
        <v>15586666</v>
      </c>
      <c r="BI66" s="4159">
        <f>SUM(X66:X83)</f>
        <v>2800000</v>
      </c>
      <c r="BJ66" s="4160">
        <f>SUM(BI66/R66)</f>
        <v>0.02</v>
      </c>
      <c r="BK66" s="4153">
        <v>61</v>
      </c>
      <c r="BL66" s="4153" t="s">
        <v>1466</v>
      </c>
      <c r="BM66" s="4156">
        <v>43467</v>
      </c>
      <c r="BN66" s="4156">
        <v>44196</v>
      </c>
      <c r="BO66" s="4156">
        <v>43830</v>
      </c>
      <c r="BP66" s="4140">
        <v>44196</v>
      </c>
      <c r="BQ66" s="4143" t="s">
        <v>1432</v>
      </c>
    </row>
    <row r="67" spans="1:69" ht="57.75" customHeight="1" x14ac:dyDescent="0.2">
      <c r="A67" s="1857"/>
      <c r="B67" s="1858"/>
      <c r="C67" s="1859"/>
      <c r="D67" s="1860"/>
      <c r="E67" s="1860"/>
      <c r="F67" s="1859"/>
      <c r="G67" s="1857"/>
      <c r="H67" s="1860"/>
      <c r="I67" s="1859"/>
      <c r="J67" s="4154"/>
      <c r="K67" s="4148"/>
      <c r="L67" s="4148"/>
      <c r="M67" s="4154"/>
      <c r="N67" s="4154"/>
      <c r="O67" s="4154"/>
      <c r="P67" s="4148"/>
      <c r="Q67" s="4205"/>
      <c r="R67" s="2908"/>
      <c r="S67" s="4148"/>
      <c r="T67" s="4148"/>
      <c r="U67" s="1622" t="s">
        <v>1519</v>
      </c>
      <c r="V67" s="1851">
        <v>8284000</v>
      </c>
      <c r="W67" s="1851">
        <v>0</v>
      </c>
      <c r="X67" s="1851">
        <v>0</v>
      </c>
      <c r="Y67" s="1852">
        <v>61</v>
      </c>
      <c r="Z67" s="4154"/>
      <c r="AA67" s="2858"/>
      <c r="AB67" s="4154"/>
      <c r="AC67" s="2858"/>
      <c r="AD67" s="4154"/>
      <c r="AE67" s="2858"/>
      <c r="AF67" s="4154"/>
      <c r="AG67" s="2858"/>
      <c r="AH67" s="4154"/>
      <c r="AI67" s="2858"/>
      <c r="AJ67" s="4154"/>
      <c r="AK67" s="2858"/>
      <c r="AL67" s="4154"/>
      <c r="AM67" s="2858"/>
      <c r="AN67" s="4154"/>
      <c r="AO67" s="2858"/>
      <c r="AP67" s="4154"/>
      <c r="AQ67" s="2858"/>
      <c r="AR67" s="4154"/>
      <c r="AS67" s="2858"/>
      <c r="AT67" s="4154"/>
      <c r="AU67" s="2858"/>
      <c r="AV67" s="4154"/>
      <c r="AW67" s="2858"/>
      <c r="AX67" s="4154"/>
      <c r="AY67" s="2858"/>
      <c r="AZ67" s="4154"/>
      <c r="BA67" s="2858"/>
      <c r="BB67" s="4154"/>
      <c r="BC67" s="2858"/>
      <c r="BD67" s="4154"/>
      <c r="BE67" s="2858"/>
      <c r="BF67" s="4154"/>
      <c r="BG67" s="4154"/>
      <c r="BH67" s="4154"/>
      <c r="BI67" s="4154"/>
      <c r="BJ67" s="2692"/>
      <c r="BK67" s="4154"/>
      <c r="BL67" s="4154"/>
      <c r="BM67" s="4157"/>
      <c r="BN67" s="4157"/>
      <c r="BO67" s="4157"/>
      <c r="BP67" s="4141"/>
      <c r="BQ67" s="4144"/>
    </row>
    <row r="68" spans="1:69" ht="57.75" customHeight="1" x14ac:dyDescent="0.2">
      <c r="A68" s="1857"/>
      <c r="B68" s="1858"/>
      <c r="C68" s="1859"/>
      <c r="D68" s="1860"/>
      <c r="E68" s="1860"/>
      <c r="F68" s="1859"/>
      <c r="G68" s="1857"/>
      <c r="H68" s="1860"/>
      <c r="I68" s="1859"/>
      <c r="J68" s="4154"/>
      <c r="K68" s="4148"/>
      <c r="L68" s="4148"/>
      <c r="M68" s="4154"/>
      <c r="N68" s="4154"/>
      <c r="O68" s="4154"/>
      <c r="P68" s="4148"/>
      <c r="Q68" s="4205"/>
      <c r="R68" s="2908"/>
      <c r="S68" s="4148"/>
      <c r="T68" s="4148"/>
      <c r="U68" s="161" t="s">
        <v>1520</v>
      </c>
      <c r="V68" s="1851">
        <v>5432000</v>
      </c>
      <c r="W68" s="1851">
        <v>0</v>
      </c>
      <c r="X68" s="1851">
        <v>0</v>
      </c>
      <c r="Y68" s="1852">
        <v>61</v>
      </c>
      <c r="Z68" s="4154"/>
      <c r="AA68" s="2858"/>
      <c r="AB68" s="4154"/>
      <c r="AC68" s="2858"/>
      <c r="AD68" s="4154"/>
      <c r="AE68" s="2858"/>
      <c r="AF68" s="4154"/>
      <c r="AG68" s="2858"/>
      <c r="AH68" s="4154"/>
      <c r="AI68" s="2858"/>
      <c r="AJ68" s="4154"/>
      <c r="AK68" s="2858"/>
      <c r="AL68" s="4154"/>
      <c r="AM68" s="2858"/>
      <c r="AN68" s="4154"/>
      <c r="AO68" s="2858"/>
      <c r="AP68" s="4154"/>
      <c r="AQ68" s="2858"/>
      <c r="AR68" s="4154"/>
      <c r="AS68" s="2858"/>
      <c r="AT68" s="4154"/>
      <c r="AU68" s="2858"/>
      <c r="AV68" s="4154"/>
      <c r="AW68" s="2858"/>
      <c r="AX68" s="4154"/>
      <c r="AY68" s="2858"/>
      <c r="AZ68" s="4154"/>
      <c r="BA68" s="2858"/>
      <c r="BB68" s="4154"/>
      <c r="BC68" s="2858"/>
      <c r="BD68" s="4154"/>
      <c r="BE68" s="2858"/>
      <c r="BF68" s="4154"/>
      <c r="BG68" s="4154"/>
      <c r="BH68" s="4154"/>
      <c r="BI68" s="4154"/>
      <c r="BJ68" s="2692"/>
      <c r="BK68" s="4154"/>
      <c r="BL68" s="4154"/>
      <c r="BM68" s="4157"/>
      <c r="BN68" s="4157"/>
      <c r="BO68" s="4157"/>
      <c r="BP68" s="4141"/>
      <c r="BQ68" s="4144"/>
    </row>
    <row r="69" spans="1:69" ht="57.75" customHeight="1" x14ac:dyDescent="0.2">
      <c r="A69" s="1857"/>
      <c r="B69" s="1858"/>
      <c r="C69" s="1859"/>
      <c r="D69" s="1860"/>
      <c r="E69" s="1860"/>
      <c r="F69" s="1859"/>
      <c r="G69" s="1857"/>
      <c r="H69" s="1860"/>
      <c r="I69" s="1859"/>
      <c r="J69" s="4154"/>
      <c r="K69" s="4148"/>
      <c r="L69" s="4148"/>
      <c r="M69" s="4154"/>
      <c r="N69" s="4154"/>
      <c r="O69" s="4154"/>
      <c r="P69" s="4148"/>
      <c r="Q69" s="4205"/>
      <c r="R69" s="2908"/>
      <c r="S69" s="4148"/>
      <c r="T69" s="4148"/>
      <c r="U69" s="161" t="s">
        <v>1521</v>
      </c>
      <c r="V69" s="1851">
        <v>6860000</v>
      </c>
      <c r="W69" s="1851">
        <v>0</v>
      </c>
      <c r="X69" s="1851">
        <v>0</v>
      </c>
      <c r="Y69" s="1852">
        <v>61</v>
      </c>
      <c r="Z69" s="4154"/>
      <c r="AA69" s="2858"/>
      <c r="AB69" s="4154"/>
      <c r="AC69" s="2858"/>
      <c r="AD69" s="4154"/>
      <c r="AE69" s="2858"/>
      <c r="AF69" s="4154"/>
      <c r="AG69" s="2858"/>
      <c r="AH69" s="4154"/>
      <c r="AI69" s="2858"/>
      <c r="AJ69" s="4154"/>
      <c r="AK69" s="2858"/>
      <c r="AL69" s="4154"/>
      <c r="AM69" s="2858"/>
      <c r="AN69" s="4154"/>
      <c r="AO69" s="2858"/>
      <c r="AP69" s="4154"/>
      <c r="AQ69" s="2858"/>
      <c r="AR69" s="4154"/>
      <c r="AS69" s="2858"/>
      <c r="AT69" s="4154"/>
      <c r="AU69" s="2858"/>
      <c r="AV69" s="4154"/>
      <c r="AW69" s="2858"/>
      <c r="AX69" s="4154"/>
      <c r="AY69" s="2858"/>
      <c r="AZ69" s="4154"/>
      <c r="BA69" s="2858"/>
      <c r="BB69" s="4154"/>
      <c r="BC69" s="2858"/>
      <c r="BD69" s="4154"/>
      <c r="BE69" s="2858"/>
      <c r="BF69" s="4154"/>
      <c r="BG69" s="4154"/>
      <c r="BH69" s="4154"/>
      <c r="BI69" s="4154"/>
      <c r="BJ69" s="2692"/>
      <c r="BK69" s="4154"/>
      <c r="BL69" s="4154"/>
      <c r="BM69" s="4157"/>
      <c r="BN69" s="4157"/>
      <c r="BO69" s="4157"/>
      <c r="BP69" s="4141"/>
      <c r="BQ69" s="4144"/>
    </row>
    <row r="70" spans="1:69" ht="57.75" customHeight="1" x14ac:dyDescent="0.2">
      <c r="A70" s="1857"/>
      <c r="B70" s="1858"/>
      <c r="C70" s="1859"/>
      <c r="D70" s="1860"/>
      <c r="E70" s="1860"/>
      <c r="F70" s="1859"/>
      <c r="G70" s="1857"/>
      <c r="H70" s="1860"/>
      <c r="I70" s="1859"/>
      <c r="J70" s="4154"/>
      <c r="K70" s="4148"/>
      <c r="L70" s="4148"/>
      <c r="M70" s="4154"/>
      <c r="N70" s="4154"/>
      <c r="O70" s="4154"/>
      <c r="P70" s="4148"/>
      <c r="Q70" s="4205"/>
      <c r="R70" s="2908"/>
      <c r="S70" s="4148"/>
      <c r="T70" s="4148"/>
      <c r="U70" s="161" t="s">
        <v>1522</v>
      </c>
      <c r="V70" s="1851">
        <v>8284000</v>
      </c>
      <c r="W70" s="1851">
        <v>0</v>
      </c>
      <c r="X70" s="1851">
        <v>0</v>
      </c>
      <c r="Y70" s="1852">
        <v>61</v>
      </c>
      <c r="Z70" s="4154"/>
      <c r="AA70" s="2858"/>
      <c r="AB70" s="4154"/>
      <c r="AC70" s="2858"/>
      <c r="AD70" s="4154"/>
      <c r="AE70" s="2858"/>
      <c r="AF70" s="4154"/>
      <c r="AG70" s="2858"/>
      <c r="AH70" s="4154"/>
      <c r="AI70" s="2858"/>
      <c r="AJ70" s="4154"/>
      <c r="AK70" s="2858"/>
      <c r="AL70" s="4154"/>
      <c r="AM70" s="2858"/>
      <c r="AN70" s="4154"/>
      <c r="AO70" s="2858"/>
      <c r="AP70" s="4154"/>
      <c r="AQ70" s="2858"/>
      <c r="AR70" s="4154"/>
      <c r="AS70" s="2858"/>
      <c r="AT70" s="4154"/>
      <c r="AU70" s="2858"/>
      <c r="AV70" s="4154"/>
      <c r="AW70" s="2858"/>
      <c r="AX70" s="4154"/>
      <c r="AY70" s="2858"/>
      <c r="AZ70" s="4154"/>
      <c r="BA70" s="2858"/>
      <c r="BB70" s="4154"/>
      <c r="BC70" s="2858"/>
      <c r="BD70" s="4154"/>
      <c r="BE70" s="2858"/>
      <c r="BF70" s="4154"/>
      <c r="BG70" s="4154"/>
      <c r="BH70" s="4154"/>
      <c r="BI70" s="4154"/>
      <c r="BJ70" s="2692"/>
      <c r="BK70" s="4154"/>
      <c r="BL70" s="4154"/>
      <c r="BM70" s="4157"/>
      <c r="BN70" s="4157"/>
      <c r="BO70" s="4157"/>
      <c r="BP70" s="4141"/>
      <c r="BQ70" s="4144"/>
    </row>
    <row r="71" spans="1:69" ht="57.75" customHeight="1" x14ac:dyDescent="0.2">
      <c r="A71" s="1857"/>
      <c r="B71" s="1858"/>
      <c r="C71" s="1859"/>
      <c r="D71" s="1860"/>
      <c r="E71" s="1860"/>
      <c r="F71" s="1859"/>
      <c r="G71" s="1857"/>
      <c r="H71" s="1860"/>
      <c r="I71" s="1859"/>
      <c r="J71" s="4153">
        <v>137</v>
      </c>
      <c r="K71" s="4147" t="s">
        <v>1523</v>
      </c>
      <c r="L71" s="4147" t="s">
        <v>1524</v>
      </c>
      <c r="M71" s="4153">
        <v>12</v>
      </c>
      <c r="N71" s="4154"/>
      <c r="O71" s="4154"/>
      <c r="P71" s="4148"/>
      <c r="Q71" s="4204">
        <f>(V71+V75+V72+V73+V74+V76)/R66</f>
        <v>0.42857142857142855</v>
      </c>
      <c r="R71" s="2908"/>
      <c r="S71" s="4148"/>
      <c r="T71" s="4147" t="s">
        <v>1525</v>
      </c>
      <c r="U71" s="161" t="s">
        <v>1526</v>
      </c>
      <c r="V71" s="1851">
        <v>16068000</v>
      </c>
      <c r="W71" s="1851">
        <v>2600000</v>
      </c>
      <c r="X71" s="1851">
        <v>0</v>
      </c>
      <c r="Y71" s="1852">
        <v>61</v>
      </c>
      <c r="Z71" s="4154"/>
      <c r="AA71" s="2858"/>
      <c r="AB71" s="4154"/>
      <c r="AC71" s="2858"/>
      <c r="AD71" s="4154"/>
      <c r="AE71" s="2858"/>
      <c r="AF71" s="4154"/>
      <c r="AG71" s="2858"/>
      <c r="AH71" s="4154"/>
      <c r="AI71" s="2858"/>
      <c r="AJ71" s="4154"/>
      <c r="AK71" s="2858"/>
      <c r="AL71" s="4154"/>
      <c r="AM71" s="2858"/>
      <c r="AN71" s="4154"/>
      <c r="AO71" s="2858"/>
      <c r="AP71" s="4154"/>
      <c r="AQ71" s="2858"/>
      <c r="AR71" s="4154"/>
      <c r="AS71" s="2858"/>
      <c r="AT71" s="4154"/>
      <c r="AU71" s="2858"/>
      <c r="AV71" s="4154"/>
      <c r="AW71" s="2858"/>
      <c r="AX71" s="4154"/>
      <c r="AY71" s="2858"/>
      <c r="AZ71" s="4154"/>
      <c r="BA71" s="2858"/>
      <c r="BB71" s="4154"/>
      <c r="BC71" s="2858"/>
      <c r="BD71" s="4154"/>
      <c r="BE71" s="2858"/>
      <c r="BF71" s="4154"/>
      <c r="BG71" s="4154"/>
      <c r="BH71" s="4154"/>
      <c r="BI71" s="4154"/>
      <c r="BJ71" s="2692"/>
      <c r="BK71" s="4154"/>
      <c r="BL71" s="4154"/>
      <c r="BM71" s="4157"/>
      <c r="BN71" s="4157"/>
      <c r="BO71" s="4157"/>
      <c r="BP71" s="4141"/>
      <c r="BQ71" s="4144"/>
    </row>
    <row r="72" spans="1:69" ht="57.75" customHeight="1" x14ac:dyDescent="0.2">
      <c r="A72" s="1857"/>
      <c r="B72" s="1858"/>
      <c r="C72" s="1859"/>
      <c r="D72" s="1860"/>
      <c r="E72" s="1860"/>
      <c r="F72" s="1859"/>
      <c r="G72" s="1857"/>
      <c r="H72" s="1860"/>
      <c r="I72" s="1859"/>
      <c r="J72" s="4154"/>
      <c r="K72" s="4148"/>
      <c r="L72" s="4148"/>
      <c r="M72" s="4154"/>
      <c r="N72" s="4154"/>
      <c r="O72" s="4154"/>
      <c r="P72" s="4148"/>
      <c r="Q72" s="4205"/>
      <c r="R72" s="2908"/>
      <c r="S72" s="4148"/>
      <c r="T72" s="4148"/>
      <c r="U72" s="161" t="s">
        <v>1527</v>
      </c>
      <c r="V72" s="1851">
        <v>11784000</v>
      </c>
      <c r="W72" s="1851">
        <v>2600000</v>
      </c>
      <c r="X72" s="1851">
        <v>0</v>
      </c>
      <c r="Y72" s="1852">
        <v>61</v>
      </c>
      <c r="Z72" s="4154"/>
      <c r="AA72" s="2858"/>
      <c r="AB72" s="4154"/>
      <c r="AC72" s="2858"/>
      <c r="AD72" s="4154"/>
      <c r="AE72" s="2858"/>
      <c r="AF72" s="4154"/>
      <c r="AG72" s="2858"/>
      <c r="AH72" s="4154"/>
      <c r="AI72" s="2858"/>
      <c r="AJ72" s="4154"/>
      <c r="AK72" s="2858"/>
      <c r="AL72" s="4154"/>
      <c r="AM72" s="2858"/>
      <c r="AN72" s="4154"/>
      <c r="AO72" s="2858"/>
      <c r="AP72" s="4154"/>
      <c r="AQ72" s="2858"/>
      <c r="AR72" s="4154"/>
      <c r="AS72" s="2858"/>
      <c r="AT72" s="4154"/>
      <c r="AU72" s="2858"/>
      <c r="AV72" s="4154"/>
      <c r="AW72" s="2858"/>
      <c r="AX72" s="4154"/>
      <c r="AY72" s="2858"/>
      <c r="AZ72" s="4154"/>
      <c r="BA72" s="2858"/>
      <c r="BB72" s="4154"/>
      <c r="BC72" s="2858"/>
      <c r="BD72" s="4154"/>
      <c r="BE72" s="2858"/>
      <c r="BF72" s="4154"/>
      <c r="BG72" s="4154"/>
      <c r="BH72" s="4154"/>
      <c r="BI72" s="4154"/>
      <c r="BJ72" s="2692"/>
      <c r="BK72" s="4154"/>
      <c r="BL72" s="4154"/>
      <c r="BM72" s="4157"/>
      <c r="BN72" s="4157"/>
      <c r="BO72" s="4157"/>
      <c r="BP72" s="4141"/>
      <c r="BQ72" s="4144"/>
    </row>
    <row r="73" spans="1:69" ht="57.75" customHeight="1" x14ac:dyDescent="0.2">
      <c r="A73" s="1857"/>
      <c r="B73" s="1858"/>
      <c r="C73" s="1859"/>
      <c r="D73" s="1860"/>
      <c r="E73" s="1860"/>
      <c r="F73" s="1859"/>
      <c r="G73" s="1857"/>
      <c r="H73" s="1860"/>
      <c r="I73" s="1859"/>
      <c r="J73" s="4154"/>
      <c r="K73" s="4148"/>
      <c r="L73" s="4148"/>
      <c r="M73" s="4154"/>
      <c r="N73" s="4154"/>
      <c r="O73" s="4154"/>
      <c r="P73" s="4148"/>
      <c r="Q73" s="4205"/>
      <c r="R73" s="2908"/>
      <c r="S73" s="4148"/>
      <c r="T73" s="4148"/>
      <c r="U73" s="161" t="s">
        <v>1528</v>
      </c>
      <c r="V73" s="1851">
        <v>10000000</v>
      </c>
      <c r="W73" s="1851">
        <v>2920000</v>
      </c>
      <c r="X73" s="1851">
        <v>0</v>
      </c>
      <c r="Y73" s="1852">
        <v>61</v>
      </c>
      <c r="Z73" s="4154"/>
      <c r="AA73" s="2858"/>
      <c r="AB73" s="4154"/>
      <c r="AC73" s="2858"/>
      <c r="AD73" s="4154"/>
      <c r="AE73" s="2858"/>
      <c r="AF73" s="4154"/>
      <c r="AG73" s="2858"/>
      <c r="AH73" s="4154"/>
      <c r="AI73" s="2858"/>
      <c r="AJ73" s="4154"/>
      <c r="AK73" s="2858"/>
      <c r="AL73" s="4154"/>
      <c r="AM73" s="2858"/>
      <c r="AN73" s="4154"/>
      <c r="AO73" s="2858"/>
      <c r="AP73" s="4154"/>
      <c r="AQ73" s="2858"/>
      <c r="AR73" s="4154"/>
      <c r="AS73" s="2858"/>
      <c r="AT73" s="4154"/>
      <c r="AU73" s="2858"/>
      <c r="AV73" s="4154"/>
      <c r="AW73" s="2858"/>
      <c r="AX73" s="4154"/>
      <c r="AY73" s="2858"/>
      <c r="AZ73" s="4154"/>
      <c r="BA73" s="2858"/>
      <c r="BB73" s="4154"/>
      <c r="BC73" s="2858"/>
      <c r="BD73" s="4154"/>
      <c r="BE73" s="2858"/>
      <c r="BF73" s="4154"/>
      <c r="BG73" s="4154"/>
      <c r="BH73" s="4154"/>
      <c r="BI73" s="4154"/>
      <c r="BJ73" s="2692"/>
      <c r="BK73" s="4154"/>
      <c r="BL73" s="4154"/>
      <c r="BM73" s="4157"/>
      <c r="BN73" s="4157"/>
      <c r="BO73" s="4157"/>
      <c r="BP73" s="4141"/>
      <c r="BQ73" s="4144"/>
    </row>
    <row r="74" spans="1:69" ht="57.75" customHeight="1" x14ac:dyDescent="0.2">
      <c r="A74" s="1857"/>
      <c r="B74" s="1858"/>
      <c r="C74" s="1859"/>
      <c r="D74" s="1860"/>
      <c r="E74" s="1860"/>
      <c r="F74" s="1859"/>
      <c r="G74" s="1857"/>
      <c r="H74" s="1860"/>
      <c r="I74" s="1859"/>
      <c r="J74" s="4154"/>
      <c r="K74" s="4148"/>
      <c r="L74" s="4148"/>
      <c r="M74" s="4154"/>
      <c r="N74" s="4154"/>
      <c r="O74" s="4154"/>
      <c r="P74" s="4148"/>
      <c r="Q74" s="4205"/>
      <c r="R74" s="2908"/>
      <c r="S74" s="4148"/>
      <c r="T74" s="4148"/>
      <c r="U74" s="161" t="s">
        <v>1529</v>
      </c>
      <c r="V74" s="1851">
        <v>5012000</v>
      </c>
      <c r="W74" s="1851">
        <v>0</v>
      </c>
      <c r="X74" s="1851">
        <v>0</v>
      </c>
      <c r="Y74" s="1852">
        <v>61</v>
      </c>
      <c r="Z74" s="4154"/>
      <c r="AA74" s="2858"/>
      <c r="AB74" s="4154"/>
      <c r="AC74" s="2858"/>
      <c r="AD74" s="4154"/>
      <c r="AE74" s="2858"/>
      <c r="AF74" s="4154"/>
      <c r="AG74" s="2858"/>
      <c r="AH74" s="4154"/>
      <c r="AI74" s="2858"/>
      <c r="AJ74" s="4154"/>
      <c r="AK74" s="2858"/>
      <c r="AL74" s="4154"/>
      <c r="AM74" s="2858"/>
      <c r="AN74" s="4154"/>
      <c r="AO74" s="2858"/>
      <c r="AP74" s="4154"/>
      <c r="AQ74" s="2858"/>
      <c r="AR74" s="4154"/>
      <c r="AS74" s="2858"/>
      <c r="AT74" s="4154"/>
      <c r="AU74" s="2858"/>
      <c r="AV74" s="4154"/>
      <c r="AW74" s="2858"/>
      <c r="AX74" s="4154"/>
      <c r="AY74" s="2858"/>
      <c r="AZ74" s="4154"/>
      <c r="BA74" s="2858"/>
      <c r="BB74" s="4154"/>
      <c r="BC74" s="2858"/>
      <c r="BD74" s="4154"/>
      <c r="BE74" s="2858"/>
      <c r="BF74" s="4154"/>
      <c r="BG74" s="4154"/>
      <c r="BH74" s="4154"/>
      <c r="BI74" s="4154"/>
      <c r="BJ74" s="2692"/>
      <c r="BK74" s="4154"/>
      <c r="BL74" s="4154"/>
      <c r="BM74" s="4157"/>
      <c r="BN74" s="4157"/>
      <c r="BO74" s="4157"/>
      <c r="BP74" s="4141"/>
      <c r="BQ74" s="4144"/>
    </row>
    <row r="75" spans="1:69" ht="57.75" customHeight="1" x14ac:dyDescent="0.2">
      <c r="A75" s="1857"/>
      <c r="B75" s="1858"/>
      <c r="C75" s="1859"/>
      <c r="D75" s="1860"/>
      <c r="E75" s="1860"/>
      <c r="F75" s="1859"/>
      <c r="G75" s="1857"/>
      <c r="H75" s="1860"/>
      <c r="I75" s="1859"/>
      <c r="J75" s="4154"/>
      <c r="K75" s="4148"/>
      <c r="L75" s="4148"/>
      <c r="M75" s="4154"/>
      <c r="N75" s="4154"/>
      <c r="O75" s="4154"/>
      <c r="P75" s="4148"/>
      <c r="Q75" s="4205"/>
      <c r="R75" s="2908"/>
      <c r="S75" s="4148"/>
      <c r="T75" s="4148"/>
      <c r="U75" s="167" t="s">
        <v>1530</v>
      </c>
      <c r="V75" s="1851">
        <v>5352000</v>
      </c>
      <c r="W75" s="1851">
        <v>0</v>
      </c>
      <c r="X75" s="1851">
        <v>0</v>
      </c>
      <c r="Y75" s="1852">
        <v>61</v>
      </c>
      <c r="Z75" s="4154"/>
      <c r="AA75" s="2858"/>
      <c r="AB75" s="4154"/>
      <c r="AC75" s="2858"/>
      <c r="AD75" s="4154"/>
      <c r="AE75" s="2858"/>
      <c r="AF75" s="4154"/>
      <c r="AG75" s="2858"/>
      <c r="AH75" s="4154"/>
      <c r="AI75" s="2858"/>
      <c r="AJ75" s="4154"/>
      <c r="AK75" s="2858"/>
      <c r="AL75" s="4154"/>
      <c r="AM75" s="2858"/>
      <c r="AN75" s="4154"/>
      <c r="AO75" s="2858"/>
      <c r="AP75" s="4154"/>
      <c r="AQ75" s="2858"/>
      <c r="AR75" s="4154"/>
      <c r="AS75" s="2858"/>
      <c r="AT75" s="4154"/>
      <c r="AU75" s="2858"/>
      <c r="AV75" s="4154"/>
      <c r="AW75" s="2858"/>
      <c r="AX75" s="4154"/>
      <c r="AY75" s="2858"/>
      <c r="AZ75" s="4154"/>
      <c r="BA75" s="2858"/>
      <c r="BB75" s="4154"/>
      <c r="BC75" s="2858"/>
      <c r="BD75" s="4154"/>
      <c r="BE75" s="2858"/>
      <c r="BF75" s="4154"/>
      <c r="BG75" s="4154"/>
      <c r="BH75" s="4154"/>
      <c r="BI75" s="4154"/>
      <c r="BJ75" s="2692"/>
      <c r="BK75" s="4154"/>
      <c r="BL75" s="4154"/>
      <c r="BM75" s="4157"/>
      <c r="BN75" s="4157"/>
      <c r="BO75" s="4157"/>
      <c r="BP75" s="4141"/>
      <c r="BQ75" s="4144"/>
    </row>
    <row r="76" spans="1:69" ht="57.75" customHeight="1" x14ac:dyDescent="0.2">
      <c r="A76" s="1857"/>
      <c r="B76" s="1858"/>
      <c r="C76" s="1859"/>
      <c r="D76" s="1860"/>
      <c r="E76" s="1860"/>
      <c r="F76" s="1859"/>
      <c r="G76" s="1857"/>
      <c r="H76" s="1860"/>
      <c r="I76" s="1859"/>
      <c r="J76" s="4155"/>
      <c r="K76" s="4149"/>
      <c r="L76" s="4149"/>
      <c r="M76" s="4155"/>
      <c r="N76" s="4154"/>
      <c r="O76" s="4154"/>
      <c r="P76" s="4148"/>
      <c r="Q76" s="4206"/>
      <c r="R76" s="2908"/>
      <c r="S76" s="4148"/>
      <c r="T76" s="4149"/>
      <c r="U76" s="161" t="s">
        <v>1531</v>
      </c>
      <c r="V76" s="1851">
        <v>11784000</v>
      </c>
      <c r="W76" s="1851">
        <v>0</v>
      </c>
      <c r="X76" s="1851">
        <v>0</v>
      </c>
      <c r="Y76" s="1852">
        <v>61</v>
      </c>
      <c r="Z76" s="4154"/>
      <c r="AA76" s="2858"/>
      <c r="AB76" s="4154"/>
      <c r="AC76" s="2858"/>
      <c r="AD76" s="4154"/>
      <c r="AE76" s="2858"/>
      <c r="AF76" s="4154"/>
      <c r="AG76" s="2858"/>
      <c r="AH76" s="4154"/>
      <c r="AI76" s="2858"/>
      <c r="AJ76" s="4154"/>
      <c r="AK76" s="2858"/>
      <c r="AL76" s="4154"/>
      <c r="AM76" s="2858"/>
      <c r="AN76" s="4154"/>
      <c r="AO76" s="2858"/>
      <c r="AP76" s="4154"/>
      <c r="AQ76" s="2858"/>
      <c r="AR76" s="4154"/>
      <c r="AS76" s="2858"/>
      <c r="AT76" s="4154"/>
      <c r="AU76" s="2858"/>
      <c r="AV76" s="4154"/>
      <c r="AW76" s="2858"/>
      <c r="AX76" s="4154"/>
      <c r="AY76" s="2858"/>
      <c r="AZ76" s="4154"/>
      <c r="BA76" s="2858"/>
      <c r="BB76" s="4154"/>
      <c r="BC76" s="2858"/>
      <c r="BD76" s="4154"/>
      <c r="BE76" s="2858"/>
      <c r="BF76" s="4154"/>
      <c r="BG76" s="4154"/>
      <c r="BH76" s="4154"/>
      <c r="BI76" s="4154"/>
      <c r="BJ76" s="2692"/>
      <c r="BK76" s="4154"/>
      <c r="BL76" s="4154"/>
      <c r="BM76" s="4157"/>
      <c r="BN76" s="4157"/>
      <c r="BO76" s="4157"/>
      <c r="BP76" s="4141"/>
      <c r="BQ76" s="4144"/>
    </row>
    <row r="77" spans="1:69" ht="66" customHeight="1" x14ac:dyDescent="0.2">
      <c r="A77" s="1857"/>
      <c r="B77" s="1858"/>
      <c r="C77" s="1859"/>
      <c r="D77" s="1860"/>
      <c r="E77" s="1860"/>
      <c r="F77" s="1859"/>
      <c r="G77" s="1857"/>
      <c r="H77" s="1860"/>
      <c r="I77" s="1859"/>
      <c r="J77" s="4153">
        <v>138</v>
      </c>
      <c r="K77" s="4147" t="s">
        <v>1532</v>
      </c>
      <c r="L77" s="4147" t="s">
        <v>1533</v>
      </c>
      <c r="M77" s="4153">
        <v>12</v>
      </c>
      <c r="N77" s="4154"/>
      <c r="O77" s="4154"/>
      <c r="P77" s="4148"/>
      <c r="Q77" s="4204">
        <f>SUM(V77:V83)/R66</f>
        <v>0.2857142857142857</v>
      </c>
      <c r="R77" s="2908"/>
      <c r="S77" s="4148"/>
      <c r="T77" s="4147" t="s">
        <v>1534</v>
      </c>
      <c r="U77" s="161" t="s">
        <v>1535</v>
      </c>
      <c r="V77" s="608">
        <v>2776000</v>
      </c>
      <c r="W77" s="1851">
        <v>1388000</v>
      </c>
      <c r="X77" s="1851">
        <v>800000</v>
      </c>
      <c r="Y77" s="1852">
        <v>61</v>
      </c>
      <c r="Z77" s="4154"/>
      <c r="AA77" s="2858"/>
      <c r="AB77" s="4154"/>
      <c r="AC77" s="2858"/>
      <c r="AD77" s="4154"/>
      <c r="AE77" s="2858"/>
      <c r="AF77" s="4154"/>
      <c r="AG77" s="2858"/>
      <c r="AH77" s="4154"/>
      <c r="AI77" s="2858"/>
      <c r="AJ77" s="4154"/>
      <c r="AK77" s="2858"/>
      <c r="AL77" s="4154"/>
      <c r="AM77" s="2858"/>
      <c r="AN77" s="4154"/>
      <c r="AO77" s="2858"/>
      <c r="AP77" s="4154"/>
      <c r="AQ77" s="2858"/>
      <c r="AR77" s="4154"/>
      <c r="AS77" s="2858"/>
      <c r="AT77" s="4154"/>
      <c r="AU77" s="2858"/>
      <c r="AV77" s="4154"/>
      <c r="AW77" s="2858"/>
      <c r="AX77" s="4154"/>
      <c r="AY77" s="2858"/>
      <c r="AZ77" s="4154"/>
      <c r="BA77" s="2858"/>
      <c r="BB77" s="4154"/>
      <c r="BC77" s="2858"/>
      <c r="BD77" s="4154"/>
      <c r="BE77" s="2858"/>
      <c r="BF77" s="4154"/>
      <c r="BG77" s="4154"/>
      <c r="BH77" s="4154"/>
      <c r="BI77" s="4154"/>
      <c r="BJ77" s="2692"/>
      <c r="BK77" s="4154"/>
      <c r="BL77" s="4154"/>
      <c r="BM77" s="4157"/>
      <c r="BN77" s="4157"/>
      <c r="BO77" s="4157"/>
      <c r="BP77" s="4141"/>
      <c r="BQ77" s="4144"/>
    </row>
    <row r="78" spans="1:69" ht="67.5" customHeight="1" x14ac:dyDescent="0.2">
      <c r="A78" s="1857"/>
      <c r="B78" s="1858"/>
      <c r="C78" s="1859"/>
      <c r="D78" s="1860"/>
      <c r="E78" s="1860"/>
      <c r="F78" s="1859"/>
      <c r="G78" s="1857"/>
      <c r="H78" s="1860"/>
      <c r="I78" s="1859"/>
      <c r="J78" s="4154"/>
      <c r="K78" s="4148"/>
      <c r="L78" s="4148"/>
      <c r="M78" s="4154"/>
      <c r="N78" s="4154"/>
      <c r="O78" s="4154"/>
      <c r="P78" s="4148"/>
      <c r="Q78" s="4205"/>
      <c r="R78" s="2908"/>
      <c r="S78" s="4148"/>
      <c r="T78" s="4148"/>
      <c r="U78" s="161" t="s">
        <v>1536</v>
      </c>
      <c r="V78" s="1851">
        <v>7140000</v>
      </c>
      <c r="W78" s="1851">
        <v>2600000</v>
      </c>
      <c r="X78" s="1851">
        <v>1000000</v>
      </c>
      <c r="Y78" s="1852">
        <v>61</v>
      </c>
      <c r="Z78" s="4154"/>
      <c r="AA78" s="2858"/>
      <c r="AB78" s="4154"/>
      <c r="AC78" s="2858"/>
      <c r="AD78" s="4154"/>
      <c r="AE78" s="2858"/>
      <c r="AF78" s="4154"/>
      <c r="AG78" s="2858"/>
      <c r="AH78" s="4154"/>
      <c r="AI78" s="2858"/>
      <c r="AJ78" s="4154"/>
      <c r="AK78" s="2858"/>
      <c r="AL78" s="4154"/>
      <c r="AM78" s="2858"/>
      <c r="AN78" s="4154"/>
      <c r="AO78" s="2858"/>
      <c r="AP78" s="4154"/>
      <c r="AQ78" s="2858"/>
      <c r="AR78" s="4154"/>
      <c r="AS78" s="2858"/>
      <c r="AT78" s="4154"/>
      <c r="AU78" s="2858"/>
      <c r="AV78" s="4154"/>
      <c r="AW78" s="2858"/>
      <c r="AX78" s="4154"/>
      <c r="AY78" s="2858"/>
      <c r="AZ78" s="4154"/>
      <c r="BA78" s="2858"/>
      <c r="BB78" s="4154"/>
      <c r="BC78" s="2858"/>
      <c r="BD78" s="4154"/>
      <c r="BE78" s="2858"/>
      <c r="BF78" s="4154"/>
      <c r="BG78" s="4154"/>
      <c r="BH78" s="4154"/>
      <c r="BI78" s="4154"/>
      <c r="BJ78" s="2692"/>
      <c r="BK78" s="4154"/>
      <c r="BL78" s="4154"/>
      <c r="BM78" s="4157"/>
      <c r="BN78" s="4157"/>
      <c r="BO78" s="4157"/>
      <c r="BP78" s="4141"/>
      <c r="BQ78" s="4144"/>
    </row>
    <row r="79" spans="1:69" ht="132.75" customHeight="1" x14ac:dyDescent="0.2">
      <c r="A79" s="1857"/>
      <c r="B79" s="1858"/>
      <c r="C79" s="1859"/>
      <c r="D79" s="1860"/>
      <c r="E79" s="1860"/>
      <c r="F79" s="1859"/>
      <c r="G79" s="1857"/>
      <c r="H79" s="1860"/>
      <c r="I79" s="1859"/>
      <c r="J79" s="4154"/>
      <c r="K79" s="4148"/>
      <c r="L79" s="4148"/>
      <c r="M79" s="4154"/>
      <c r="N79" s="4154"/>
      <c r="O79" s="4154"/>
      <c r="P79" s="4148"/>
      <c r="Q79" s="4205"/>
      <c r="R79" s="2908"/>
      <c r="S79" s="4148"/>
      <c r="T79" s="4148"/>
      <c r="U79" s="167" t="s">
        <v>1537</v>
      </c>
      <c r="V79" s="1851">
        <v>10092000</v>
      </c>
      <c r="W79" s="1851">
        <v>0</v>
      </c>
      <c r="X79" s="1851">
        <v>0</v>
      </c>
      <c r="Y79" s="1852">
        <v>61</v>
      </c>
      <c r="Z79" s="4154"/>
      <c r="AA79" s="2858"/>
      <c r="AB79" s="4154"/>
      <c r="AC79" s="2858"/>
      <c r="AD79" s="4154"/>
      <c r="AE79" s="2858"/>
      <c r="AF79" s="4154"/>
      <c r="AG79" s="2858"/>
      <c r="AH79" s="4154"/>
      <c r="AI79" s="2858"/>
      <c r="AJ79" s="4154"/>
      <c r="AK79" s="2858"/>
      <c r="AL79" s="4154"/>
      <c r="AM79" s="2858"/>
      <c r="AN79" s="4154"/>
      <c r="AO79" s="2858"/>
      <c r="AP79" s="4154"/>
      <c r="AQ79" s="2858"/>
      <c r="AR79" s="4154"/>
      <c r="AS79" s="2858"/>
      <c r="AT79" s="4154"/>
      <c r="AU79" s="2858"/>
      <c r="AV79" s="4154"/>
      <c r="AW79" s="2858"/>
      <c r="AX79" s="4154"/>
      <c r="AY79" s="2858"/>
      <c r="AZ79" s="4154"/>
      <c r="BA79" s="2858"/>
      <c r="BB79" s="4154"/>
      <c r="BC79" s="2858"/>
      <c r="BD79" s="4154"/>
      <c r="BE79" s="2858"/>
      <c r="BF79" s="4154"/>
      <c r="BG79" s="4154"/>
      <c r="BH79" s="4154"/>
      <c r="BI79" s="4154"/>
      <c r="BJ79" s="2692"/>
      <c r="BK79" s="4154"/>
      <c r="BL79" s="4154"/>
      <c r="BM79" s="4157"/>
      <c r="BN79" s="4157"/>
      <c r="BO79" s="4157"/>
      <c r="BP79" s="4141"/>
      <c r="BQ79" s="4144"/>
    </row>
    <row r="80" spans="1:69" ht="56.25" customHeight="1" x14ac:dyDescent="0.2">
      <c r="A80" s="1857"/>
      <c r="B80" s="1858"/>
      <c r="C80" s="1859"/>
      <c r="D80" s="1860"/>
      <c r="E80" s="1860"/>
      <c r="F80" s="1859"/>
      <c r="G80" s="1857"/>
      <c r="H80" s="1860"/>
      <c r="I80" s="1859"/>
      <c r="J80" s="4154"/>
      <c r="K80" s="4148"/>
      <c r="L80" s="4148"/>
      <c r="M80" s="4154"/>
      <c r="N80" s="4154"/>
      <c r="O80" s="4154"/>
      <c r="P80" s="4148"/>
      <c r="Q80" s="4205"/>
      <c r="R80" s="2908"/>
      <c r="S80" s="4148"/>
      <c r="T80" s="4148"/>
      <c r="U80" s="161" t="s">
        <v>1538</v>
      </c>
      <c r="V80" s="1851">
        <v>5712000</v>
      </c>
      <c r="W80" s="1851">
        <v>0</v>
      </c>
      <c r="X80" s="1851">
        <v>0</v>
      </c>
      <c r="Y80" s="1852">
        <v>61</v>
      </c>
      <c r="Z80" s="4154"/>
      <c r="AA80" s="2858"/>
      <c r="AB80" s="4154"/>
      <c r="AC80" s="2858"/>
      <c r="AD80" s="4154"/>
      <c r="AE80" s="2858"/>
      <c r="AF80" s="4154"/>
      <c r="AG80" s="2858"/>
      <c r="AH80" s="4154"/>
      <c r="AI80" s="2858"/>
      <c r="AJ80" s="4154"/>
      <c r="AK80" s="2858"/>
      <c r="AL80" s="4154"/>
      <c r="AM80" s="2858"/>
      <c r="AN80" s="4154"/>
      <c r="AO80" s="2858"/>
      <c r="AP80" s="4154"/>
      <c r="AQ80" s="2858"/>
      <c r="AR80" s="4154"/>
      <c r="AS80" s="2858"/>
      <c r="AT80" s="4154"/>
      <c r="AU80" s="2858"/>
      <c r="AV80" s="4154"/>
      <c r="AW80" s="2858"/>
      <c r="AX80" s="4154"/>
      <c r="AY80" s="2858"/>
      <c r="AZ80" s="4154"/>
      <c r="BA80" s="2858"/>
      <c r="BB80" s="4154"/>
      <c r="BC80" s="2858"/>
      <c r="BD80" s="4154"/>
      <c r="BE80" s="2858"/>
      <c r="BF80" s="4154"/>
      <c r="BG80" s="4154"/>
      <c r="BH80" s="4154"/>
      <c r="BI80" s="4154"/>
      <c r="BJ80" s="2692"/>
      <c r="BK80" s="4154"/>
      <c r="BL80" s="4154"/>
      <c r="BM80" s="4157"/>
      <c r="BN80" s="4157"/>
      <c r="BO80" s="4157"/>
      <c r="BP80" s="4141"/>
      <c r="BQ80" s="4144"/>
    </row>
    <row r="81" spans="1:69" ht="56.25" customHeight="1" x14ac:dyDescent="0.2">
      <c r="A81" s="1857"/>
      <c r="B81" s="1858"/>
      <c r="C81" s="1859"/>
      <c r="D81" s="1860"/>
      <c r="E81" s="1860"/>
      <c r="F81" s="1859"/>
      <c r="G81" s="1857"/>
      <c r="H81" s="1860"/>
      <c r="I81" s="1859"/>
      <c r="J81" s="4154"/>
      <c r="K81" s="4148"/>
      <c r="L81" s="4148"/>
      <c r="M81" s="4154"/>
      <c r="N81" s="4154"/>
      <c r="O81" s="4154"/>
      <c r="P81" s="4148"/>
      <c r="Q81" s="4205"/>
      <c r="R81" s="2908"/>
      <c r="S81" s="4148"/>
      <c r="T81" s="4148"/>
      <c r="U81" s="161" t="s">
        <v>1539</v>
      </c>
      <c r="V81" s="1851">
        <v>7140000</v>
      </c>
      <c r="W81" s="1851">
        <v>0</v>
      </c>
      <c r="X81" s="1851">
        <v>0</v>
      </c>
      <c r="Y81" s="1852">
        <v>61</v>
      </c>
      <c r="Z81" s="4154"/>
      <c r="AA81" s="2858"/>
      <c r="AB81" s="4154"/>
      <c r="AC81" s="2858"/>
      <c r="AD81" s="4154"/>
      <c r="AE81" s="2858"/>
      <c r="AF81" s="4154"/>
      <c r="AG81" s="2858"/>
      <c r="AH81" s="4154"/>
      <c r="AI81" s="2858"/>
      <c r="AJ81" s="4154"/>
      <c r="AK81" s="2858"/>
      <c r="AL81" s="4154"/>
      <c r="AM81" s="2858"/>
      <c r="AN81" s="4154"/>
      <c r="AO81" s="2858"/>
      <c r="AP81" s="4154"/>
      <c r="AQ81" s="2858"/>
      <c r="AR81" s="4154"/>
      <c r="AS81" s="2858"/>
      <c r="AT81" s="4154"/>
      <c r="AU81" s="2858"/>
      <c r="AV81" s="4154"/>
      <c r="AW81" s="2858"/>
      <c r="AX81" s="4154"/>
      <c r="AY81" s="2858"/>
      <c r="AZ81" s="4154"/>
      <c r="BA81" s="2858"/>
      <c r="BB81" s="4154"/>
      <c r="BC81" s="2858"/>
      <c r="BD81" s="4154"/>
      <c r="BE81" s="2858"/>
      <c r="BF81" s="4154"/>
      <c r="BG81" s="4154"/>
      <c r="BH81" s="4154"/>
      <c r="BI81" s="4154"/>
      <c r="BJ81" s="2692"/>
      <c r="BK81" s="4154"/>
      <c r="BL81" s="4154"/>
      <c r="BM81" s="4157"/>
      <c r="BN81" s="4157"/>
      <c r="BO81" s="4157"/>
      <c r="BP81" s="4141"/>
      <c r="BQ81" s="4144"/>
    </row>
    <row r="82" spans="1:69" ht="63.75" customHeight="1" x14ac:dyDescent="0.2">
      <c r="A82" s="1857"/>
      <c r="B82" s="1858"/>
      <c r="C82" s="1859"/>
      <c r="D82" s="1860"/>
      <c r="E82" s="1860"/>
      <c r="F82" s="1859"/>
      <c r="G82" s="1857"/>
      <c r="H82" s="1860"/>
      <c r="I82" s="1859"/>
      <c r="J82" s="4154"/>
      <c r="K82" s="4148"/>
      <c r="L82" s="4148"/>
      <c r="M82" s="4154"/>
      <c r="N82" s="4154"/>
      <c r="O82" s="4154"/>
      <c r="P82" s="4148"/>
      <c r="Q82" s="4205"/>
      <c r="R82" s="2908"/>
      <c r="S82" s="4148"/>
      <c r="T82" s="4148"/>
      <c r="U82" s="161" t="s">
        <v>1540</v>
      </c>
      <c r="V82" s="1851">
        <v>2856000</v>
      </c>
      <c r="W82" s="1851">
        <v>0</v>
      </c>
      <c r="X82" s="1851">
        <v>0</v>
      </c>
      <c r="Y82" s="1852">
        <v>61</v>
      </c>
      <c r="Z82" s="4154"/>
      <c r="AA82" s="2858"/>
      <c r="AB82" s="4154"/>
      <c r="AC82" s="2858"/>
      <c r="AD82" s="4154"/>
      <c r="AE82" s="2858"/>
      <c r="AF82" s="4154"/>
      <c r="AG82" s="2858"/>
      <c r="AH82" s="4154"/>
      <c r="AI82" s="2858"/>
      <c r="AJ82" s="4154"/>
      <c r="AK82" s="2858"/>
      <c r="AL82" s="4154"/>
      <c r="AM82" s="2858"/>
      <c r="AN82" s="4154"/>
      <c r="AO82" s="2858"/>
      <c r="AP82" s="4154"/>
      <c r="AQ82" s="2858"/>
      <c r="AR82" s="4154"/>
      <c r="AS82" s="2858"/>
      <c r="AT82" s="4154"/>
      <c r="AU82" s="2858"/>
      <c r="AV82" s="4154"/>
      <c r="AW82" s="2858"/>
      <c r="AX82" s="4154"/>
      <c r="AY82" s="2858"/>
      <c r="AZ82" s="4154"/>
      <c r="BA82" s="2858"/>
      <c r="BB82" s="4154"/>
      <c r="BC82" s="2858"/>
      <c r="BD82" s="4154"/>
      <c r="BE82" s="2858"/>
      <c r="BF82" s="4154"/>
      <c r="BG82" s="4154"/>
      <c r="BH82" s="4154"/>
      <c r="BI82" s="4154"/>
      <c r="BJ82" s="2692"/>
      <c r="BK82" s="4154"/>
      <c r="BL82" s="4154"/>
      <c r="BM82" s="4157"/>
      <c r="BN82" s="4157"/>
      <c r="BO82" s="4157"/>
      <c r="BP82" s="4141"/>
      <c r="BQ82" s="4144"/>
    </row>
    <row r="83" spans="1:69" ht="56.25" customHeight="1" x14ac:dyDescent="0.2">
      <c r="A83" s="1857"/>
      <c r="B83" s="1858"/>
      <c r="C83" s="1859"/>
      <c r="D83" s="1860"/>
      <c r="E83" s="1860"/>
      <c r="F83" s="1859"/>
      <c r="G83" s="1864"/>
      <c r="H83" s="1865"/>
      <c r="I83" s="1866"/>
      <c r="J83" s="4155"/>
      <c r="K83" s="4149"/>
      <c r="L83" s="4149"/>
      <c r="M83" s="4155"/>
      <c r="N83" s="4154"/>
      <c r="O83" s="4155"/>
      <c r="P83" s="4149"/>
      <c r="Q83" s="4206"/>
      <c r="R83" s="2909"/>
      <c r="S83" s="4149"/>
      <c r="T83" s="4149"/>
      <c r="U83" s="161" t="s">
        <v>1541</v>
      </c>
      <c r="V83" s="1851">
        <v>4284000</v>
      </c>
      <c r="W83" s="1851">
        <v>3478666</v>
      </c>
      <c r="X83" s="1851">
        <v>1000000</v>
      </c>
      <c r="Y83" s="1852">
        <v>61</v>
      </c>
      <c r="Z83" s="4155"/>
      <c r="AA83" s="2859"/>
      <c r="AB83" s="4155"/>
      <c r="AC83" s="2859"/>
      <c r="AD83" s="4155"/>
      <c r="AE83" s="2859"/>
      <c r="AF83" s="4155"/>
      <c r="AG83" s="2859"/>
      <c r="AH83" s="4155"/>
      <c r="AI83" s="2859"/>
      <c r="AJ83" s="4155"/>
      <c r="AK83" s="2859"/>
      <c r="AL83" s="4155"/>
      <c r="AM83" s="2859"/>
      <c r="AN83" s="4155"/>
      <c r="AO83" s="2859"/>
      <c r="AP83" s="4155"/>
      <c r="AQ83" s="2859"/>
      <c r="AR83" s="4155"/>
      <c r="AS83" s="2859"/>
      <c r="AT83" s="4155"/>
      <c r="AU83" s="2859"/>
      <c r="AV83" s="4155"/>
      <c r="AW83" s="2859"/>
      <c r="AX83" s="4155"/>
      <c r="AY83" s="2859"/>
      <c r="AZ83" s="4155"/>
      <c r="BA83" s="2859"/>
      <c r="BB83" s="4155"/>
      <c r="BC83" s="2859"/>
      <c r="BD83" s="4155"/>
      <c r="BE83" s="2859"/>
      <c r="BF83" s="4155"/>
      <c r="BG83" s="4155"/>
      <c r="BH83" s="4155"/>
      <c r="BI83" s="4155"/>
      <c r="BJ83" s="4161"/>
      <c r="BK83" s="4155"/>
      <c r="BL83" s="4155"/>
      <c r="BM83" s="4158"/>
      <c r="BN83" s="4158"/>
      <c r="BO83" s="4158"/>
      <c r="BP83" s="4142"/>
      <c r="BQ83" s="4145"/>
    </row>
    <row r="84" spans="1:69" ht="15" x14ac:dyDescent="0.2">
      <c r="A84" s="1793"/>
      <c r="B84" s="1794"/>
      <c r="C84" s="1795"/>
      <c r="D84" s="1848"/>
      <c r="E84" s="1848"/>
      <c r="F84" s="1795"/>
      <c r="G84" s="1834">
        <v>39</v>
      </c>
      <c r="H84" s="1799" t="s">
        <v>1542</v>
      </c>
      <c r="I84" s="1799"/>
      <c r="J84" s="1799"/>
      <c r="K84" s="1800"/>
      <c r="L84" s="1800"/>
      <c r="M84" s="1799"/>
      <c r="N84" s="1801"/>
      <c r="O84" s="1799"/>
      <c r="P84" s="1800"/>
      <c r="Q84" s="1799"/>
      <c r="R84" s="1835"/>
      <c r="S84" s="1800"/>
      <c r="T84" s="1800"/>
      <c r="U84" s="1802"/>
      <c r="V84" s="1836"/>
      <c r="W84" s="1836"/>
      <c r="X84" s="1836"/>
      <c r="Y84" s="1837"/>
      <c r="Z84" s="1801"/>
      <c r="AA84" s="1801"/>
      <c r="AB84" s="1801"/>
      <c r="AC84" s="1801"/>
      <c r="AD84" s="1801"/>
      <c r="AE84" s="1801"/>
      <c r="AF84" s="1801"/>
      <c r="AG84" s="1801"/>
      <c r="AH84" s="1801"/>
      <c r="AI84" s="1801"/>
      <c r="AJ84" s="1801"/>
      <c r="AK84" s="1801"/>
      <c r="AL84" s="1801"/>
      <c r="AM84" s="1801"/>
      <c r="AN84" s="1801"/>
      <c r="AO84" s="1801"/>
      <c r="AP84" s="1801"/>
      <c r="AQ84" s="1801"/>
      <c r="AR84" s="1801"/>
      <c r="AS84" s="1801"/>
      <c r="AT84" s="1801"/>
      <c r="AU84" s="1801"/>
      <c r="AV84" s="1801"/>
      <c r="AW84" s="1801"/>
      <c r="AX84" s="1801"/>
      <c r="AY84" s="1801"/>
      <c r="AZ84" s="1801"/>
      <c r="BA84" s="1801"/>
      <c r="BB84" s="1801"/>
      <c r="BC84" s="1801"/>
      <c r="BD84" s="1801"/>
      <c r="BE84" s="1801"/>
      <c r="BF84" s="1801"/>
      <c r="BG84" s="1801"/>
      <c r="BH84" s="1801"/>
      <c r="BI84" s="1801"/>
      <c r="BJ84" s="1801"/>
      <c r="BK84" s="1801"/>
      <c r="BL84" s="1801"/>
      <c r="BM84" s="1849"/>
      <c r="BN84" s="1849"/>
      <c r="BO84" s="1849"/>
      <c r="BP84" s="1839"/>
      <c r="BQ84" s="1840"/>
    </row>
    <row r="85" spans="1:69" ht="91.5" customHeight="1" x14ac:dyDescent="0.2">
      <c r="A85" s="1857"/>
      <c r="B85" s="1858"/>
      <c r="C85" s="1859"/>
      <c r="D85" s="1860"/>
      <c r="E85" s="1860"/>
      <c r="F85" s="1859"/>
      <c r="G85" s="1861"/>
      <c r="H85" s="1862"/>
      <c r="I85" s="1863"/>
      <c r="J85" s="4153">
        <v>139</v>
      </c>
      <c r="K85" s="4147" t="s">
        <v>1543</v>
      </c>
      <c r="L85" s="4147" t="s">
        <v>1544</v>
      </c>
      <c r="M85" s="4153">
        <v>1</v>
      </c>
      <c r="N85" s="4153" t="s">
        <v>1545</v>
      </c>
      <c r="O85" s="4153">
        <v>138</v>
      </c>
      <c r="P85" s="4147" t="s">
        <v>1546</v>
      </c>
      <c r="Q85" s="4204">
        <f>(V85+V88+V86+V87)/R85</f>
        <v>0.6470588235294118</v>
      </c>
      <c r="R85" s="4134">
        <f>SUM(V85:V95)</f>
        <v>170000000</v>
      </c>
      <c r="S85" s="4147" t="s">
        <v>1547</v>
      </c>
      <c r="T85" s="4147" t="s">
        <v>1548</v>
      </c>
      <c r="U85" s="161" t="s">
        <v>1549</v>
      </c>
      <c r="V85" s="1851">
        <v>27500000</v>
      </c>
      <c r="W85" s="1851">
        <v>5000000</v>
      </c>
      <c r="X85" s="1851">
        <v>1500000</v>
      </c>
      <c r="Y85" s="1852">
        <v>61</v>
      </c>
      <c r="Z85" s="4153" t="s">
        <v>1550</v>
      </c>
      <c r="AA85" s="4212">
        <v>289394</v>
      </c>
      <c r="AB85" s="4212">
        <f>AA85*0.03</f>
        <v>8681.82</v>
      </c>
      <c r="AC85" s="4212">
        <v>279112</v>
      </c>
      <c r="AD85" s="4212">
        <f>AC85*0.03</f>
        <v>8373.36</v>
      </c>
      <c r="AE85" s="4212">
        <v>63164</v>
      </c>
      <c r="AF85" s="4212">
        <f>AE85*0.03</f>
        <v>1894.9199999999998</v>
      </c>
      <c r="AG85" s="4212">
        <v>45607</v>
      </c>
      <c r="AH85" s="4212">
        <f>AG85*0.03</f>
        <v>1368.21</v>
      </c>
      <c r="AI85" s="4212">
        <v>365607</v>
      </c>
      <c r="AJ85" s="4212">
        <f>AI85*0.03</f>
        <v>10968.21</v>
      </c>
      <c r="AK85" s="4212">
        <v>75612</v>
      </c>
      <c r="AL85" s="4212">
        <f>AK85*0.03</f>
        <v>2268.36</v>
      </c>
      <c r="AM85" s="4212">
        <v>2145</v>
      </c>
      <c r="AN85" s="4212">
        <f>AM85*0.03</f>
        <v>64.349999999999994</v>
      </c>
      <c r="AO85" s="4212">
        <v>12718</v>
      </c>
      <c r="AP85" s="4212">
        <f>AO85*0.03</f>
        <v>381.53999999999996</v>
      </c>
      <c r="AQ85" s="4212">
        <v>26</v>
      </c>
      <c r="AR85" s="4212">
        <f>AQ85*0.03</f>
        <v>0.78</v>
      </c>
      <c r="AS85" s="4212">
        <v>37</v>
      </c>
      <c r="AT85" s="4212">
        <f>AS85*0.03</f>
        <v>1.1099999999999999</v>
      </c>
      <c r="AU85" s="4212">
        <v>0</v>
      </c>
      <c r="AV85" s="4212">
        <f>AU85*0.03</f>
        <v>0</v>
      </c>
      <c r="AW85" s="4212">
        <v>0</v>
      </c>
      <c r="AX85" s="4212">
        <f>AW85*0.03</f>
        <v>0</v>
      </c>
      <c r="AY85" s="4212">
        <v>78</v>
      </c>
      <c r="AZ85" s="4212">
        <f>AY85*0.03</f>
        <v>2.34</v>
      </c>
      <c r="BA85" s="4212">
        <v>16897</v>
      </c>
      <c r="BB85" s="4212">
        <f>BA85*0.03</f>
        <v>506.90999999999997</v>
      </c>
      <c r="BC85" s="4212">
        <f>SUM('[3]P. 100'!$W$5+'[3]P. 100'!$X$5)</f>
        <v>852</v>
      </c>
      <c r="BD85" s="4212">
        <f>BC85*0.03</f>
        <v>25.56</v>
      </c>
      <c r="BE85" s="4212">
        <f>SUM(AA93:AC93)</f>
        <v>0</v>
      </c>
      <c r="BF85" s="4212">
        <f>BE85*0.03</f>
        <v>0</v>
      </c>
      <c r="BG85" s="4212">
        <v>2</v>
      </c>
      <c r="BH85" s="4212">
        <f>SUM(W85:W95)</f>
        <v>16333333</v>
      </c>
      <c r="BI85" s="4212">
        <f>SUM(X85:X95)</f>
        <v>5000000</v>
      </c>
      <c r="BJ85" s="4209">
        <f>SUM(BI85/R85)</f>
        <v>2.9411764705882353E-2</v>
      </c>
      <c r="BK85" s="4212">
        <v>61</v>
      </c>
      <c r="BL85" s="4213" t="s">
        <v>1466</v>
      </c>
      <c r="BM85" s="4214">
        <v>43467</v>
      </c>
      <c r="BN85" s="4214">
        <v>44196</v>
      </c>
      <c r="BO85" s="4214">
        <v>43830</v>
      </c>
      <c r="BP85" s="4140">
        <v>44196</v>
      </c>
      <c r="BQ85" s="4143" t="s">
        <v>1432</v>
      </c>
    </row>
    <row r="86" spans="1:69" ht="72.75" customHeight="1" x14ac:dyDescent="0.2">
      <c r="A86" s="1857"/>
      <c r="B86" s="1858"/>
      <c r="C86" s="1859"/>
      <c r="D86" s="1860"/>
      <c r="E86" s="1860"/>
      <c r="F86" s="1859"/>
      <c r="G86" s="1857"/>
      <c r="H86" s="1860"/>
      <c r="I86" s="1859"/>
      <c r="J86" s="4154"/>
      <c r="K86" s="4148"/>
      <c r="L86" s="4148"/>
      <c r="M86" s="4154"/>
      <c r="N86" s="4154"/>
      <c r="O86" s="4154"/>
      <c r="P86" s="4148"/>
      <c r="Q86" s="4205"/>
      <c r="R86" s="2908"/>
      <c r="S86" s="4148"/>
      <c r="T86" s="4148"/>
      <c r="U86" s="161" t="s">
        <v>1551</v>
      </c>
      <c r="V86" s="1851">
        <v>27500000</v>
      </c>
      <c r="W86" s="1851">
        <v>5000000</v>
      </c>
      <c r="X86" s="1851">
        <v>1500000</v>
      </c>
      <c r="Y86" s="1852">
        <v>61</v>
      </c>
      <c r="Z86" s="4154"/>
      <c r="AA86" s="2858"/>
      <c r="AB86" s="2858"/>
      <c r="AC86" s="2858"/>
      <c r="AD86" s="2858"/>
      <c r="AE86" s="2858"/>
      <c r="AF86" s="2858"/>
      <c r="AG86" s="2858"/>
      <c r="AH86" s="2858"/>
      <c r="AI86" s="2858"/>
      <c r="AJ86" s="2858"/>
      <c r="AK86" s="2858"/>
      <c r="AL86" s="2858"/>
      <c r="AM86" s="2858"/>
      <c r="AN86" s="2858"/>
      <c r="AO86" s="2858"/>
      <c r="AP86" s="2858"/>
      <c r="AQ86" s="2858"/>
      <c r="AR86" s="2858"/>
      <c r="AS86" s="2858"/>
      <c r="AT86" s="2858"/>
      <c r="AU86" s="2858"/>
      <c r="AV86" s="2858"/>
      <c r="AW86" s="2858"/>
      <c r="AX86" s="2858"/>
      <c r="AY86" s="2858"/>
      <c r="AZ86" s="2858"/>
      <c r="BA86" s="2858"/>
      <c r="BB86" s="2858"/>
      <c r="BC86" s="2858"/>
      <c r="BD86" s="2858"/>
      <c r="BE86" s="2858"/>
      <c r="BF86" s="2858"/>
      <c r="BG86" s="2858"/>
      <c r="BH86" s="2858"/>
      <c r="BI86" s="2858"/>
      <c r="BJ86" s="4210"/>
      <c r="BK86" s="2858"/>
      <c r="BL86" s="2896"/>
      <c r="BM86" s="3052"/>
      <c r="BN86" s="3052"/>
      <c r="BO86" s="3052"/>
      <c r="BP86" s="4141"/>
      <c r="BQ86" s="4144"/>
    </row>
    <row r="87" spans="1:69" ht="68.25" customHeight="1" x14ac:dyDescent="0.2">
      <c r="A87" s="1857"/>
      <c r="B87" s="1858"/>
      <c r="C87" s="1859"/>
      <c r="D87" s="1860"/>
      <c r="E87" s="1860"/>
      <c r="F87" s="1859"/>
      <c r="G87" s="1857"/>
      <c r="H87" s="1860"/>
      <c r="I87" s="1859"/>
      <c r="J87" s="4154"/>
      <c r="K87" s="4148"/>
      <c r="L87" s="4148"/>
      <c r="M87" s="4154"/>
      <c r="N87" s="4154"/>
      <c r="O87" s="4154"/>
      <c r="P87" s="4148"/>
      <c r="Q87" s="4205"/>
      <c r="R87" s="2908"/>
      <c r="S87" s="4148"/>
      <c r="T87" s="4148"/>
      <c r="U87" s="161" t="s">
        <v>1552</v>
      </c>
      <c r="V87" s="1851">
        <v>27500000</v>
      </c>
      <c r="W87" s="1851">
        <v>1333333</v>
      </c>
      <c r="X87" s="1851">
        <v>500000</v>
      </c>
      <c r="Y87" s="1852">
        <v>61</v>
      </c>
      <c r="Z87" s="4154"/>
      <c r="AA87" s="2858"/>
      <c r="AB87" s="2858"/>
      <c r="AC87" s="2858"/>
      <c r="AD87" s="2858"/>
      <c r="AE87" s="2858"/>
      <c r="AF87" s="2858"/>
      <c r="AG87" s="2858"/>
      <c r="AH87" s="2858"/>
      <c r="AI87" s="2858"/>
      <c r="AJ87" s="2858"/>
      <c r="AK87" s="2858"/>
      <c r="AL87" s="2858"/>
      <c r="AM87" s="2858"/>
      <c r="AN87" s="2858"/>
      <c r="AO87" s="2858"/>
      <c r="AP87" s="2858"/>
      <c r="AQ87" s="2858"/>
      <c r="AR87" s="2858"/>
      <c r="AS87" s="2858"/>
      <c r="AT87" s="2858"/>
      <c r="AU87" s="2858"/>
      <c r="AV87" s="2858"/>
      <c r="AW87" s="2858"/>
      <c r="AX87" s="2858"/>
      <c r="AY87" s="2858"/>
      <c r="AZ87" s="2858"/>
      <c r="BA87" s="2858"/>
      <c r="BB87" s="2858"/>
      <c r="BC87" s="2858"/>
      <c r="BD87" s="2858"/>
      <c r="BE87" s="2858"/>
      <c r="BF87" s="2858"/>
      <c r="BG87" s="2858"/>
      <c r="BH87" s="2858"/>
      <c r="BI87" s="2858"/>
      <c r="BJ87" s="4210"/>
      <c r="BK87" s="2858"/>
      <c r="BL87" s="2896"/>
      <c r="BM87" s="3052"/>
      <c r="BN87" s="3052"/>
      <c r="BO87" s="3052"/>
      <c r="BP87" s="4141"/>
      <c r="BQ87" s="4144"/>
    </row>
    <row r="88" spans="1:69" ht="78" customHeight="1" x14ac:dyDescent="0.2">
      <c r="A88" s="1857"/>
      <c r="B88" s="1858"/>
      <c r="C88" s="1859"/>
      <c r="D88" s="1860"/>
      <c r="E88" s="1860"/>
      <c r="F88" s="1859"/>
      <c r="G88" s="1857"/>
      <c r="H88" s="1860"/>
      <c r="I88" s="1859"/>
      <c r="J88" s="4155"/>
      <c r="K88" s="4149"/>
      <c r="L88" s="4149"/>
      <c r="M88" s="4155"/>
      <c r="N88" s="4154"/>
      <c r="O88" s="4154"/>
      <c r="P88" s="4148"/>
      <c r="Q88" s="4206"/>
      <c r="R88" s="2908"/>
      <c r="S88" s="4148"/>
      <c r="T88" s="4149"/>
      <c r="U88" s="161" t="s">
        <v>1553</v>
      </c>
      <c r="V88" s="1851">
        <v>27500000</v>
      </c>
      <c r="W88" s="1851">
        <v>5000000</v>
      </c>
      <c r="X88" s="1851">
        <v>1500000</v>
      </c>
      <c r="Y88" s="1852">
        <v>61</v>
      </c>
      <c r="Z88" s="4154"/>
      <c r="AA88" s="2858"/>
      <c r="AB88" s="2858"/>
      <c r="AC88" s="2858"/>
      <c r="AD88" s="2858"/>
      <c r="AE88" s="2858"/>
      <c r="AF88" s="2858"/>
      <c r="AG88" s="2858"/>
      <c r="AH88" s="2858"/>
      <c r="AI88" s="2858"/>
      <c r="AJ88" s="2858"/>
      <c r="AK88" s="2858"/>
      <c r="AL88" s="2858"/>
      <c r="AM88" s="2858"/>
      <c r="AN88" s="2858"/>
      <c r="AO88" s="2858"/>
      <c r="AP88" s="2858"/>
      <c r="AQ88" s="2858"/>
      <c r="AR88" s="2858"/>
      <c r="AS88" s="2858"/>
      <c r="AT88" s="2858"/>
      <c r="AU88" s="2858"/>
      <c r="AV88" s="2858"/>
      <c r="AW88" s="2858"/>
      <c r="AX88" s="2858"/>
      <c r="AY88" s="2858"/>
      <c r="AZ88" s="2858"/>
      <c r="BA88" s="2858"/>
      <c r="BB88" s="2858"/>
      <c r="BC88" s="2858"/>
      <c r="BD88" s="2858"/>
      <c r="BE88" s="2858"/>
      <c r="BF88" s="2858"/>
      <c r="BG88" s="2858"/>
      <c r="BH88" s="2858"/>
      <c r="BI88" s="2858"/>
      <c r="BJ88" s="4210"/>
      <c r="BK88" s="2858"/>
      <c r="BL88" s="2896"/>
      <c r="BM88" s="3052"/>
      <c r="BN88" s="3052"/>
      <c r="BO88" s="3052"/>
      <c r="BP88" s="4141"/>
      <c r="BQ88" s="4144"/>
    </row>
    <row r="89" spans="1:69" ht="76.5" customHeight="1" x14ac:dyDescent="0.2">
      <c r="A89" s="1857"/>
      <c r="B89" s="1858"/>
      <c r="C89" s="1859"/>
      <c r="D89" s="1860"/>
      <c r="E89" s="1860"/>
      <c r="F89" s="1859"/>
      <c r="G89" s="1857"/>
      <c r="H89" s="1860"/>
      <c r="I89" s="1859"/>
      <c r="J89" s="4153">
        <v>140</v>
      </c>
      <c r="K89" s="4147" t="s">
        <v>1554</v>
      </c>
      <c r="L89" s="4147" t="s">
        <v>1424</v>
      </c>
      <c r="M89" s="4153">
        <v>1</v>
      </c>
      <c r="N89" s="4154"/>
      <c r="O89" s="4154"/>
      <c r="P89" s="4148"/>
      <c r="Q89" s="4204">
        <f>(V89+V92+V90+V91)/R85</f>
        <v>0.17647058823529413</v>
      </c>
      <c r="R89" s="2908"/>
      <c r="S89" s="4148"/>
      <c r="T89" s="4147" t="s">
        <v>1555</v>
      </c>
      <c r="U89" s="161" t="s">
        <v>1556</v>
      </c>
      <c r="V89" s="1851">
        <v>7500000</v>
      </c>
      <c r="W89" s="1851">
        <v>0</v>
      </c>
      <c r="X89" s="1851">
        <v>0</v>
      </c>
      <c r="Y89" s="1852">
        <v>61</v>
      </c>
      <c r="Z89" s="4154"/>
      <c r="AA89" s="2858"/>
      <c r="AB89" s="2858"/>
      <c r="AC89" s="2858"/>
      <c r="AD89" s="2858"/>
      <c r="AE89" s="2858"/>
      <c r="AF89" s="2858"/>
      <c r="AG89" s="2858"/>
      <c r="AH89" s="2858"/>
      <c r="AI89" s="2858"/>
      <c r="AJ89" s="2858"/>
      <c r="AK89" s="2858"/>
      <c r="AL89" s="2858"/>
      <c r="AM89" s="2858"/>
      <c r="AN89" s="2858"/>
      <c r="AO89" s="2858"/>
      <c r="AP89" s="2858"/>
      <c r="AQ89" s="2858"/>
      <c r="AR89" s="2858"/>
      <c r="AS89" s="2858"/>
      <c r="AT89" s="2858"/>
      <c r="AU89" s="2858"/>
      <c r="AV89" s="2858"/>
      <c r="AW89" s="2858"/>
      <c r="AX89" s="2858"/>
      <c r="AY89" s="2858"/>
      <c r="AZ89" s="2858"/>
      <c r="BA89" s="2858"/>
      <c r="BB89" s="2858"/>
      <c r="BC89" s="2858"/>
      <c r="BD89" s="2858"/>
      <c r="BE89" s="2858"/>
      <c r="BF89" s="2858"/>
      <c r="BG89" s="2858"/>
      <c r="BH89" s="2858"/>
      <c r="BI89" s="2858"/>
      <c r="BJ89" s="4210"/>
      <c r="BK89" s="2858"/>
      <c r="BL89" s="2896"/>
      <c r="BM89" s="3052"/>
      <c r="BN89" s="3052"/>
      <c r="BO89" s="3052"/>
      <c r="BP89" s="4141"/>
      <c r="BQ89" s="4144"/>
    </row>
    <row r="90" spans="1:69" ht="77.25" customHeight="1" x14ac:dyDescent="0.2">
      <c r="A90" s="1857"/>
      <c r="B90" s="1858"/>
      <c r="C90" s="1859"/>
      <c r="D90" s="1860"/>
      <c r="E90" s="1860"/>
      <c r="F90" s="1859"/>
      <c r="G90" s="1857"/>
      <c r="H90" s="1860"/>
      <c r="I90" s="1859"/>
      <c r="J90" s="4154"/>
      <c r="K90" s="4148"/>
      <c r="L90" s="4148"/>
      <c r="M90" s="4154"/>
      <c r="N90" s="4154"/>
      <c r="O90" s="4154"/>
      <c r="P90" s="4148"/>
      <c r="Q90" s="4205"/>
      <c r="R90" s="2908"/>
      <c r="S90" s="4148"/>
      <c r="T90" s="4148"/>
      <c r="U90" s="161" t="s">
        <v>1557</v>
      </c>
      <c r="V90" s="1851">
        <v>7500000</v>
      </c>
      <c r="W90" s="1851">
        <v>0</v>
      </c>
      <c r="X90" s="1851">
        <v>0</v>
      </c>
      <c r="Y90" s="1852">
        <v>61</v>
      </c>
      <c r="Z90" s="4154"/>
      <c r="AA90" s="2858"/>
      <c r="AB90" s="2858"/>
      <c r="AC90" s="2858"/>
      <c r="AD90" s="2858"/>
      <c r="AE90" s="2858"/>
      <c r="AF90" s="2858"/>
      <c r="AG90" s="2858"/>
      <c r="AH90" s="2858"/>
      <c r="AI90" s="2858"/>
      <c r="AJ90" s="2858"/>
      <c r="AK90" s="2858"/>
      <c r="AL90" s="2858"/>
      <c r="AM90" s="2858"/>
      <c r="AN90" s="2858"/>
      <c r="AO90" s="2858"/>
      <c r="AP90" s="2858"/>
      <c r="AQ90" s="2858"/>
      <c r="AR90" s="2858"/>
      <c r="AS90" s="2858"/>
      <c r="AT90" s="2858"/>
      <c r="AU90" s="2858"/>
      <c r="AV90" s="2858"/>
      <c r="AW90" s="2858"/>
      <c r="AX90" s="2858"/>
      <c r="AY90" s="2858"/>
      <c r="AZ90" s="2858"/>
      <c r="BA90" s="2858"/>
      <c r="BB90" s="2858"/>
      <c r="BC90" s="2858"/>
      <c r="BD90" s="2858"/>
      <c r="BE90" s="2858"/>
      <c r="BF90" s="2858"/>
      <c r="BG90" s="2858"/>
      <c r="BH90" s="2858"/>
      <c r="BI90" s="2858"/>
      <c r="BJ90" s="4210"/>
      <c r="BK90" s="2858"/>
      <c r="BL90" s="2896"/>
      <c r="BM90" s="3052"/>
      <c r="BN90" s="3052"/>
      <c r="BO90" s="3052"/>
      <c r="BP90" s="4141"/>
      <c r="BQ90" s="4144"/>
    </row>
    <row r="91" spans="1:69" ht="50.25" customHeight="1" x14ac:dyDescent="0.2">
      <c r="A91" s="1857"/>
      <c r="B91" s="1858"/>
      <c r="C91" s="1859"/>
      <c r="D91" s="1860"/>
      <c r="E91" s="1860"/>
      <c r="F91" s="1859"/>
      <c r="G91" s="1857"/>
      <c r="H91" s="1860"/>
      <c r="I91" s="1859"/>
      <c r="J91" s="4154"/>
      <c r="K91" s="4148"/>
      <c r="L91" s="4148"/>
      <c r="M91" s="4154"/>
      <c r="N91" s="4154"/>
      <c r="O91" s="4154"/>
      <c r="P91" s="4148"/>
      <c r="Q91" s="4205"/>
      <c r="R91" s="2908"/>
      <c r="S91" s="4148"/>
      <c r="T91" s="4148"/>
      <c r="U91" s="161" t="s">
        <v>1558</v>
      </c>
      <c r="V91" s="1851">
        <v>7500000</v>
      </c>
      <c r="W91" s="1851">
        <v>0</v>
      </c>
      <c r="X91" s="1851">
        <v>0</v>
      </c>
      <c r="Y91" s="1852">
        <v>61</v>
      </c>
      <c r="Z91" s="4154"/>
      <c r="AA91" s="2858"/>
      <c r="AB91" s="2858"/>
      <c r="AC91" s="2858"/>
      <c r="AD91" s="2858"/>
      <c r="AE91" s="2858"/>
      <c r="AF91" s="2858"/>
      <c r="AG91" s="2858"/>
      <c r="AH91" s="2858"/>
      <c r="AI91" s="2858"/>
      <c r="AJ91" s="2858"/>
      <c r="AK91" s="2858"/>
      <c r="AL91" s="2858"/>
      <c r="AM91" s="2858"/>
      <c r="AN91" s="2858"/>
      <c r="AO91" s="2858"/>
      <c r="AP91" s="2858"/>
      <c r="AQ91" s="2858"/>
      <c r="AR91" s="2858"/>
      <c r="AS91" s="2858"/>
      <c r="AT91" s="2858"/>
      <c r="AU91" s="2858"/>
      <c r="AV91" s="2858"/>
      <c r="AW91" s="2858"/>
      <c r="AX91" s="2858"/>
      <c r="AY91" s="2858"/>
      <c r="AZ91" s="2858"/>
      <c r="BA91" s="2858"/>
      <c r="BB91" s="2858"/>
      <c r="BC91" s="2858"/>
      <c r="BD91" s="2858"/>
      <c r="BE91" s="2858"/>
      <c r="BF91" s="2858"/>
      <c r="BG91" s="2858"/>
      <c r="BH91" s="2858"/>
      <c r="BI91" s="2858"/>
      <c r="BJ91" s="4210"/>
      <c r="BK91" s="2858"/>
      <c r="BL91" s="2896"/>
      <c r="BM91" s="3052"/>
      <c r="BN91" s="3052"/>
      <c r="BO91" s="3052"/>
      <c r="BP91" s="4141"/>
      <c r="BQ91" s="4144"/>
    </row>
    <row r="92" spans="1:69" ht="69" customHeight="1" x14ac:dyDescent="0.2">
      <c r="A92" s="1857"/>
      <c r="B92" s="1858"/>
      <c r="C92" s="1859"/>
      <c r="D92" s="1860"/>
      <c r="E92" s="1860"/>
      <c r="F92" s="1859"/>
      <c r="G92" s="1857"/>
      <c r="H92" s="1860"/>
      <c r="I92" s="1859"/>
      <c r="J92" s="4155"/>
      <c r="K92" s="4149"/>
      <c r="L92" s="4149"/>
      <c r="M92" s="4155"/>
      <c r="N92" s="4154"/>
      <c r="O92" s="4154"/>
      <c r="P92" s="4148"/>
      <c r="Q92" s="4206"/>
      <c r="R92" s="2908"/>
      <c r="S92" s="4148"/>
      <c r="T92" s="4149"/>
      <c r="U92" s="161" t="s">
        <v>1559</v>
      </c>
      <c r="V92" s="1851">
        <v>7500000</v>
      </c>
      <c r="W92" s="1851">
        <v>0</v>
      </c>
      <c r="X92" s="1851">
        <v>0</v>
      </c>
      <c r="Y92" s="1852">
        <v>61</v>
      </c>
      <c r="Z92" s="4154"/>
      <c r="AA92" s="2858"/>
      <c r="AB92" s="2858"/>
      <c r="AC92" s="2858"/>
      <c r="AD92" s="2858"/>
      <c r="AE92" s="2858"/>
      <c r="AF92" s="2858"/>
      <c r="AG92" s="2858"/>
      <c r="AH92" s="2858"/>
      <c r="AI92" s="2858"/>
      <c r="AJ92" s="2858"/>
      <c r="AK92" s="2858"/>
      <c r="AL92" s="2858"/>
      <c r="AM92" s="2858"/>
      <c r="AN92" s="2858"/>
      <c r="AO92" s="2858"/>
      <c r="AP92" s="2858"/>
      <c r="AQ92" s="2858"/>
      <c r="AR92" s="2858"/>
      <c r="AS92" s="2858"/>
      <c r="AT92" s="2858"/>
      <c r="AU92" s="2858"/>
      <c r="AV92" s="2858"/>
      <c r="AW92" s="2858"/>
      <c r="AX92" s="2858"/>
      <c r="AY92" s="2858"/>
      <c r="AZ92" s="2858"/>
      <c r="BA92" s="2858"/>
      <c r="BB92" s="2858"/>
      <c r="BC92" s="2858"/>
      <c r="BD92" s="2858"/>
      <c r="BE92" s="2858"/>
      <c r="BF92" s="2858"/>
      <c r="BG92" s="2858"/>
      <c r="BH92" s="2858"/>
      <c r="BI92" s="2858"/>
      <c r="BJ92" s="4210"/>
      <c r="BK92" s="2858"/>
      <c r="BL92" s="2896"/>
      <c r="BM92" s="3052"/>
      <c r="BN92" s="3052"/>
      <c r="BO92" s="3052"/>
      <c r="BP92" s="4141"/>
      <c r="BQ92" s="4144"/>
    </row>
    <row r="93" spans="1:69" ht="72" customHeight="1" x14ac:dyDescent="0.2">
      <c r="A93" s="1857"/>
      <c r="B93" s="1858"/>
      <c r="C93" s="1859"/>
      <c r="D93" s="1860"/>
      <c r="E93" s="1860"/>
      <c r="F93" s="1859"/>
      <c r="G93" s="1857"/>
      <c r="H93" s="1860"/>
      <c r="I93" s="1859"/>
      <c r="J93" s="4153">
        <v>141</v>
      </c>
      <c r="K93" s="4147" t="s">
        <v>1560</v>
      </c>
      <c r="L93" s="4147" t="s">
        <v>1424</v>
      </c>
      <c r="M93" s="4153">
        <v>1</v>
      </c>
      <c r="N93" s="4154"/>
      <c r="O93" s="4154"/>
      <c r="P93" s="4148"/>
      <c r="Q93" s="4204">
        <f>(V93+V95+V94)/R85</f>
        <v>0.17647058823529413</v>
      </c>
      <c r="R93" s="2908"/>
      <c r="S93" s="4148"/>
      <c r="T93" s="4147" t="s">
        <v>1561</v>
      </c>
      <c r="U93" s="161" t="s">
        <v>1562</v>
      </c>
      <c r="V93" s="1851">
        <v>10713000</v>
      </c>
      <c r="W93" s="1851">
        <v>0</v>
      </c>
      <c r="X93" s="1851">
        <v>0</v>
      </c>
      <c r="Y93" s="1852">
        <v>61</v>
      </c>
      <c r="Z93" s="4154"/>
      <c r="AA93" s="2858"/>
      <c r="AB93" s="2858"/>
      <c r="AC93" s="2858"/>
      <c r="AD93" s="2858"/>
      <c r="AE93" s="2858"/>
      <c r="AF93" s="2858"/>
      <c r="AG93" s="2858"/>
      <c r="AH93" s="2858"/>
      <c r="AI93" s="2858"/>
      <c r="AJ93" s="2858"/>
      <c r="AK93" s="2858"/>
      <c r="AL93" s="2858"/>
      <c r="AM93" s="2858"/>
      <c r="AN93" s="2858"/>
      <c r="AO93" s="2858"/>
      <c r="AP93" s="2858"/>
      <c r="AQ93" s="2858"/>
      <c r="AR93" s="2858"/>
      <c r="AS93" s="2858"/>
      <c r="AT93" s="2858"/>
      <c r="AU93" s="2858"/>
      <c r="AV93" s="2858"/>
      <c r="AW93" s="2858"/>
      <c r="AX93" s="2858"/>
      <c r="AY93" s="2858"/>
      <c r="AZ93" s="2858"/>
      <c r="BA93" s="2858"/>
      <c r="BB93" s="2858"/>
      <c r="BC93" s="2858"/>
      <c r="BD93" s="2858"/>
      <c r="BE93" s="2858"/>
      <c r="BF93" s="2858"/>
      <c r="BG93" s="2858"/>
      <c r="BH93" s="2858"/>
      <c r="BI93" s="2858"/>
      <c r="BJ93" s="4210"/>
      <c r="BK93" s="2858"/>
      <c r="BL93" s="2896"/>
      <c r="BM93" s="3052"/>
      <c r="BN93" s="3052"/>
      <c r="BO93" s="3052"/>
      <c r="BP93" s="4141"/>
      <c r="BQ93" s="4144"/>
    </row>
    <row r="94" spans="1:69" ht="114" customHeight="1" x14ac:dyDescent="0.2">
      <c r="A94" s="1857"/>
      <c r="B94" s="1858"/>
      <c r="C94" s="1859"/>
      <c r="D94" s="1860"/>
      <c r="E94" s="1860"/>
      <c r="F94" s="1859"/>
      <c r="G94" s="1857"/>
      <c r="H94" s="1860"/>
      <c r="I94" s="1859"/>
      <c r="J94" s="4154"/>
      <c r="K94" s="4148"/>
      <c r="L94" s="4148"/>
      <c r="M94" s="4154"/>
      <c r="N94" s="4154"/>
      <c r="O94" s="4154"/>
      <c r="P94" s="4148"/>
      <c r="Q94" s="4205"/>
      <c r="R94" s="2908"/>
      <c r="S94" s="4148"/>
      <c r="T94" s="4148"/>
      <c r="U94" s="161" t="s">
        <v>1563</v>
      </c>
      <c r="V94" s="1851">
        <v>10713000</v>
      </c>
      <c r="W94" s="1851">
        <v>0</v>
      </c>
      <c r="X94" s="1851">
        <v>0</v>
      </c>
      <c r="Y94" s="1852">
        <v>61</v>
      </c>
      <c r="Z94" s="4154"/>
      <c r="AA94" s="2858"/>
      <c r="AB94" s="2858"/>
      <c r="AC94" s="2858"/>
      <c r="AD94" s="2858"/>
      <c r="AE94" s="2858"/>
      <c r="AF94" s="2858"/>
      <c r="AG94" s="2858"/>
      <c r="AH94" s="2858"/>
      <c r="AI94" s="2858"/>
      <c r="AJ94" s="2858"/>
      <c r="AK94" s="2858"/>
      <c r="AL94" s="2858"/>
      <c r="AM94" s="2858"/>
      <c r="AN94" s="2858"/>
      <c r="AO94" s="2858"/>
      <c r="AP94" s="2858"/>
      <c r="AQ94" s="2858"/>
      <c r="AR94" s="2858"/>
      <c r="AS94" s="2858"/>
      <c r="AT94" s="2858"/>
      <c r="AU94" s="2858"/>
      <c r="AV94" s="2858"/>
      <c r="AW94" s="2858"/>
      <c r="AX94" s="2858"/>
      <c r="AY94" s="2858"/>
      <c r="AZ94" s="2858"/>
      <c r="BA94" s="2858"/>
      <c r="BB94" s="2858"/>
      <c r="BC94" s="2858"/>
      <c r="BD94" s="2858"/>
      <c r="BE94" s="2858"/>
      <c r="BF94" s="2858"/>
      <c r="BG94" s="2858"/>
      <c r="BH94" s="2858"/>
      <c r="BI94" s="2858"/>
      <c r="BJ94" s="4210"/>
      <c r="BK94" s="2858"/>
      <c r="BL94" s="2896"/>
      <c r="BM94" s="3052"/>
      <c r="BN94" s="3052"/>
      <c r="BO94" s="3052"/>
      <c r="BP94" s="4141"/>
      <c r="BQ94" s="4144"/>
    </row>
    <row r="95" spans="1:69" ht="91.5" customHeight="1" x14ac:dyDescent="0.2">
      <c r="A95" s="1857"/>
      <c r="B95" s="1858"/>
      <c r="C95" s="1859"/>
      <c r="D95" s="1860"/>
      <c r="E95" s="1860"/>
      <c r="F95" s="1859"/>
      <c r="G95" s="1864"/>
      <c r="H95" s="1865"/>
      <c r="I95" s="1866"/>
      <c r="J95" s="4155"/>
      <c r="K95" s="4149"/>
      <c r="L95" s="4149"/>
      <c r="M95" s="4155"/>
      <c r="N95" s="4155"/>
      <c r="O95" s="4155"/>
      <c r="P95" s="4149"/>
      <c r="Q95" s="4206"/>
      <c r="R95" s="2909"/>
      <c r="S95" s="4149"/>
      <c r="T95" s="4149"/>
      <c r="U95" s="161" t="s">
        <v>1564</v>
      </c>
      <c r="V95" s="1851">
        <v>8574000</v>
      </c>
      <c r="W95" s="1851">
        <v>0</v>
      </c>
      <c r="X95" s="1851">
        <v>0</v>
      </c>
      <c r="Y95" s="1852">
        <v>61</v>
      </c>
      <c r="Z95" s="4155"/>
      <c r="AA95" s="2859"/>
      <c r="AB95" s="2859"/>
      <c r="AC95" s="2859"/>
      <c r="AD95" s="2859"/>
      <c r="AE95" s="2859"/>
      <c r="AF95" s="2859"/>
      <c r="AG95" s="2859"/>
      <c r="AH95" s="2859"/>
      <c r="AI95" s="2859"/>
      <c r="AJ95" s="2859"/>
      <c r="AK95" s="2859"/>
      <c r="AL95" s="2859"/>
      <c r="AM95" s="2859"/>
      <c r="AN95" s="2859"/>
      <c r="AO95" s="2859"/>
      <c r="AP95" s="2859"/>
      <c r="AQ95" s="2859"/>
      <c r="AR95" s="2859"/>
      <c r="AS95" s="2859"/>
      <c r="AT95" s="2859"/>
      <c r="AU95" s="2859"/>
      <c r="AV95" s="2859"/>
      <c r="AW95" s="2859"/>
      <c r="AX95" s="2859"/>
      <c r="AY95" s="2859"/>
      <c r="AZ95" s="2859"/>
      <c r="BA95" s="2859"/>
      <c r="BB95" s="2859"/>
      <c r="BC95" s="2859"/>
      <c r="BD95" s="2859"/>
      <c r="BE95" s="2859"/>
      <c r="BF95" s="2859"/>
      <c r="BG95" s="2859"/>
      <c r="BH95" s="2859"/>
      <c r="BI95" s="2859"/>
      <c r="BJ95" s="4211"/>
      <c r="BK95" s="2859"/>
      <c r="BL95" s="2897"/>
      <c r="BM95" s="3053"/>
      <c r="BN95" s="3053"/>
      <c r="BO95" s="3053"/>
      <c r="BP95" s="4142"/>
      <c r="BQ95" s="4145"/>
    </row>
    <row r="96" spans="1:69" ht="15" x14ac:dyDescent="0.2">
      <c r="A96" s="1793"/>
      <c r="B96" s="1794"/>
      <c r="C96" s="1795"/>
      <c r="D96" s="1848"/>
      <c r="E96" s="1848"/>
      <c r="F96" s="1795"/>
      <c r="G96" s="1834">
        <v>40</v>
      </c>
      <c r="H96" s="1799" t="s">
        <v>1565</v>
      </c>
      <c r="I96" s="1799"/>
      <c r="J96" s="1799"/>
      <c r="K96" s="1800"/>
      <c r="L96" s="1800"/>
      <c r="M96" s="1799"/>
      <c r="N96" s="1801"/>
      <c r="O96" s="1799"/>
      <c r="P96" s="1800"/>
      <c r="Q96" s="1799"/>
      <c r="R96" s="1835"/>
      <c r="S96" s="1800"/>
      <c r="T96" s="1800"/>
      <c r="U96" s="1800"/>
      <c r="V96" s="1836"/>
      <c r="W96" s="1836"/>
      <c r="X96" s="1836"/>
      <c r="Y96" s="1837"/>
      <c r="Z96" s="1801"/>
      <c r="AA96" s="1801"/>
      <c r="AB96" s="1801"/>
      <c r="AC96" s="1801"/>
      <c r="AD96" s="1801"/>
      <c r="AE96" s="1801"/>
      <c r="AF96" s="1801"/>
      <c r="AG96" s="1801"/>
      <c r="AH96" s="1801"/>
      <c r="AI96" s="1801"/>
      <c r="AJ96" s="1801"/>
      <c r="AK96" s="1801"/>
      <c r="AL96" s="1801"/>
      <c r="AM96" s="1801"/>
      <c r="AN96" s="1801"/>
      <c r="AO96" s="1801"/>
      <c r="AP96" s="1801"/>
      <c r="AQ96" s="1801"/>
      <c r="AR96" s="1801"/>
      <c r="AS96" s="1801"/>
      <c r="AT96" s="1801"/>
      <c r="AU96" s="1801"/>
      <c r="AV96" s="1801"/>
      <c r="AW96" s="1801"/>
      <c r="AX96" s="1801"/>
      <c r="AY96" s="1801"/>
      <c r="AZ96" s="1801"/>
      <c r="BA96" s="1801"/>
      <c r="BB96" s="1801"/>
      <c r="BC96" s="1801"/>
      <c r="BD96" s="1801"/>
      <c r="BE96" s="1801"/>
      <c r="BF96" s="1801"/>
      <c r="BG96" s="1801"/>
      <c r="BH96" s="1801"/>
      <c r="BI96" s="1801"/>
      <c r="BJ96" s="1801"/>
      <c r="BK96" s="1801"/>
      <c r="BL96" s="1801"/>
      <c r="BM96" s="1849"/>
      <c r="BN96" s="1849"/>
      <c r="BO96" s="1849"/>
      <c r="BP96" s="1839"/>
      <c r="BQ96" s="1840"/>
    </row>
    <row r="97" spans="1:69" ht="66" customHeight="1" x14ac:dyDescent="0.2">
      <c r="A97" s="1793"/>
      <c r="B97" s="1794"/>
      <c r="C97" s="1795"/>
      <c r="D97" s="1848"/>
      <c r="E97" s="1848"/>
      <c r="F97" s="1795"/>
      <c r="G97" s="1850"/>
      <c r="H97" s="1796"/>
      <c r="I97" s="1797"/>
      <c r="J97" s="4153">
        <v>142</v>
      </c>
      <c r="K97" s="4147" t="s">
        <v>1566</v>
      </c>
      <c r="L97" s="4147" t="s">
        <v>1567</v>
      </c>
      <c r="M97" s="4153">
        <v>12</v>
      </c>
      <c r="N97" s="4122" t="s">
        <v>1568</v>
      </c>
      <c r="O97" s="4122">
        <v>139</v>
      </c>
      <c r="P97" s="4135" t="s">
        <v>1569</v>
      </c>
      <c r="Q97" s="4150">
        <f>SUM(V97:V100)/R97</f>
        <v>0.8571428571428571</v>
      </c>
      <c r="R97" s="4134">
        <f>SUM(V97:V108)</f>
        <v>140000000</v>
      </c>
      <c r="S97" s="4135" t="s">
        <v>1570</v>
      </c>
      <c r="T97" s="4147" t="s">
        <v>1571</v>
      </c>
      <c r="U97" s="161" t="s">
        <v>1572</v>
      </c>
      <c r="V97" s="608">
        <v>28928000</v>
      </c>
      <c r="W97" s="608">
        <v>0</v>
      </c>
      <c r="X97" s="608">
        <v>0</v>
      </c>
      <c r="Y97" s="1852">
        <v>61</v>
      </c>
      <c r="Z97" s="4153" t="s">
        <v>1550</v>
      </c>
      <c r="AA97" s="4212">
        <v>289394</v>
      </c>
      <c r="AB97" s="4212">
        <v>0</v>
      </c>
      <c r="AC97" s="4212">
        <v>279112</v>
      </c>
      <c r="AD97" s="4212">
        <v>0</v>
      </c>
      <c r="AE97" s="4212">
        <v>63164</v>
      </c>
      <c r="AF97" s="4212">
        <v>0</v>
      </c>
      <c r="AG97" s="4212">
        <v>45607</v>
      </c>
      <c r="AH97" s="4212">
        <v>0</v>
      </c>
      <c r="AI97" s="4212">
        <v>365607</v>
      </c>
      <c r="AJ97" s="4212">
        <v>0</v>
      </c>
      <c r="AK97" s="4212">
        <v>75612</v>
      </c>
      <c r="AL97" s="4212">
        <v>0</v>
      </c>
      <c r="AM97" s="4212">
        <v>2145</v>
      </c>
      <c r="AN97" s="4212">
        <v>0</v>
      </c>
      <c r="AO97" s="4212">
        <v>12718</v>
      </c>
      <c r="AP97" s="4212">
        <v>0</v>
      </c>
      <c r="AQ97" s="4212">
        <v>26</v>
      </c>
      <c r="AR97" s="4212">
        <v>0</v>
      </c>
      <c r="AS97" s="4212">
        <v>37</v>
      </c>
      <c r="AT97" s="4212">
        <v>0</v>
      </c>
      <c r="AU97" s="4212">
        <v>0</v>
      </c>
      <c r="AV97" s="4212">
        <v>0</v>
      </c>
      <c r="AW97" s="4212">
        <v>0</v>
      </c>
      <c r="AX97" s="4212">
        <v>0</v>
      </c>
      <c r="AY97" s="4212">
        <v>78</v>
      </c>
      <c r="AZ97" s="4212">
        <v>0</v>
      </c>
      <c r="BA97" s="4212">
        <v>16897</v>
      </c>
      <c r="BB97" s="4212">
        <v>0</v>
      </c>
      <c r="BC97" s="4212">
        <f>SUM('[4]P. 100'!$W$5+'[4]P. 100'!$X$5)</f>
        <v>852</v>
      </c>
      <c r="BD97" s="4212">
        <v>0</v>
      </c>
      <c r="BE97" s="4212">
        <f>SUM(AA101:AC101)</f>
        <v>0</v>
      </c>
      <c r="BF97" s="4212">
        <v>0</v>
      </c>
      <c r="BG97" s="4212">
        <v>3</v>
      </c>
      <c r="BH97" s="4212">
        <f>SUM(W97:W108)</f>
        <v>21799999</v>
      </c>
      <c r="BI97" s="4212">
        <f>SUM(X97:X108)</f>
        <v>0</v>
      </c>
      <c r="BJ97" s="4209">
        <f>SUM(BI97/R97)</f>
        <v>0</v>
      </c>
      <c r="BK97" s="4212">
        <v>61</v>
      </c>
      <c r="BL97" s="4213" t="s">
        <v>1466</v>
      </c>
      <c r="BM97" s="4214">
        <v>43467</v>
      </c>
      <c r="BN97" s="4214">
        <v>44196</v>
      </c>
      <c r="BO97" s="4214">
        <v>43830</v>
      </c>
      <c r="BP97" s="4126">
        <v>44196</v>
      </c>
      <c r="BQ97" s="4167" t="s">
        <v>1432</v>
      </c>
    </row>
    <row r="98" spans="1:69" ht="66" customHeight="1" x14ac:dyDescent="0.2">
      <c r="A98" s="1793"/>
      <c r="B98" s="1794"/>
      <c r="C98" s="1795"/>
      <c r="D98" s="1848"/>
      <c r="E98" s="1848"/>
      <c r="F98" s="1795"/>
      <c r="G98" s="1793"/>
      <c r="H98" s="1848"/>
      <c r="I98" s="1795"/>
      <c r="J98" s="4154"/>
      <c r="K98" s="4148"/>
      <c r="L98" s="4148"/>
      <c r="M98" s="4154"/>
      <c r="N98" s="4123"/>
      <c r="O98" s="4123"/>
      <c r="P98" s="4136"/>
      <c r="Q98" s="4150"/>
      <c r="R98" s="2908"/>
      <c r="S98" s="4136"/>
      <c r="T98" s="4148"/>
      <c r="U98" s="161" t="s">
        <v>1573</v>
      </c>
      <c r="V98" s="1867">
        <v>28928000</v>
      </c>
      <c r="W98" s="1867">
        <v>10799999</v>
      </c>
      <c r="X98" s="608">
        <v>0</v>
      </c>
      <c r="Y98" s="1852">
        <v>61</v>
      </c>
      <c r="Z98" s="4154"/>
      <c r="AA98" s="2858"/>
      <c r="AB98" s="2858"/>
      <c r="AC98" s="2858"/>
      <c r="AD98" s="2858"/>
      <c r="AE98" s="2858"/>
      <c r="AF98" s="2858"/>
      <c r="AG98" s="2858"/>
      <c r="AH98" s="2858"/>
      <c r="AI98" s="2858"/>
      <c r="AJ98" s="2858"/>
      <c r="AK98" s="2858"/>
      <c r="AL98" s="2858"/>
      <c r="AM98" s="2858"/>
      <c r="AN98" s="2858"/>
      <c r="AO98" s="2858"/>
      <c r="AP98" s="2858"/>
      <c r="AQ98" s="2858"/>
      <c r="AR98" s="2858"/>
      <c r="AS98" s="2858"/>
      <c r="AT98" s="2858"/>
      <c r="AU98" s="2858"/>
      <c r="AV98" s="2858"/>
      <c r="AW98" s="2858"/>
      <c r="AX98" s="2858"/>
      <c r="AY98" s="2858"/>
      <c r="AZ98" s="2858"/>
      <c r="BA98" s="2858"/>
      <c r="BB98" s="2858"/>
      <c r="BC98" s="2858"/>
      <c r="BD98" s="2858"/>
      <c r="BE98" s="2858"/>
      <c r="BF98" s="2858"/>
      <c r="BG98" s="2858"/>
      <c r="BH98" s="2858"/>
      <c r="BI98" s="2858"/>
      <c r="BJ98" s="4210"/>
      <c r="BK98" s="2858"/>
      <c r="BL98" s="2896"/>
      <c r="BM98" s="3052"/>
      <c r="BN98" s="3052"/>
      <c r="BO98" s="3052"/>
      <c r="BP98" s="4127"/>
      <c r="BQ98" s="4168"/>
    </row>
    <row r="99" spans="1:69" ht="66" customHeight="1" x14ac:dyDescent="0.2">
      <c r="A99" s="1793"/>
      <c r="B99" s="1794"/>
      <c r="C99" s="1795"/>
      <c r="D99" s="1848"/>
      <c r="E99" s="1848"/>
      <c r="F99" s="1795"/>
      <c r="G99" s="1793"/>
      <c r="H99" s="1848"/>
      <c r="I99" s="1795"/>
      <c r="J99" s="4154"/>
      <c r="K99" s="4148"/>
      <c r="L99" s="4148"/>
      <c r="M99" s="4154"/>
      <c r="N99" s="4123"/>
      <c r="O99" s="4123"/>
      <c r="P99" s="4136"/>
      <c r="Q99" s="4150"/>
      <c r="R99" s="2908"/>
      <c r="S99" s="4136"/>
      <c r="T99" s="4148"/>
      <c r="U99" s="161" t="s">
        <v>1574</v>
      </c>
      <c r="V99" s="1867">
        <v>28928000</v>
      </c>
      <c r="W99" s="1867">
        <v>11000000</v>
      </c>
      <c r="X99" s="608">
        <v>0</v>
      </c>
      <c r="Y99" s="1852">
        <v>61</v>
      </c>
      <c r="Z99" s="4154"/>
      <c r="AA99" s="2858"/>
      <c r="AB99" s="2858"/>
      <c r="AC99" s="2858"/>
      <c r="AD99" s="2858"/>
      <c r="AE99" s="2858"/>
      <c r="AF99" s="2858"/>
      <c r="AG99" s="2858"/>
      <c r="AH99" s="2858"/>
      <c r="AI99" s="2858"/>
      <c r="AJ99" s="2858"/>
      <c r="AK99" s="2858"/>
      <c r="AL99" s="2858"/>
      <c r="AM99" s="2858"/>
      <c r="AN99" s="2858"/>
      <c r="AO99" s="2858"/>
      <c r="AP99" s="2858"/>
      <c r="AQ99" s="2858"/>
      <c r="AR99" s="2858"/>
      <c r="AS99" s="2858"/>
      <c r="AT99" s="2858"/>
      <c r="AU99" s="2858"/>
      <c r="AV99" s="2858"/>
      <c r="AW99" s="2858"/>
      <c r="AX99" s="2858"/>
      <c r="AY99" s="2858"/>
      <c r="AZ99" s="2858"/>
      <c r="BA99" s="2858"/>
      <c r="BB99" s="2858"/>
      <c r="BC99" s="2858"/>
      <c r="BD99" s="2858"/>
      <c r="BE99" s="2858"/>
      <c r="BF99" s="2858"/>
      <c r="BG99" s="2858"/>
      <c r="BH99" s="2858"/>
      <c r="BI99" s="2858"/>
      <c r="BJ99" s="4210"/>
      <c r="BK99" s="2858"/>
      <c r="BL99" s="2896"/>
      <c r="BM99" s="3052"/>
      <c r="BN99" s="3052"/>
      <c r="BO99" s="3052"/>
      <c r="BP99" s="4127"/>
      <c r="BQ99" s="4168"/>
    </row>
    <row r="100" spans="1:69" ht="66" customHeight="1" x14ac:dyDescent="0.2">
      <c r="A100" s="1793"/>
      <c r="B100" s="1794"/>
      <c r="C100" s="1795"/>
      <c r="D100" s="1848"/>
      <c r="E100" s="1848"/>
      <c r="F100" s="1795"/>
      <c r="G100" s="1793"/>
      <c r="H100" s="1848"/>
      <c r="I100" s="1795"/>
      <c r="J100" s="4155"/>
      <c r="K100" s="4149"/>
      <c r="L100" s="4149"/>
      <c r="M100" s="4155"/>
      <c r="N100" s="4123"/>
      <c r="O100" s="4123"/>
      <c r="P100" s="4136"/>
      <c r="Q100" s="4150"/>
      <c r="R100" s="2908"/>
      <c r="S100" s="4136"/>
      <c r="T100" s="4149"/>
      <c r="U100" s="161" t="s">
        <v>1575</v>
      </c>
      <c r="V100" s="1867">
        <v>33216000</v>
      </c>
      <c r="W100" s="1867">
        <v>0</v>
      </c>
      <c r="X100" s="608">
        <v>0</v>
      </c>
      <c r="Y100" s="1852">
        <v>61</v>
      </c>
      <c r="Z100" s="4155"/>
      <c r="AA100" s="2858"/>
      <c r="AB100" s="2858"/>
      <c r="AC100" s="2858"/>
      <c r="AD100" s="2858"/>
      <c r="AE100" s="2858"/>
      <c r="AF100" s="2858"/>
      <c r="AG100" s="2858"/>
      <c r="AH100" s="2858"/>
      <c r="AI100" s="2858"/>
      <c r="AJ100" s="2858"/>
      <c r="AK100" s="2858"/>
      <c r="AL100" s="2858"/>
      <c r="AM100" s="2858"/>
      <c r="AN100" s="2858"/>
      <c r="AO100" s="2858"/>
      <c r="AP100" s="2858"/>
      <c r="AQ100" s="2858"/>
      <c r="AR100" s="2858"/>
      <c r="AS100" s="2858"/>
      <c r="AT100" s="2858"/>
      <c r="AU100" s="2858"/>
      <c r="AV100" s="2858"/>
      <c r="AW100" s="2858"/>
      <c r="AX100" s="2858"/>
      <c r="AY100" s="2858"/>
      <c r="AZ100" s="2858"/>
      <c r="BA100" s="2858"/>
      <c r="BB100" s="2858"/>
      <c r="BC100" s="2858"/>
      <c r="BD100" s="2858"/>
      <c r="BE100" s="2858"/>
      <c r="BF100" s="2858"/>
      <c r="BG100" s="2858"/>
      <c r="BH100" s="2858"/>
      <c r="BI100" s="2858"/>
      <c r="BJ100" s="4210"/>
      <c r="BK100" s="2858"/>
      <c r="BL100" s="2896"/>
      <c r="BM100" s="3052"/>
      <c r="BN100" s="3052"/>
      <c r="BO100" s="3052"/>
      <c r="BP100" s="4127"/>
      <c r="BQ100" s="4168"/>
    </row>
    <row r="101" spans="1:69" ht="31.5" customHeight="1" x14ac:dyDescent="0.2">
      <c r="A101" s="1793"/>
      <c r="B101" s="1794"/>
      <c r="C101" s="1795"/>
      <c r="D101" s="1848"/>
      <c r="E101" s="1848"/>
      <c r="F101" s="1795"/>
      <c r="G101" s="1793"/>
      <c r="H101" s="1848"/>
      <c r="I101" s="1795"/>
      <c r="J101" s="4153">
        <v>143</v>
      </c>
      <c r="K101" s="4135" t="s">
        <v>1576</v>
      </c>
      <c r="L101" s="4135" t="s">
        <v>1577</v>
      </c>
      <c r="M101" s="4122">
        <v>1</v>
      </c>
      <c r="N101" s="4123"/>
      <c r="O101" s="4123"/>
      <c r="P101" s="4136"/>
      <c r="Q101" s="4132">
        <f>SUM(V101:V108)/R97</f>
        <v>0.14285714285714285</v>
      </c>
      <c r="R101" s="2908"/>
      <c r="S101" s="4136"/>
      <c r="T101" s="4135" t="s">
        <v>1578</v>
      </c>
      <c r="U101" s="4257" t="s">
        <v>1579</v>
      </c>
      <c r="V101" s="1867">
        <v>5000000</v>
      </c>
      <c r="W101" s="1867">
        <v>0</v>
      </c>
      <c r="X101" s="608">
        <v>0</v>
      </c>
      <c r="Y101" s="1852">
        <v>61</v>
      </c>
      <c r="Z101" s="1868" t="s">
        <v>1550</v>
      </c>
      <c r="AA101" s="2858"/>
      <c r="AB101" s="2858"/>
      <c r="AC101" s="2858"/>
      <c r="AD101" s="2858"/>
      <c r="AE101" s="2858"/>
      <c r="AF101" s="2858"/>
      <c r="AG101" s="2858"/>
      <c r="AH101" s="2858"/>
      <c r="AI101" s="2858"/>
      <c r="AJ101" s="2858"/>
      <c r="AK101" s="2858"/>
      <c r="AL101" s="2858"/>
      <c r="AM101" s="2858"/>
      <c r="AN101" s="2858"/>
      <c r="AO101" s="2858"/>
      <c r="AP101" s="2858"/>
      <c r="AQ101" s="2858"/>
      <c r="AR101" s="2858"/>
      <c r="AS101" s="2858"/>
      <c r="AT101" s="2858"/>
      <c r="AU101" s="2858"/>
      <c r="AV101" s="2858"/>
      <c r="AW101" s="2858"/>
      <c r="AX101" s="2858"/>
      <c r="AY101" s="2858"/>
      <c r="AZ101" s="2858"/>
      <c r="BA101" s="2858"/>
      <c r="BB101" s="2858"/>
      <c r="BC101" s="2858"/>
      <c r="BD101" s="2858"/>
      <c r="BE101" s="2858"/>
      <c r="BF101" s="2858"/>
      <c r="BG101" s="2858"/>
      <c r="BH101" s="2858"/>
      <c r="BI101" s="2858"/>
      <c r="BJ101" s="4210"/>
      <c r="BK101" s="2858"/>
      <c r="BL101" s="2896"/>
      <c r="BM101" s="3052"/>
      <c r="BN101" s="3052"/>
      <c r="BO101" s="3052"/>
      <c r="BP101" s="4127"/>
      <c r="BQ101" s="4168"/>
    </row>
    <row r="102" spans="1:69" ht="31.5" customHeight="1" x14ac:dyDescent="0.2">
      <c r="A102" s="1793"/>
      <c r="B102" s="1794"/>
      <c r="C102" s="1795"/>
      <c r="D102" s="1848"/>
      <c r="E102" s="1848"/>
      <c r="F102" s="1795"/>
      <c r="G102" s="1793"/>
      <c r="H102" s="1848"/>
      <c r="I102" s="1795"/>
      <c r="J102" s="4154"/>
      <c r="K102" s="4136"/>
      <c r="L102" s="4136"/>
      <c r="M102" s="4123"/>
      <c r="N102" s="4123"/>
      <c r="O102" s="4123"/>
      <c r="P102" s="4136"/>
      <c r="Q102" s="4133"/>
      <c r="R102" s="2908"/>
      <c r="S102" s="4136"/>
      <c r="T102" s="4136"/>
      <c r="U102" s="4259"/>
      <c r="V102" s="1626">
        <f>1640500-1640500</f>
        <v>0</v>
      </c>
      <c r="W102" s="1867">
        <v>0</v>
      </c>
      <c r="X102" s="608">
        <v>0</v>
      </c>
      <c r="Y102" s="1852">
        <v>20</v>
      </c>
      <c r="Z102" s="1868" t="s">
        <v>70</v>
      </c>
      <c r="AA102" s="2858"/>
      <c r="AB102" s="2858"/>
      <c r="AC102" s="2858"/>
      <c r="AD102" s="2858"/>
      <c r="AE102" s="2858"/>
      <c r="AF102" s="2858"/>
      <c r="AG102" s="2858"/>
      <c r="AH102" s="2858"/>
      <c r="AI102" s="2858"/>
      <c r="AJ102" s="2858"/>
      <c r="AK102" s="2858"/>
      <c r="AL102" s="2858"/>
      <c r="AM102" s="2858"/>
      <c r="AN102" s="2858"/>
      <c r="AO102" s="2858"/>
      <c r="AP102" s="2858"/>
      <c r="AQ102" s="2858"/>
      <c r="AR102" s="2858"/>
      <c r="AS102" s="2858"/>
      <c r="AT102" s="2858"/>
      <c r="AU102" s="2858"/>
      <c r="AV102" s="2858"/>
      <c r="AW102" s="2858"/>
      <c r="AX102" s="2858"/>
      <c r="AY102" s="2858"/>
      <c r="AZ102" s="2858"/>
      <c r="BA102" s="2858"/>
      <c r="BB102" s="2858"/>
      <c r="BC102" s="2858"/>
      <c r="BD102" s="2858"/>
      <c r="BE102" s="2858"/>
      <c r="BF102" s="2858"/>
      <c r="BG102" s="2858"/>
      <c r="BH102" s="2858"/>
      <c r="BI102" s="2858"/>
      <c r="BJ102" s="4210"/>
      <c r="BK102" s="2858"/>
      <c r="BL102" s="2896"/>
      <c r="BM102" s="3052"/>
      <c r="BN102" s="3052"/>
      <c r="BO102" s="3052"/>
      <c r="BP102" s="4127"/>
      <c r="BQ102" s="4168"/>
    </row>
    <row r="103" spans="1:69" ht="31.5" customHeight="1" x14ac:dyDescent="0.2">
      <c r="A103" s="1793"/>
      <c r="B103" s="1794"/>
      <c r="C103" s="1795"/>
      <c r="D103" s="1848"/>
      <c r="E103" s="1848"/>
      <c r="F103" s="1795"/>
      <c r="G103" s="1793"/>
      <c r="H103" s="1848"/>
      <c r="I103" s="1795"/>
      <c r="J103" s="4154"/>
      <c r="K103" s="4136"/>
      <c r="L103" s="4136"/>
      <c r="M103" s="4123"/>
      <c r="N103" s="4123"/>
      <c r="O103" s="4123"/>
      <c r="P103" s="4136"/>
      <c r="Q103" s="4133"/>
      <c r="R103" s="2908"/>
      <c r="S103" s="4136"/>
      <c r="T103" s="4136"/>
      <c r="U103" s="4257" t="s">
        <v>1580</v>
      </c>
      <c r="V103" s="1626">
        <v>5000000</v>
      </c>
      <c r="W103" s="1867">
        <v>0</v>
      </c>
      <c r="X103" s="608">
        <v>0</v>
      </c>
      <c r="Y103" s="1852">
        <v>61</v>
      </c>
      <c r="Z103" s="1868" t="s">
        <v>1550</v>
      </c>
      <c r="AA103" s="2858"/>
      <c r="AB103" s="2858"/>
      <c r="AC103" s="2858"/>
      <c r="AD103" s="2858"/>
      <c r="AE103" s="2858"/>
      <c r="AF103" s="2858"/>
      <c r="AG103" s="2858"/>
      <c r="AH103" s="2858"/>
      <c r="AI103" s="2858"/>
      <c r="AJ103" s="2858"/>
      <c r="AK103" s="2858"/>
      <c r="AL103" s="2858"/>
      <c r="AM103" s="2858"/>
      <c r="AN103" s="2858"/>
      <c r="AO103" s="2858"/>
      <c r="AP103" s="2858"/>
      <c r="AQ103" s="2858"/>
      <c r="AR103" s="2858"/>
      <c r="AS103" s="2858"/>
      <c r="AT103" s="2858"/>
      <c r="AU103" s="2858"/>
      <c r="AV103" s="2858"/>
      <c r="AW103" s="2858"/>
      <c r="AX103" s="2858"/>
      <c r="AY103" s="2858"/>
      <c r="AZ103" s="2858"/>
      <c r="BA103" s="2858"/>
      <c r="BB103" s="2858"/>
      <c r="BC103" s="2858"/>
      <c r="BD103" s="2858"/>
      <c r="BE103" s="2858"/>
      <c r="BF103" s="2858"/>
      <c r="BG103" s="2858"/>
      <c r="BH103" s="2858"/>
      <c r="BI103" s="2858"/>
      <c r="BJ103" s="4210"/>
      <c r="BK103" s="2858"/>
      <c r="BL103" s="2896"/>
      <c r="BM103" s="3052"/>
      <c r="BN103" s="3052"/>
      <c r="BO103" s="3052"/>
      <c r="BP103" s="4127"/>
      <c r="BQ103" s="4168"/>
    </row>
    <row r="104" spans="1:69" ht="31.5" customHeight="1" x14ac:dyDescent="0.2">
      <c r="A104" s="1793"/>
      <c r="B104" s="1794"/>
      <c r="C104" s="1795"/>
      <c r="D104" s="1848"/>
      <c r="E104" s="1848"/>
      <c r="F104" s="1795"/>
      <c r="G104" s="1793"/>
      <c r="H104" s="1848"/>
      <c r="I104" s="1795"/>
      <c r="J104" s="4154"/>
      <c r="K104" s="4136"/>
      <c r="L104" s="4136"/>
      <c r="M104" s="4123"/>
      <c r="N104" s="4123"/>
      <c r="O104" s="4123"/>
      <c r="P104" s="4136"/>
      <c r="Q104" s="4133"/>
      <c r="R104" s="2908"/>
      <c r="S104" s="4136"/>
      <c r="T104" s="4136"/>
      <c r="U104" s="4259"/>
      <c r="V104" s="1626">
        <f>1640500-1640500</f>
        <v>0</v>
      </c>
      <c r="W104" s="1867">
        <v>0</v>
      </c>
      <c r="X104" s="608">
        <v>0</v>
      </c>
      <c r="Y104" s="1852">
        <v>20</v>
      </c>
      <c r="Z104" s="1868" t="s">
        <v>70</v>
      </c>
      <c r="AA104" s="2858"/>
      <c r="AB104" s="2858"/>
      <c r="AC104" s="2858"/>
      <c r="AD104" s="2858"/>
      <c r="AE104" s="2858"/>
      <c r="AF104" s="2858"/>
      <c r="AG104" s="2858"/>
      <c r="AH104" s="2858"/>
      <c r="AI104" s="2858"/>
      <c r="AJ104" s="2858"/>
      <c r="AK104" s="2858"/>
      <c r="AL104" s="2858"/>
      <c r="AM104" s="2858"/>
      <c r="AN104" s="2858"/>
      <c r="AO104" s="2858"/>
      <c r="AP104" s="2858"/>
      <c r="AQ104" s="2858"/>
      <c r="AR104" s="2858"/>
      <c r="AS104" s="2858"/>
      <c r="AT104" s="2858"/>
      <c r="AU104" s="2858"/>
      <c r="AV104" s="2858"/>
      <c r="AW104" s="2858"/>
      <c r="AX104" s="2858"/>
      <c r="AY104" s="2858"/>
      <c r="AZ104" s="2858"/>
      <c r="BA104" s="2858"/>
      <c r="BB104" s="2858"/>
      <c r="BC104" s="2858"/>
      <c r="BD104" s="2858"/>
      <c r="BE104" s="2858"/>
      <c r="BF104" s="2858"/>
      <c r="BG104" s="2858"/>
      <c r="BH104" s="2858"/>
      <c r="BI104" s="2858"/>
      <c r="BJ104" s="4210"/>
      <c r="BK104" s="2858"/>
      <c r="BL104" s="2896"/>
      <c r="BM104" s="3052"/>
      <c r="BN104" s="3052"/>
      <c r="BO104" s="3052"/>
      <c r="BP104" s="4127"/>
      <c r="BQ104" s="4168"/>
    </row>
    <row r="105" spans="1:69" ht="31.5" customHeight="1" x14ac:dyDescent="0.2">
      <c r="A105" s="1793"/>
      <c r="B105" s="1794"/>
      <c r="C105" s="1795"/>
      <c r="D105" s="1848"/>
      <c r="E105" s="1848"/>
      <c r="F105" s="1795"/>
      <c r="G105" s="1793"/>
      <c r="H105" s="1848"/>
      <c r="I105" s="1795"/>
      <c r="J105" s="4154"/>
      <c r="K105" s="4136"/>
      <c r="L105" s="4136"/>
      <c r="M105" s="4123"/>
      <c r="N105" s="4123"/>
      <c r="O105" s="4123"/>
      <c r="P105" s="4136"/>
      <c r="Q105" s="4133"/>
      <c r="R105" s="2908"/>
      <c r="S105" s="4136"/>
      <c r="T105" s="4136"/>
      <c r="U105" s="4278" t="s">
        <v>1581</v>
      </c>
      <c r="V105" s="1626">
        <v>5000000</v>
      </c>
      <c r="W105" s="1867">
        <v>0</v>
      </c>
      <c r="X105" s="608">
        <v>0</v>
      </c>
      <c r="Y105" s="1852">
        <v>61</v>
      </c>
      <c r="Z105" s="1868" t="s">
        <v>1550</v>
      </c>
      <c r="AA105" s="2858"/>
      <c r="AB105" s="2858"/>
      <c r="AC105" s="2858"/>
      <c r="AD105" s="2858"/>
      <c r="AE105" s="2858"/>
      <c r="AF105" s="2858"/>
      <c r="AG105" s="2858"/>
      <c r="AH105" s="2858"/>
      <c r="AI105" s="2858"/>
      <c r="AJ105" s="2858"/>
      <c r="AK105" s="2858"/>
      <c r="AL105" s="2858"/>
      <c r="AM105" s="2858"/>
      <c r="AN105" s="2858"/>
      <c r="AO105" s="2858"/>
      <c r="AP105" s="2858"/>
      <c r="AQ105" s="2858"/>
      <c r="AR105" s="2858"/>
      <c r="AS105" s="2858"/>
      <c r="AT105" s="2858"/>
      <c r="AU105" s="2858"/>
      <c r="AV105" s="2858"/>
      <c r="AW105" s="2858"/>
      <c r="AX105" s="2858"/>
      <c r="AY105" s="2858"/>
      <c r="AZ105" s="2858"/>
      <c r="BA105" s="2858"/>
      <c r="BB105" s="2858"/>
      <c r="BC105" s="2858"/>
      <c r="BD105" s="2858"/>
      <c r="BE105" s="2858"/>
      <c r="BF105" s="2858"/>
      <c r="BG105" s="2858"/>
      <c r="BH105" s="2858"/>
      <c r="BI105" s="2858"/>
      <c r="BJ105" s="4210"/>
      <c r="BK105" s="2858"/>
      <c r="BL105" s="2896"/>
      <c r="BM105" s="3052"/>
      <c r="BN105" s="3052"/>
      <c r="BO105" s="3052"/>
      <c r="BP105" s="4127"/>
      <c r="BQ105" s="4168"/>
    </row>
    <row r="106" spans="1:69" ht="31.5" customHeight="1" x14ac:dyDescent="0.2">
      <c r="A106" s="1869"/>
      <c r="B106" s="1870"/>
      <c r="C106" s="1871"/>
      <c r="D106" s="1872"/>
      <c r="E106" s="1872"/>
      <c r="F106" s="1871"/>
      <c r="G106" s="1869"/>
      <c r="H106" s="1872"/>
      <c r="I106" s="1871"/>
      <c r="J106" s="4154"/>
      <c r="K106" s="4136"/>
      <c r="L106" s="4136"/>
      <c r="M106" s="4123"/>
      <c r="N106" s="4123"/>
      <c r="O106" s="4123"/>
      <c r="P106" s="4136"/>
      <c r="Q106" s="4133"/>
      <c r="R106" s="2908"/>
      <c r="S106" s="4136"/>
      <c r="T106" s="4136"/>
      <c r="U106" s="4280"/>
      <c r="V106" s="1626">
        <f>1640500-1640500</f>
        <v>0</v>
      </c>
      <c r="W106" s="1867">
        <v>0</v>
      </c>
      <c r="X106" s="608">
        <v>0</v>
      </c>
      <c r="Y106" s="1816">
        <v>20</v>
      </c>
      <c r="Z106" s="1873" t="s">
        <v>70</v>
      </c>
      <c r="AA106" s="2858"/>
      <c r="AB106" s="2858"/>
      <c r="AC106" s="2858"/>
      <c r="AD106" s="2858"/>
      <c r="AE106" s="2858"/>
      <c r="AF106" s="2858"/>
      <c r="AG106" s="2858"/>
      <c r="AH106" s="2858"/>
      <c r="AI106" s="2858"/>
      <c r="AJ106" s="2858"/>
      <c r="AK106" s="2858"/>
      <c r="AL106" s="2858"/>
      <c r="AM106" s="2858"/>
      <c r="AN106" s="2858"/>
      <c r="AO106" s="2858"/>
      <c r="AP106" s="2858"/>
      <c r="AQ106" s="2858"/>
      <c r="AR106" s="2858"/>
      <c r="AS106" s="2858"/>
      <c r="AT106" s="2858"/>
      <c r="AU106" s="2858"/>
      <c r="AV106" s="2858"/>
      <c r="AW106" s="2858"/>
      <c r="AX106" s="2858"/>
      <c r="AY106" s="2858"/>
      <c r="AZ106" s="2858"/>
      <c r="BA106" s="2858"/>
      <c r="BB106" s="2858"/>
      <c r="BC106" s="2858"/>
      <c r="BD106" s="2858"/>
      <c r="BE106" s="2858"/>
      <c r="BF106" s="2858"/>
      <c r="BG106" s="2858"/>
      <c r="BH106" s="2858"/>
      <c r="BI106" s="2858"/>
      <c r="BJ106" s="4210"/>
      <c r="BK106" s="2858"/>
      <c r="BL106" s="2896"/>
      <c r="BM106" s="3052"/>
      <c r="BN106" s="3052"/>
      <c r="BO106" s="3052"/>
      <c r="BP106" s="4127"/>
      <c r="BQ106" s="4168"/>
    </row>
    <row r="107" spans="1:69" ht="31.5" customHeight="1" x14ac:dyDescent="0.2">
      <c r="A107" s="1869"/>
      <c r="B107" s="1870"/>
      <c r="C107" s="1871"/>
      <c r="D107" s="1872"/>
      <c r="E107" s="1872"/>
      <c r="F107" s="1871"/>
      <c r="G107" s="1869"/>
      <c r="H107" s="1872"/>
      <c r="I107" s="1871"/>
      <c r="J107" s="4154"/>
      <c r="K107" s="4136"/>
      <c r="L107" s="4136"/>
      <c r="M107" s="4123"/>
      <c r="N107" s="4123"/>
      <c r="O107" s="4123"/>
      <c r="P107" s="4136"/>
      <c r="Q107" s="4133"/>
      <c r="R107" s="2908"/>
      <c r="S107" s="4136"/>
      <c r="T107" s="4136"/>
      <c r="U107" s="4278" t="s">
        <v>1582</v>
      </c>
      <c r="V107" s="1867">
        <v>5000000</v>
      </c>
      <c r="W107" s="1867">
        <v>0</v>
      </c>
      <c r="X107" s="608">
        <v>0</v>
      </c>
      <c r="Y107" s="1816">
        <v>61</v>
      </c>
      <c r="Z107" s="1873" t="s">
        <v>1550</v>
      </c>
      <c r="AA107" s="2858"/>
      <c r="AB107" s="2858"/>
      <c r="AC107" s="2858"/>
      <c r="AD107" s="2858"/>
      <c r="AE107" s="2858"/>
      <c r="AF107" s="2858"/>
      <c r="AG107" s="2858"/>
      <c r="AH107" s="2858"/>
      <c r="AI107" s="2858"/>
      <c r="AJ107" s="2858"/>
      <c r="AK107" s="2858"/>
      <c r="AL107" s="2858"/>
      <c r="AM107" s="2858"/>
      <c r="AN107" s="2858"/>
      <c r="AO107" s="2858"/>
      <c r="AP107" s="2858"/>
      <c r="AQ107" s="2858"/>
      <c r="AR107" s="2858"/>
      <c r="AS107" s="2858"/>
      <c r="AT107" s="2858"/>
      <c r="AU107" s="2858"/>
      <c r="AV107" s="2858"/>
      <c r="AW107" s="2858"/>
      <c r="AX107" s="2858"/>
      <c r="AY107" s="2858"/>
      <c r="AZ107" s="2858"/>
      <c r="BA107" s="2858"/>
      <c r="BB107" s="2858"/>
      <c r="BC107" s="2858"/>
      <c r="BD107" s="2858"/>
      <c r="BE107" s="2858"/>
      <c r="BF107" s="2858"/>
      <c r="BG107" s="2858"/>
      <c r="BH107" s="2858"/>
      <c r="BI107" s="2858"/>
      <c r="BJ107" s="4210"/>
      <c r="BK107" s="2858"/>
      <c r="BL107" s="2896"/>
      <c r="BM107" s="3052"/>
      <c r="BN107" s="3052"/>
      <c r="BO107" s="3052"/>
      <c r="BP107" s="4127"/>
      <c r="BQ107" s="4168"/>
    </row>
    <row r="108" spans="1:69" ht="31.5" customHeight="1" x14ac:dyDescent="0.2">
      <c r="A108" s="1869"/>
      <c r="B108" s="1870"/>
      <c r="C108" s="1871"/>
      <c r="D108" s="1872"/>
      <c r="E108" s="1872"/>
      <c r="F108" s="1871"/>
      <c r="G108" s="1869"/>
      <c r="H108" s="1872"/>
      <c r="I108" s="1871"/>
      <c r="J108" s="4155"/>
      <c r="K108" s="4137"/>
      <c r="L108" s="4137"/>
      <c r="M108" s="4171"/>
      <c r="N108" s="4171"/>
      <c r="O108" s="4171"/>
      <c r="P108" s="4137"/>
      <c r="Q108" s="4175"/>
      <c r="R108" s="2909"/>
      <c r="S108" s="4137"/>
      <c r="T108" s="4137"/>
      <c r="U108" s="4280"/>
      <c r="V108" s="1626"/>
      <c r="W108" s="1867">
        <v>0</v>
      </c>
      <c r="X108" s="608">
        <v>0</v>
      </c>
      <c r="Y108" s="1816">
        <v>20</v>
      </c>
      <c r="Z108" s="1873" t="s">
        <v>70</v>
      </c>
      <c r="AA108" s="2859"/>
      <c r="AB108" s="2859"/>
      <c r="AC108" s="2859"/>
      <c r="AD108" s="2859"/>
      <c r="AE108" s="2859"/>
      <c r="AF108" s="2859"/>
      <c r="AG108" s="2859"/>
      <c r="AH108" s="2859"/>
      <c r="AI108" s="2859"/>
      <c r="AJ108" s="2859"/>
      <c r="AK108" s="2859"/>
      <c r="AL108" s="2859"/>
      <c r="AM108" s="2859"/>
      <c r="AN108" s="2859"/>
      <c r="AO108" s="2859"/>
      <c r="AP108" s="2859"/>
      <c r="AQ108" s="2859"/>
      <c r="AR108" s="2859"/>
      <c r="AS108" s="2859"/>
      <c r="AT108" s="2859"/>
      <c r="AU108" s="2859"/>
      <c r="AV108" s="2859"/>
      <c r="AW108" s="2859"/>
      <c r="AX108" s="2859"/>
      <c r="AY108" s="2859"/>
      <c r="AZ108" s="2859"/>
      <c r="BA108" s="2859"/>
      <c r="BB108" s="2859"/>
      <c r="BC108" s="2859"/>
      <c r="BD108" s="2859"/>
      <c r="BE108" s="2859"/>
      <c r="BF108" s="2859"/>
      <c r="BG108" s="2859"/>
      <c r="BH108" s="2859"/>
      <c r="BI108" s="2859"/>
      <c r="BJ108" s="4211"/>
      <c r="BK108" s="2859"/>
      <c r="BL108" s="2897"/>
      <c r="BM108" s="3053"/>
      <c r="BN108" s="3053"/>
      <c r="BO108" s="3053"/>
      <c r="BP108" s="4166"/>
      <c r="BQ108" s="4169"/>
    </row>
    <row r="109" spans="1:69" ht="31.5" customHeight="1" x14ac:dyDescent="0.2">
      <c r="A109" s="1857"/>
      <c r="B109" s="1858"/>
      <c r="C109" s="1859"/>
      <c r="D109" s="1860"/>
      <c r="E109" s="1860"/>
      <c r="F109" s="1859"/>
      <c r="G109" s="1857"/>
      <c r="H109" s="1860"/>
      <c r="I109" s="1859"/>
      <c r="J109" s="4153">
        <v>144</v>
      </c>
      <c r="K109" s="4147" t="s">
        <v>1583</v>
      </c>
      <c r="L109" s="4147" t="s">
        <v>1584</v>
      </c>
      <c r="M109" s="4153">
        <v>5</v>
      </c>
      <c r="N109" s="4153" t="s">
        <v>1585</v>
      </c>
      <c r="O109" s="4153">
        <v>141</v>
      </c>
      <c r="P109" s="4147" t="s">
        <v>1586</v>
      </c>
      <c r="Q109" s="4204">
        <f>SUM(V109:V116)/R109</f>
        <v>0.83054013915654012</v>
      </c>
      <c r="R109" s="4134">
        <f>SUM(V109:V120)</f>
        <v>590110245</v>
      </c>
      <c r="S109" s="4147" t="s">
        <v>1587</v>
      </c>
      <c r="T109" s="4147" t="s">
        <v>1588</v>
      </c>
      <c r="U109" s="4281" t="s">
        <v>1589</v>
      </c>
      <c r="V109" s="608">
        <v>260110245</v>
      </c>
      <c r="W109" s="608"/>
      <c r="X109" s="608"/>
      <c r="Y109" s="1874">
        <v>111</v>
      </c>
      <c r="Z109" s="1875" t="s">
        <v>1590</v>
      </c>
      <c r="AA109" s="4153">
        <v>292684</v>
      </c>
      <c r="AB109" s="4153">
        <f>SUM(AA109*0.09)</f>
        <v>26341.559999999998</v>
      </c>
      <c r="AC109" s="4153">
        <v>282326</v>
      </c>
      <c r="AD109" s="4153">
        <f>SUM(AC109*0.09)</f>
        <v>25409.34</v>
      </c>
      <c r="AE109" s="4153">
        <v>135912</v>
      </c>
      <c r="AF109" s="4153">
        <f>SUM(AE109*0.09)</f>
        <v>12232.08</v>
      </c>
      <c r="AG109" s="4153">
        <v>45122</v>
      </c>
      <c r="AH109" s="4153">
        <f>SUM(AG109*0.09)</f>
        <v>4060.98</v>
      </c>
      <c r="AI109" s="4153">
        <v>307101</v>
      </c>
      <c r="AJ109" s="4153">
        <f>SUM(AI109*0.09)</f>
        <v>27639.09</v>
      </c>
      <c r="AK109" s="4153">
        <v>86875</v>
      </c>
      <c r="AL109" s="4153">
        <f>SUM(AK109*0.09)</f>
        <v>7818.75</v>
      </c>
      <c r="AM109" s="4153">
        <v>2145</v>
      </c>
      <c r="AN109" s="4153">
        <f>SUM(AM109*0.09)</f>
        <v>193.04999999999998</v>
      </c>
      <c r="AO109" s="4153">
        <v>12718</v>
      </c>
      <c r="AP109" s="4153">
        <f>SUM(AO109*0.09)</f>
        <v>1144.6199999999999</v>
      </c>
      <c r="AQ109" s="4153">
        <v>26</v>
      </c>
      <c r="AR109" s="4153">
        <f>SUM(AQ109*0.09)</f>
        <v>2.34</v>
      </c>
      <c r="AS109" s="4153">
        <v>37</v>
      </c>
      <c r="AT109" s="4153">
        <f>SUM(AS109*0.09)</f>
        <v>3.33</v>
      </c>
      <c r="AU109" s="4153" t="s">
        <v>1164</v>
      </c>
      <c r="AV109" s="4153" t="s">
        <v>1164</v>
      </c>
      <c r="AW109" s="4153" t="s">
        <v>1164</v>
      </c>
      <c r="AX109" s="4153" t="s">
        <v>1164</v>
      </c>
      <c r="AY109" s="4153">
        <v>53164</v>
      </c>
      <c r="AZ109" s="4153">
        <f>SUM(AY109*0.09)</f>
        <v>4784.76</v>
      </c>
      <c r="BA109" s="4153">
        <v>16982</v>
      </c>
      <c r="BB109" s="4153">
        <f>SUM(BA109*0.09)</f>
        <v>1528.3799999999999</v>
      </c>
      <c r="BC109" s="4153">
        <v>60013</v>
      </c>
      <c r="BD109" s="4153">
        <f>SUM(BC109*0.09)</f>
        <v>5401.17</v>
      </c>
      <c r="BE109" s="4153">
        <v>575010</v>
      </c>
      <c r="BF109" s="4153">
        <f>SUM(BE109*0.09)</f>
        <v>51750.9</v>
      </c>
      <c r="BG109" s="4153">
        <v>4</v>
      </c>
      <c r="BH109" s="4159">
        <f>SUM(W109:W120)</f>
        <v>76546487</v>
      </c>
      <c r="BI109" s="4159">
        <f>SUM(X109:X120)</f>
        <v>52679821</v>
      </c>
      <c r="BJ109" s="4160">
        <f>SUM(BI109/R109)</f>
        <v>8.9271151359183745E-2</v>
      </c>
      <c r="BK109" s="4153" t="s">
        <v>1591</v>
      </c>
      <c r="BL109" s="4153" t="s">
        <v>1466</v>
      </c>
      <c r="BM109" s="4156">
        <v>43467</v>
      </c>
      <c r="BN109" s="4156">
        <v>44196</v>
      </c>
      <c r="BO109" s="4156">
        <v>43830</v>
      </c>
      <c r="BP109" s="4140">
        <v>44196</v>
      </c>
      <c r="BQ109" s="4143" t="s">
        <v>1432</v>
      </c>
    </row>
    <row r="110" spans="1:69" ht="31.5" customHeight="1" x14ac:dyDescent="0.2">
      <c r="A110" s="1857"/>
      <c r="B110" s="1858"/>
      <c r="C110" s="1859"/>
      <c r="D110" s="1860"/>
      <c r="E110" s="1860"/>
      <c r="F110" s="1859"/>
      <c r="G110" s="1857"/>
      <c r="H110" s="1860"/>
      <c r="I110" s="1859"/>
      <c r="J110" s="4154"/>
      <c r="K110" s="4148"/>
      <c r="L110" s="4148"/>
      <c r="M110" s="4154"/>
      <c r="N110" s="4154"/>
      <c r="O110" s="4154"/>
      <c r="P110" s="4148"/>
      <c r="Q110" s="4205"/>
      <c r="R110" s="2908"/>
      <c r="S110" s="4148"/>
      <c r="T110" s="4148"/>
      <c r="U110" s="4282"/>
      <c r="V110" s="608">
        <v>82510200</v>
      </c>
      <c r="W110" s="608">
        <v>10800000</v>
      </c>
      <c r="X110" s="608"/>
      <c r="Y110" s="1852">
        <v>61</v>
      </c>
      <c r="Z110" s="1875" t="s">
        <v>1550</v>
      </c>
      <c r="AA110" s="4154"/>
      <c r="AB110" s="4154"/>
      <c r="AC110" s="4154"/>
      <c r="AD110" s="4154"/>
      <c r="AE110" s="4154"/>
      <c r="AF110" s="4154"/>
      <c r="AG110" s="4154"/>
      <c r="AH110" s="4154"/>
      <c r="AI110" s="4154"/>
      <c r="AJ110" s="4154"/>
      <c r="AK110" s="4154"/>
      <c r="AL110" s="4154"/>
      <c r="AM110" s="4154"/>
      <c r="AN110" s="4154"/>
      <c r="AO110" s="4154"/>
      <c r="AP110" s="4154"/>
      <c r="AQ110" s="4154"/>
      <c r="AR110" s="4154"/>
      <c r="AS110" s="4154"/>
      <c r="AT110" s="4154"/>
      <c r="AU110" s="4154"/>
      <c r="AV110" s="4154"/>
      <c r="AW110" s="4154"/>
      <c r="AX110" s="4154"/>
      <c r="AY110" s="4154"/>
      <c r="AZ110" s="4154"/>
      <c r="BA110" s="4154"/>
      <c r="BB110" s="4154"/>
      <c r="BC110" s="4154"/>
      <c r="BD110" s="4154"/>
      <c r="BE110" s="4154"/>
      <c r="BF110" s="4154"/>
      <c r="BG110" s="4154"/>
      <c r="BH110" s="4154"/>
      <c r="BI110" s="4154"/>
      <c r="BJ110" s="2692"/>
      <c r="BK110" s="4154"/>
      <c r="BL110" s="4154"/>
      <c r="BM110" s="4157"/>
      <c r="BN110" s="4157"/>
      <c r="BO110" s="4157"/>
      <c r="BP110" s="4141"/>
      <c r="BQ110" s="4144"/>
    </row>
    <row r="111" spans="1:69" ht="63.75" customHeight="1" x14ac:dyDescent="0.2">
      <c r="A111" s="1857"/>
      <c r="B111" s="1858"/>
      <c r="C111" s="1859"/>
      <c r="D111" s="1860"/>
      <c r="E111" s="1860"/>
      <c r="F111" s="1859"/>
      <c r="G111" s="1857"/>
      <c r="H111" s="1860"/>
      <c r="I111" s="1859"/>
      <c r="J111" s="4154"/>
      <c r="K111" s="4148"/>
      <c r="L111" s="4148"/>
      <c r="M111" s="4154"/>
      <c r="N111" s="4154"/>
      <c r="O111" s="4154"/>
      <c r="P111" s="4148"/>
      <c r="Q111" s="4205"/>
      <c r="R111" s="2908"/>
      <c r="S111" s="4148"/>
      <c r="T111" s="4148"/>
      <c r="U111" s="161" t="s">
        <v>1592</v>
      </c>
      <c r="V111" s="608">
        <v>7034454</v>
      </c>
      <c r="W111" s="608">
        <v>0</v>
      </c>
      <c r="X111" s="608">
        <v>0</v>
      </c>
      <c r="Y111" s="1852">
        <v>61</v>
      </c>
      <c r="Z111" s="1875" t="s">
        <v>1550</v>
      </c>
      <c r="AA111" s="4154"/>
      <c r="AB111" s="4154"/>
      <c r="AC111" s="4154"/>
      <c r="AD111" s="4154"/>
      <c r="AE111" s="4154"/>
      <c r="AF111" s="4154"/>
      <c r="AG111" s="4154"/>
      <c r="AH111" s="4154"/>
      <c r="AI111" s="4154"/>
      <c r="AJ111" s="4154"/>
      <c r="AK111" s="4154"/>
      <c r="AL111" s="4154"/>
      <c r="AM111" s="4154"/>
      <c r="AN111" s="4154"/>
      <c r="AO111" s="4154"/>
      <c r="AP111" s="4154"/>
      <c r="AQ111" s="4154"/>
      <c r="AR111" s="4154"/>
      <c r="AS111" s="4154"/>
      <c r="AT111" s="4154"/>
      <c r="AU111" s="4154"/>
      <c r="AV111" s="4154"/>
      <c r="AW111" s="4154"/>
      <c r="AX111" s="4154"/>
      <c r="AY111" s="4154"/>
      <c r="AZ111" s="4154"/>
      <c r="BA111" s="4154"/>
      <c r="BB111" s="4154"/>
      <c r="BC111" s="4154"/>
      <c r="BD111" s="4154"/>
      <c r="BE111" s="4154"/>
      <c r="BF111" s="4154"/>
      <c r="BG111" s="4154"/>
      <c r="BH111" s="4154"/>
      <c r="BI111" s="4154"/>
      <c r="BJ111" s="2692"/>
      <c r="BK111" s="4154"/>
      <c r="BL111" s="4154"/>
      <c r="BM111" s="4157"/>
      <c r="BN111" s="4157"/>
      <c r="BO111" s="4157"/>
      <c r="BP111" s="4141"/>
      <c r="BQ111" s="4144"/>
    </row>
    <row r="112" spans="1:69" ht="31.5" customHeight="1" x14ac:dyDescent="0.2">
      <c r="A112" s="1857"/>
      <c r="B112" s="1858"/>
      <c r="C112" s="1859"/>
      <c r="D112" s="1860"/>
      <c r="E112" s="1860"/>
      <c r="F112" s="1859"/>
      <c r="G112" s="1857"/>
      <c r="H112" s="1860"/>
      <c r="I112" s="1859"/>
      <c r="J112" s="4154"/>
      <c r="K112" s="4148"/>
      <c r="L112" s="4148"/>
      <c r="M112" s="4154"/>
      <c r="N112" s="4154"/>
      <c r="O112" s="4154"/>
      <c r="P112" s="4148"/>
      <c r="Q112" s="4205"/>
      <c r="R112" s="2908"/>
      <c r="S112" s="4148"/>
      <c r="T112" s="4148"/>
      <c r="U112" s="4281" t="s">
        <v>1593</v>
      </c>
      <c r="V112" s="608">
        <v>10455346</v>
      </c>
      <c r="W112" s="608">
        <v>0</v>
      </c>
      <c r="X112" s="608">
        <v>0</v>
      </c>
      <c r="Y112" s="1852">
        <v>61</v>
      </c>
      <c r="Z112" s="1875" t="s">
        <v>1550</v>
      </c>
      <c r="AA112" s="4154"/>
      <c r="AB112" s="4154"/>
      <c r="AC112" s="4154"/>
      <c r="AD112" s="4154"/>
      <c r="AE112" s="4154"/>
      <c r="AF112" s="4154"/>
      <c r="AG112" s="4154"/>
      <c r="AH112" s="4154"/>
      <c r="AI112" s="4154"/>
      <c r="AJ112" s="4154"/>
      <c r="AK112" s="4154"/>
      <c r="AL112" s="4154"/>
      <c r="AM112" s="4154"/>
      <c r="AN112" s="4154"/>
      <c r="AO112" s="4154"/>
      <c r="AP112" s="4154"/>
      <c r="AQ112" s="4154"/>
      <c r="AR112" s="4154"/>
      <c r="AS112" s="4154"/>
      <c r="AT112" s="4154"/>
      <c r="AU112" s="4154"/>
      <c r="AV112" s="4154"/>
      <c r="AW112" s="4154"/>
      <c r="AX112" s="4154"/>
      <c r="AY112" s="4154"/>
      <c r="AZ112" s="4154"/>
      <c r="BA112" s="4154"/>
      <c r="BB112" s="4154"/>
      <c r="BC112" s="4154"/>
      <c r="BD112" s="4154"/>
      <c r="BE112" s="4154"/>
      <c r="BF112" s="4154"/>
      <c r="BG112" s="4154"/>
      <c r="BH112" s="4154"/>
      <c r="BI112" s="4154"/>
      <c r="BJ112" s="2692"/>
      <c r="BK112" s="4154"/>
      <c r="BL112" s="4154"/>
      <c r="BM112" s="4157"/>
      <c r="BN112" s="4157"/>
      <c r="BO112" s="4157"/>
      <c r="BP112" s="4141"/>
      <c r="BQ112" s="4144"/>
    </row>
    <row r="113" spans="1:69" ht="31.5" customHeight="1" x14ac:dyDescent="0.2">
      <c r="A113" s="1857"/>
      <c r="B113" s="1858"/>
      <c r="C113" s="1859"/>
      <c r="D113" s="1860"/>
      <c r="E113" s="1860"/>
      <c r="F113" s="1859"/>
      <c r="G113" s="1857"/>
      <c r="H113" s="1860"/>
      <c r="I113" s="1859"/>
      <c r="J113" s="4154"/>
      <c r="K113" s="4148"/>
      <c r="L113" s="4148"/>
      <c r="M113" s="4154"/>
      <c r="N113" s="4154"/>
      <c r="O113" s="4154"/>
      <c r="P113" s="4148"/>
      <c r="Q113" s="4205"/>
      <c r="R113" s="2908"/>
      <c r="S113" s="4148"/>
      <c r="T113" s="4148"/>
      <c r="U113" s="4282"/>
      <c r="V113" s="608">
        <f>18564000+500000</f>
        <v>19064000</v>
      </c>
      <c r="W113" s="608">
        <v>8643953</v>
      </c>
      <c r="X113" s="608">
        <v>4377287</v>
      </c>
      <c r="Y113" s="1852">
        <v>20</v>
      </c>
      <c r="Z113" s="1875" t="s">
        <v>70</v>
      </c>
      <c r="AA113" s="4154"/>
      <c r="AB113" s="4154"/>
      <c r="AC113" s="4154"/>
      <c r="AD113" s="4154"/>
      <c r="AE113" s="4154"/>
      <c r="AF113" s="4154"/>
      <c r="AG113" s="4154"/>
      <c r="AH113" s="4154"/>
      <c r="AI113" s="4154"/>
      <c r="AJ113" s="4154"/>
      <c r="AK113" s="4154"/>
      <c r="AL113" s="4154"/>
      <c r="AM113" s="4154"/>
      <c r="AN113" s="4154"/>
      <c r="AO113" s="4154"/>
      <c r="AP113" s="4154"/>
      <c r="AQ113" s="4154"/>
      <c r="AR113" s="4154"/>
      <c r="AS113" s="4154"/>
      <c r="AT113" s="4154"/>
      <c r="AU113" s="4154"/>
      <c r="AV113" s="4154"/>
      <c r="AW113" s="4154"/>
      <c r="AX113" s="4154"/>
      <c r="AY113" s="4154"/>
      <c r="AZ113" s="4154"/>
      <c r="BA113" s="4154"/>
      <c r="BB113" s="4154"/>
      <c r="BC113" s="4154"/>
      <c r="BD113" s="4154"/>
      <c r="BE113" s="4154"/>
      <c r="BF113" s="4154"/>
      <c r="BG113" s="4154"/>
      <c r="BH113" s="4154"/>
      <c r="BI113" s="4154"/>
      <c r="BJ113" s="2692"/>
      <c r="BK113" s="4154"/>
      <c r="BL113" s="4154"/>
      <c r="BM113" s="4157"/>
      <c r="BN113" s="4157"/>
      <c r="BO113" s="4157"/>
      <c r="BP113" s="4141"/>
      <c r="BQ113" s="4144"/>
    </row>
    <row r="114" spans="1:69" ht="69" customHeight="1" x14ac:dyDescent="0.2">
      <c r="A114" s="1857"/>
      <c r="B114" s="1858"/>
      <c r="C114" s="1859"/>
      <c r="D114" s="1860"/>
      <c r="E114" s="1860"/>
      <c r="F114" s="1859"/>
      <c r="G114" s="1857"/>
      <c r="H114" s="1860"/>
      <c r="I114" s="1859"/>
      <c r="J114" s="4154"/>
      <c r="K114" s="4148"/>
      <c r="L114" s="4148"/>
      <c r="M114" s="4154"/>
      <c r="N114" s="4154"/>
      <c r="O114" s="4154"/>
      <c r="P114" s="4148"/>
      <c r="Q114" s="4205"/>
      <c r="R114" s="2908"/>
      <c r="S114" s="4148"/>
      <c r="T114" s="4148"/>
      <c r="U114" s="161" t="s">
        <v>1594</v>
      </c>
      <c r="V114" s="608">
        <v>37145334</v>
      </c>
      <c r="W114" s="608">
        <v>36302534</v>
      </c>
      <c r="X114" s="608">
        <v>36302534</v>
      </c>
      <c r="Y114" s="1852">
        <v>20</v>
      </c>
      <c r="Z114" s="1875" t="s">
        <v>70</v>
      </c>
      <c r="AA114" s="4154"/>
      <c r="AB114" s="4154"/>
      <c r="AC114" s="4154"/>
      <c r="AD114" s="4154"/>
      <c r="AE114" s="4154"/>
      <c r="AF114" s="4154"/>
      <c r="AG114" s="4154"/>
      <c r="AH114" s="4154"/>
      <c r="AI114" s="4154"/>
      <c r="AJ114" s="4154"/>
      <c r="AK114" s="4154"/>
      <c r="AL114" s="4154"/>
      <c r="AM114" s="4154"/>
      <c r="AN114" s="4154"/>
      <c r="AO114" s="4154"/>
      <c r="AP114" s="4154"/>
      <c r="AQ114" s="4154"/>
      <c r="AR114" s="4154"/>
      <c r="AS114" s="4154"/>
      <c r="AT114" s="4154"/>
      <c r="AU114" s="4154"/>
      <c r="AV114" s="4154"/>
      <c r="AW114" s="4154"/>
      <c r="AX114" s="4154"/>
      <c r="AY114" s="4154"/>
      <c r="AZ114" s="4154"/>
      <c r="BA114" s="4154"/>
      <c r="BB114" s="4154"/>
      <c r="BC114" s="4154"/>
      <c r="BD114" s="4154"/>
      <c r="BE114" s="4154"/>
      <c r="BF114" s="4154"/>
      <c r="BG114" s="4154"/>
      <c r="BH114" s="4154"/>
      <c r="BI114" s="4154"/>
      <c r="BJ114" s="2692"/>
      <c r="BK114" s="4154"/>
      <c r="BL114" s="4154"/>
      <c r="BM114" s="4157"/>
      <c r="BN114" s="4157"/>
      <c r="BO114" s="4157"/>
      <c r="BP114" s="4141"/>
      <c r="BQ114" s="4144"/>
    </row>
    <row r="115" spans="1:69" ht="69" customHeight="1" x14ac:dyDescent="0.2">
      <c r="A115" s="1857"/>
      <c r="B115" s="1858"/>
      <c r="C115" s="1859"/>
      <c r="D115" s="1860"/>
      <c r="E115" s="1860"/>
      <c r="F115" s="1859"/>
      <c r="G115" s="1857"/>
      <c r="H115" s="1860"/>
      <c r="I115" s="1859"/>
      <c r="J115" s="4154"/>
      <c r="K115" s="4148"/>
      <c r="L115" s="4148"/>
      <c r="M115" s="4154"/>
      <c r="N115" s="4154"/>
      <c r="O115" s="4154"/>
      <c r="P115" s="4148"/>
      <c r="Q115" s="4205"/>
      <c r="R115" s="2908"/>
      <c r="S115" s="4148"/>
      <c r="T115" s="4148"/>
      <c r="U115" s="161" t="s">
        <v>1595</v>
      </c>
      <c r="V115" s="608">
        <v>37145333</v>
      </c>
      <c r="W115" s="608">
        <f>9200000+6000000</f>
        <v>15200000</v>
      </c>
      <c r="X115" s="608">
        <v>12000000</v>
      </c>
      <c r="Y115" s="1852">
        <v>20</v>
      </c>
      <c r="Z115" s="1875" t="s">
        <v>70</v>
      </c>
      <c r="AA115" s="4154"/>
      <c r="AB115" s="4154"/>
      <c r="AC115" s="4154"/>
      <c r="AD115" s="4154"/>
      <c r="AE115" s="4154"/>
      <c r="AF115" s="4154"/>
      <c r="AG115" s="4154"/>
      <c r="AH115" s="4154"/>
      <c r="AI115" s="4154"/>
      <c r="AJ115" s="4154"/>
      <c r="AK115" s="4154"/>
      <c r="AL115" s="4154"/>
      <c r="AM115" s="4154"/>
      <c r="AN115" s="4154"/>
      <c r="AO115" s="4154"/>
      <c r="AP115" s="4154"/>
      <c r="AQ115" s="4154"/>
      <c r="AR115" s="4154"/>
      <c r="AS115" s="4154"/>
      <c r="AT115" s="4154"/>
      <c r="AU115" s="4154"/>
      <c r="AV115" s="4154"/>
      <c r="AW115" s="4154"/>
      <c r="AX115" s="4154"/>
      <c r="AY115" s="4154"/>
      <c r="AZ115" s="4154"/>
      <c r="BA115" s="4154"/>
      <c r="BB115" s="4154"/>
      <c r="BC115" s="4154"/>
      <c r="BD115" s="4154"/>
      <c r="BE115" s="4154"/>
      <c r="BF115" s="4154"/>
      <c r="BG115" s="4154"/>
      <c r="BH115" s="4154"/>
      <c r="BI115" s="4154"/>
      <c r="BJ115" s="2692"/>
      <c r="BK115" s="4154"/>
      <c r="BL115" s="4154"/>
      <c r="BM115" s="4157"/>
      <c r="BN115" s="4157"/>
      <c r="BO115" s="4157"/>
      <c r="BP115" s="4141"/>
      <c r="BQ115" s="4144"/>
    </row>
    <row r="116" spans="1:69" ht="69" customHeight="1" x14ac:dyDescent="0.2">
      <c r="A116" s="1857"/>
      <c r="B116" s="1858"/>
      <c r="C116" s="1859"/>
      <c r="D116" s="1860"/>
      <c r="E116" s="1860"/>
      <c r="F116" s="1859"/>
      <c r="G116" s="1857"/>
      <c r="H116" s="1860"/>
      <c r="I116" s="1859"/>
      <c r="J116" s="4155"/>
      <c r="K116" s="4149"/>
      <c r="L116" s="4149"/>
      <c r="M116" s="4155"/>
      <c r="N116" s="4154"/>
      <c r="O116" s="4154"/>
      <c r="P116" s="4148"/>
      <c r="Q116" s="4206"/>
      <c r="R116" s="2908"/>
      <c r="S116" s="4148"/>
      <c r="T116" s="4149"/>
      <c r="U116" s="161" t="s">
        <v>1596</v>
      </c>
      <c r="V116" s="608">
        <f>37145333-500000</f>
        <v>36645333</v>
      </c>
      <c r="W116" s="608">
        <v>0</v>
      </c>
      <c r="X116" s="608">
        <v>0</v>
      </c>
      <c r="Y116" s="1852">
        <v>20</v>
      </c>
      <c r="Z116" s="1875" t="s">
        <v>70</v>
      </c>
      <c r="AA116" s="4154"/>
      <c r="AB116" s="4154"/>
      <c r="AC116" s="4154"/>
      <c r="AD116" s="4154"/>
      <c r="AE116" s="4154"/>
      <c r="AF116" s="4154"/>
      <c r="AG116" s="4154"/>
      <c r="AH116" s="4154"/>
      <c r="AI116" s="4154"/>
      <c r="AJ116" s="4154"/>
      <c r="AK116" s="4154"/>
      <c r="AL116" s="4154"/>
      <c r="AM116" s="4154"/>
      <c r="AN116" s="4154"/>
      <c r="AO116" s="4154"/>
      <c r="AP116" s="4154"/>
      <c r="AQ116" s="4154"/>
      <c r="AR116" s="4154"/>
      <c r="AS116" s="4154"/>
      <c r="AT116" s="4154"/>
      <c r="AU116" s="4154"/>
      <c r="AV116" s="4154"/>
      <c r="AW116" s="4154"/>
      <c r="AX116" s="4154"/>
      <c r="AY116" s="4154"/>
      <c r="AZ116" s="4154"/>
      <c r="BA116" s="4154"/>
      <c r="BB116" s="4154"/>
      <c r="BC116" s="4154"/>
      <c r="BD116" s="4154"/>
      <c r="BE116" s="4154"/>
      <c r="BF116" s="4154"/>
      <c r="BG116" s="4154"/>
      <c r="BH116" s="4154"/>
      <c r="BI116" s="4154"/>
      <c r="BJ116" s="2692"/>
      <c r="BK116" s="4154"/>
      <c r="BL116" s="4154"/>
      <c r="BM116" s="4157"/>
      <c r="BN116" s="4157"/>
      <c r="BO116" s="4157"/>
      <c r="BP116" s="4141"/>
      <c r="BQ116" s="4144"/>
    </row>
    <row r="117" spans="1:69" ht="69" customHeight="1" x14ac:dyDescent="0.2">
      <c r="A117" s="1857"/>
      <c r="B117" s="1858"/>
      <c r="C117" s="1859"/>
      <c r="D117" s="1860"/>
      <c r="E117" s="1860"/>
      <c r="F117" s="1859"/>
      <c r="G117" s="1857"/>
      <c r="H117" s="1860"/>
      <c r="I117" s="1859"/>
      <c r="J117" s="4153">
        <v>145</v>
      </c>
      <c r="K117" s="4147" t="s">
        <v>1597</v>
      </c>
      <c r="L117" s="4147" t="s">
        <v>1424</v>
      </c>
      <c r="M117" s="4153">
        <v>1</v>
      </c>
      <c r="N117" s="4154"/>
      <c r="O117" s="4154"/>
      <c r="P117" s="4148"/>
      <c r="Q117" s="4204">
        <f>SUM(V117:V120)/R109</f>
        <v>0.16945986084345985</v>
      </c>
      <c r="R117" s="2908"/>
      <c r="S117" s="4148"/>
      <c r="T117" s="4147" t="s">
        <v>1598</v>
      </c>
      <c r="U117" s="161" t="s">
        <v>1599</v>
      </c>
      <c r="V117" s="608">
        <v>33133334</v>
      </c>
      <c r="W117" s="608">
        <v>0</v>
      </c>
      <c r="X117" s="608">
        <v>0</v>
      </c>
      <c r="Y117" s="1852">
        <v>61</v>
      </c>
      <c r="Z117" s="1875" t="s">
        <v>1550</v>
      </c>
      <c r="AA117" s="4154"/>
      <c r="AB117" s="4154"/>
      <c r="AC117" s="4154"/>
      <c r="AD117" s="4154"/>
      <c r="AE117" s="4154"/>
      <c r="AF117" s="4154"/>
      <c r="AG117" s="4154"/>
      <c r="AH117" s="4154"/>
      <c r="AI117" s="4154"/>
      <c r="AJ117" s="4154"/>
      <c r="AK117" s="4154"/>
      <c r="AL117" s="4154"/>
      <c r="AM117" s="4154"/>
      <c r="AN117" s="4154"/>
      <c r="AO117" s="4154"/>
      <c r="AP117" s="4154"/>
      <c r="AQ117" s="4154"/>
      <c r="AR117" s="4154"/>
      <c r="AS117" s="4154"/>
      <c r="AT117" s="4154"/>
      <c r="AU117" s="4154"/>
      <c r="AV117" s="4154"/>
      <c r="AW117" s="4154"/>
      <c r="AX117" s="4154"/>
      <c r="AY117" s="4154"/>
      <c r="AZ117" s="4154"/>
      <c r="BA117" s="4154"/>
      <c r="BB117" s="4154"/>
      <c r="BC117" s="4154"/>
      <c r="BD117" s="4154"/>
      <c r="BE117" s="4154"/>
      <c r="BF117" s="4154"/>
      <c r="BG117" s="4154"/>
      <c r="BH117" s="4154"/>
      <c r="BI117" s="4154"/>
      <c r="BJ117" s="2692"/>
      <c r="BK117" s="4154"/>
      <c r="BL117" s="4154"/>
      <c r="BM117" s="4157"/>
      <c r="BN117" s="4157"/>
      <c r="BO117" s="4157"/>
      <c r="BP117" s="4141"/>
      <c r="BQ117" s="4144"/>
    </row>
    <row r="118" spans="1:69" ht="31.5" customHeight="1" x14ac:dyDescent="0.2">
      <c r="A118" s="1857"/>
      <c r="B118" s="1858"/>
      <c r="C118" s="1859"/>
      <c r="D118" s="1860"/>
      <c r="E118" s="1860"/>
      <c r="F118" s="1859"/>
      <c r="G118" s="1857"/>
      <c r="H118" s="1860"/>
      <c r="I118" s="1859"/>
      <c r="J118" s="4154"/>
      <c r="K118" s="4148"/>
      <c r="L118" s="4148"/>
      <c r="M118" s="4154"/>
      <c r="N118" s="4154"/>
      <c r="O118" s="4154"/>
      <c r="P118" s="4148"/>
      <c r="Q118" s="4205"/>
      <c r="R118" s="2908"/>
      <c r="S118" s="4148"/>
      <c r="T118" s="4148"/>
      <c r="U118" s="161" t="s">
        <v>1600</v>
      </c>
      <c r="V118" s="608">
        <v>33133333</v>
      </c>
      <c r="W118" s="608">
        <v>5600000</v>
      </c>
      <c r="X118" s="608">
        <v>0</v>
      </c>
      <c r="Y118" s="1852">
        <v>61</v>
      </c>
      <c r="Z118" s="1875" t="s">
        <v>1550</v>
      </c>
      <c r="AA118" s="4154"/>
      <c r="AB118" s="4154"/>
      <c r="AC118" s="4154"/>
      <c r="AD118" s="4154"/>
      <c r="AE118" s="4154"/>
      <c r="AF118" s="4154"/>
      <c r="AG118" s="4154"/>
      <c r="AH118" s="4154"/>
      <c r="AI118" s="4154"/>
      <c r="AJ118" s="4154"/>
      <c r="AK118" s="4154"/>
      <c r="AL118" s="4154"/>
      <c r="AM118" s="4154"/>
      <c r="AN118" s="4154"/>
      <c r="AO118" s="4154"/>
      <c r="AP118" s="4154"/>
      <c r="AQ118" s="4154"/>
      <c r="AR118" s="4154"/>
      <c r="AS118" s="4154"/>
      <c r="AT118" s="4154"/>
      <c r="AU118" s="4154"/>
      <c r="AV118" s="4154"/>
      <c r="AW118" s="4154"/>
      <c r="AX118" s="4154"/>
      <c r="AY118" s="4154"/>
      <c r="AZ118" s="4154"/>
      <c r="BA118" s="4154"/>
      <c r="BB118" s="4154"/>
      <c r="BC118" s="4154"/>
      <c r="BD118" s="4154"/>
      <c r="BE118" s="4154"/>
      <c r="BF118" s="4154"/>
      <c r="BG118" s="4154"/>
      <c r="BH118" s="4154"/>
      <c r="BI118" s="4154"/>
      <c r="BJ118" s="2692"/>
      <c r="BK118" s="4154"/>
      <c r="BL118" s="4154"/>
      <c r="BM118" s="4157"/>
      <c r="BN118" s="4157"/>
      <c r="BO118" s="4157"/>
      <c r="BP118" s="4141"/>
      <c r="BQ118" s="4144"/>
    </row>
    <row r="119" spans="1:69" ht="47.25" customHeight="1" x14ac:dyDescent="0.2">
      <c r="A119" s="1857"/>
      <c r="B119" s="1858"/>
      <c r="C119" s="1859"/>
      <c r="D119" s="1860"/>
      <c r="E119" s="1860"/>
      <c r="F119" s="1859"/>
      <c r="G119" s="1857"/>
      <c r="H119" s="1860"/>
      <c r="I119" s="1859"/>
      <c r="J119" s="4154"/>
      <c r="K119" s="4148"/>
      <c r="L119" s="4148"/>
      <c r="M119" s="4154"/>
      <c r="N119" s="4154"/>
      <c r="O119" s="4154"/>
      <c r="P119" s="4148"/>
      <c r="Q119" s="4205"/>
      <c r="R119" s="2908"/>
      <c r="S119" s="4148"/>
      <c r="T119" s="4148"/>
      <c r="U119" s="161" t="s">
        <v>1601</v>
      </c>
      <c r="V119" s="1851">
        <v>600000</v>
      </c>
      <c r="W119" s="1851">
        <v>0</v>
      </c>
      <c r="X119" s="608">
        <v>0</v>
      </c>
      <c r="Y119" s="1852">
        <v>61</v>
      </c>
      <c r="Z119" s="1875" t="s">
        <v>1550</v>
      </c>
      <c r="AA119" s="4154"/>
      <c r="AB119" s="4154"/>
      <c r="AC119" s="4154"/>
      <c r="AD119" s="4154"/>
      <c r="AE119" s="4154"/>
      <c r="AF119" s="4154"/>
      <c r="AG119" s="4154"/>
      <c r="AH119" s="4154"/>
      <c r="AI119" s="4154"/>
      <c r="AJ119" s="4154"/>
      <c r="AK119" s="4154"/>
      <c r="AL119" s="4154"/>
      <c r="AM119" s="4154"/>
      <c r="AN119" s="4154"/>
      <c r="AO119" s="4154"/>
      <c r="AP119" s="4154"/>
      <c r="AQ119" s="4154"/>
      <c r="AR119" s="4154"/>
      <c r="AS119" s="4154"/>
      <c r="AT119" s="4154"/>
      <c r="AU119" s="4154"/>
      <c r="AV119" s="4154"/>
      <c r="AW119" s="4154"/>
      <c r="AX119" s="4154"/>
      <c r="AY119" s="4154"/>
      <c r="AZ119" s="4154"/>
      <c r="BA119" s="4154"/>
      <c r="BB119" s="4154"/>
      <c r="BC119" s="4154"/>
      <c r="BD119" s="4154"/>
      <c r="BE119" s="4154"/>
      <c r="BF119" s="4154"/>
      <c r="BG119" s="4154"/>
      <c r="BH119" s="4154"/>
      <c r="BI119" s="4154"/>
      <c r="BJ119" s="2692"/>
      <c r="BK119" s="4154"/>
      <c r="BL119" s="4154"/>
      <c r="BM119" s="4157"/>
      <c r="BN119" s="4157"/>
      <c r="BO119" s="4157"/>
      <c r="BP119" s="4141"/>
      <c r="BQ119" s="4144"/>
    </row>
    <row r="120" spans="1:69" ht="57.75" customHeight="1" x14ac:dyDescent="0.2">
      <c r="A120" s="1857"/>
      <c r="B120" s="1858"/>
      <c r="C120" s="1859"/>
      <c r="D120" s="1860"/>
      <c r="E120" s="1860"/>
      <c r="F120" s="1859"/>
      <c r="G120" s="1857"/>
      <c r="H120" s="1860"/>
      <c r="I120" s="1859"/>
      <c r="J120" s="4155"/>
      <c r="K120" s="4149"/>
      <c r="L120" s="4149"/>
      <c r="M120" s="4155"/>
      <c r="N120" s="4155"/>
      <c r="O120" s="4155"/>
      <c r="P120" s="4148"/>
      <c r="Q120" s="4206"/>
      <c r="R120" s="2908"/>
      <c r="S120" s="4148"/>
      <c r="T120" s="4149"/>
      <c r="U120" s="161" t="s">
        <v>1602</v>
      </c>
      <c r="V120" s="1876">
        <v>33133333</v>
      </c>
      <c r="W120" s="1877">
        <v>0</v>
      </c>
      <c r="X120" s="1878">
        <v>0</v>
      </c>
      <c r="Y120" s="1879">
        <v>61</v>
      </c>
      <c r="Z120" s="1844" t="s">
        <v>1550</v>
      </c>
      <c r="AA120" s="4155"/>
      <c r="AB120" s="4155"/>
      <c r="AC120" s="4155"/>
      <c r="AD120" s="4155"/>
      <c r="AE120" s="4155"/>
      <c r="AF120" s="4155"/>
      <c r="AG120" s="4155"/>
      <c r="AH120" s="4155"/>
      <c r="AI120" s="4155"/>
      <c r="AJ120" s="4155"/>
      <c r="AK120" s="4155"/>
      <c r="AL120" s="4155"/>
      <c r="AM120" s="4155"/>
      <c r="AN120" s="4155"/>
      <c r="AO120" s="4155"/>
      <c r="AP120" s="4155"/>
      <c r="AQ120" s="4155"/>
      <c r="AR120" s="4155"/>
      <c r="AS120" s="4155"/>
      <c r="AT120" s="4155"/>
      <c r="AU120" s="4155"/>
      <c r="AV120" s="4155"/>
      <c r="AW120" s="4155"/>
      <c r="AX120" s="4155"/>
      <c r="AY120" s="4155"/>
      <c r="AZ120" s="4155"/>
      <c r="BA120" s="4155"/>
      <c r="BB120" s="4155"/>
      <c r="BC120" s="4155"/>
      <c r="BD120" s="4155"/>
      <c r="BE120" s="4155"/>
      <c r="BF120" s="4155"/>
      <c r="BG120" s="4155"/>
      <c r="BH120" s="4155"/>
      <c r="BI120" s="4155"/>
      <c r="BJ120" s="4161"/>
      <c r="BK120" s="4155"/>
      <c r="BL120" s="4155"/>
      <c r="BM120" s="4158"/>
      <c r="BN120" s="4158"/>
      <c r="BO120" s="4158"/>
      <c r="BP120" s="4142"/>
      <c r="BQ120" s="4145"/>
    </row>
    <row r="121" spans="1:69" ht="34.5" customHeight="1" x14ac:dyDescent="0.2">
      <c r="A121" s="1857"/>
      <c r="B121" s="1858"/>
      <c r="C121" s="1859"/>
      <c r="D121" s="1860"/>
      <c r="E121" s="1860"/>
      <c r="F121" s="1859"/>
      <c r="G121" s="1857"/>
      <c r="H121" s="1860"/>
      <c r="I121" s="1859"/>
      <c r="J121" s="4153">
        <v>146</v>
      </c>
      <c r="K121" s="4147" t="s">
        <v>1603</v>
      </c>
      <c r="L121" s="4147" t="s">
        <v>1604</v>
      </c>
      <c r="M121" s="4153">
        <v>1</v>
      </c>
      <c r="N121" s="1844">
        <v>54324703</v>
      </c>
      <c r="O121" s="4153">
        <v>142</v>
      </c>
      <c r="P121" s="4147" t="s">
        <v>1605</v>
      </c>
      <c r="Q121" s="4204">
        <v>1</v>
      </c>
      <c r="R121" s="4134">
        <f>SUM(V121:V143)</f>
        <v>223219793</v>
      </c>
      <c r="S121" s="4147" t="s">
        <v>1606</v>
      </c>
      <c r="T121" s="4271" t="s">
        <v>1607</v>
      </c>
      <c r="U121" s="4273" t="s">
        <v>1608</v>
      </c>
      <c r="V121" s="608">
        <v>10720150</v>
      </c>
      <c r="W121" s="608">
        <v>9314250</v>
      </c>
      <c r="X121" s="608">
        <v>4800000</v>
      </c>
      <c r="Y121" s="1852">
        <v>61</v>
      </c>
      <c r="Z121" s="1875" t="s">
        <v>1609</v>
      </c>
      <c r="AA121" s="4265">
        <v>289394</v>
      </c>
      <c r="AB121" s="4265">
        <f>AA121*0.02</f>
        <v>5787.88</v>
      </c>
      <c r="AC121" s="4265">
        <v>279112</v>
      </c>
      <c r="AD121" s="4265">
        <f>AC121*0.02</f>
        <v>5582.24</v>
      </c>
      <c r="AE121" s="4265">
        <v>63164</v>
      </c>
      <c r="AF121" s="4265">
        <f>AE121*0.02</f>
        <v>1263.28</v>
      </c>
      <c r="AG121" s="4265">
        <v>45607</v>
      </c>
      <c r="AH121" s="4265">
        <f>AG121*0.02</f>
        <v>912.14</v>
      </c>
      <c r="AI121" s="4265">
        <v>365607</v>
      </c>
      <c r="AJ121" s="4265">
        <f>AI121*0.02</f>
        <v>7312.14</v>
      </c>
      <c r="AK121" s="4265">
        <v>75612</v>
      </c>
      <c r="AL121" s="4265">
        <f>AK121*0.02</f>
        <v>1512.24</v>
      </c>
      <c r="AM121" s="4265">
        <v>2145</v>
      </c>
      <c r="AN121" s="4265">
        <f>AM121*0.02</f>
        <v>42.9</v>
      </c>
      <c r="AO121" s="4265">
        <v>12718</v>
      </c>
      <c r="AP121" s="4265">
        <f>AO121*0.02</f>
        <v>254.36</v>
      </c>
      <c r="AQ121" s="4265">
        <v>26</v>
      </c>
      <c r="AR121" s="4265">
        <f>AQ121*0.02</f>
        <v>0.52</v>
      </c>
      <c r="AS121" s="4265">
        <v>37</v>
      </c>
      <c r="AT121" s="4265">
        <f>AS121*0.02</f>
        <v>0.74</v>
      </c>
      <c r="AU121" s="4265">
        <v>0</v>
      </c>
      <c r="AV121" s="4265">
        <f>AU121*0.02</f>
        <v>0</v>
      </c>
      <c r="AW121" s="4265">
        <v>0</v>
      </c>
      <c r="AX121" s="4265">
        <f>AW121*0.02</f>
        <v>0</v>
      </c>
      <c r="AY121" s="4265">
        <v>78</v>
      </c>
      <c r="AZ121" s="4265">
        <f>AY121*0.02</f>
        <v>1.56</v>
      </c>
      <c r="BA121" s="4265">
        <v>16897</v>
      </c>
      <c r="BB121" s="4265">
        <f>BA121*0.02</f>
        <v>337.94</v>
      </c>
      <c r="BC121" s="4265">
        <f>SUM('[4]P. 100'!$W$5+'[4]P. 100'!$X$5)</f>
        <v>852</v>
      </c>
      <c r="BD121" s="4265">
        <f>BC121*0.02</f>
        <v>17.04</v>
      </c>
      <c r="BE121" s="4265">
        <f>SUM(AA121:AC121)</f>
        <v>574293.88</v>
      </c>
      <c r="BF121" s="4265">
        <f>BE121*0.02</f>
        <v>11485.8776</v>
      </c>
      <c r="BG121" s="4265">
        <v>4</v>
      </c>
      <c r="BH121" s="4265">
        <f>SUM(W121:W143)</f>
        <v>24700000</v>
      </c>
      <c r="BI121" s="4265">
        <f>SUM(X121:X143)</f>
        <v>4800000</v>
      </c>
      <c r="BJ121" s="4269">
        <f>SUM(BI121/R121)</f>
        <v>2.1503469452639444E-2</v>
      </c>
      <c r="BK121" s="4265" t="s">
        <v>1610</v>
      </c>
      <c r="BL121" s="4263" t="s">
        <v>1466</v>
      </c>
      <c r="BM121" s="4267">
        <v>43467</v>
      </c>
      <c r="BN121" s="4267">
        <v>44196</v>
      </c>
      <c r="BO121" s="4267">
        <v>43830</v>
      </c>
      <c r="BP121" s="4140">
        <v>44196</v>
      </c>
      <c r="BQ121" s="4143" t="s">
        <v>1432</v>
      </c>
    </row>
    <row r="122" spans="1:69" ht="34.5" customHeight="1" x14ac:dyDescent="0.2">
      <c r="A122" s="1857"/>
      <c r="B122" s="1858"/>
      <c r="C122" s="1859"/>
      <c r="D122" s="1860"/>
      <c r="E122" s="1860"/>
      <c r="F122" s="1859"/>
      <c r="G122" s="1857"/>
      <c r="H122" s="1860"/>
      <c r="I122" s="1859"/>
      <c r="J122" s="4154"/>
      <c r="K122" s="4148"/>
      <c r="L122" s="4148"/>
      <c r="M122" s="4154"/>
      <c r="N122" s="1880"/>
      <c r="O122" s="4154"/>
      <c r="P122" s="4148"/>
      <c r="Q122" s="4205"/>
      <c r="R122" s="2908"/>
      <c r="S122" s="4148"/>
      <c r="T122" s="4272"/>
      <c r="U122" s="4274"/>
      <c r="V122" s="608">
        <v>39850200</v>
      </c>
      <c r="W122" s="608"/>
      <c r="X122" s="608"/>
      <c r="Y122" s="1852">
        <v>113</v>
      </c>
      <c r="Z122" s="948" t="s">
        <v>1611</v>
      </c>
      <c r="AA122" s="4266"/>
      <c r="AB122" s="4266"/>
      <c r="AC122" s="4266"/>
      <c r="AD122" s="4266"/>
      <c r="AE122" s="4266"/>
      <c r="AF122" s="4266"/>
      <c r="AG122" s="4266"/>
      <c r="AH122" s="4266"/>
      <c r="AI122" s="4266"/>
      <c r="AJ122" s="4266"/>
      <c r="AK122" s="4266"/>
      <c r="AL122" s="4266"/>
      <c r="AM122" s="4266"/>
      <c r="AN122" s="4266"/>
      <c r="AO122" s="4266"/>
      <c r="AP122" s="4266"/>
      <c r="AQ122" s="4266"/>
      <c r="AR122" s="4266"/>
      <c r="AS122" s="4266"/>
      <c r="AT122" s="4266"/>
      <c r="AU122" s="4266"/>
      <c r="AV122" s="4266"/>
      <c r="AW122" s="4266"/>
      <c r="AX122" s="4266"/>
      <c r="AY122" s="4266"/>
      <c r="AZ122" s="4266"/>
      <c r="BA122" s="4266"/>
      <c r="BB122" s="4266"/>
      <c r="BC122" s="4266"/>
      <c r="BD122" s="4266"/>
      <c r="BE122" s="4266"/>
      <c r="BF122" s="4266"/>
      <c r="BG122" s="4266"/>
      <c r="BH122" s="4266"/>
      <c r="BI122" s="4266"/>
      <c r="BJ122" s="4270"/>
      <c r="BK122" s="4266"/>
      <c r="BL122" s="4264"/>
      <c r="BM122" s="4268"/>
      <c r="BN122" s="4268"/>
      <c r="BO122" s="4268"/>
      <c r="BP122" s="4141"/>
      <c r="BQ122" s="4144"/>
    </row>
    <row r="123" spans="1:69" ht="34.5" customHeight="1" x14ac:dyDescent="0.2">
      <c r="A123" s="1857"/>
      <c r="B123" s="1858"/>
      <c r="C123" s="1859"/>
      <c r="D123" s="1860"/>
      <c r="E123" s="1860"/>
      <c r="F123" s="1859"/>
      <c r="G123" s="1857"/>
      <c r="H123" s="1860"/>
      <c r="I123" s="1859"/>
      <c r="J123" s="4154"/>
      <c r="K123" s="4148"/>
      <c r="L123" s="4148"/>
      <c r="M123" s="4154"/>
      <c r="N123" s="1880"/>
      <c r="O123" s="4154"/>
      <c r="P123" s="4148"/>
      <c r="Q123" s="4205"/>
      <c r="R123" s="2908"/>
      <c r="S123" s="4148"/>
      <c r="T123" s="4272"/>
      <c r="U123" s="4275"/>
      <c r="V123" s="608">
        <v>3754353</v>
      </c>
      <c r="W123" s="608"/>
      <c r="X123" s="608"/>
      <c r="Y123" s="1852">
        <v>114</v>
      </c>
      <c r="Z123" s="948" t="s">
        <v>1612</v>
      </c>
      <c r="AA123" s="4266"/>
      <c r="AB123" s="4266"/>
      <c r="AC123" s="4266"/>
      <c r="AD123" s="4266"/>
      <c r="AE123" s="4266"/>
      <c r="AF123" s="4266"/>
      <c r="AG123" s="4266"/>
      <c r="AH123" s="4266"/>
      <c r="AI123" s="4266"/>
      <c r="AJ123" s="4266"/>
      <c r="AK123" s="4266"/>
      <c r="AL123" s="4266"/>
      <c r="AM123" s="4266"/>
      <c r="AN123" s="4266"/>
      <c r="AO123" s="4266"/>
      <c r="AP123" s="4266"/>
      <c r="AQ123" s="4266"/>
      <c r="AR123" s="4266"/>
      <c r="AS123" s="4266"/>
      <c r="AT123" s="4266"/>
      <c r="AU123" s="4266"/>
      <c r="AV123" s="4266"/>
      <c r="AW123" s="4266"/>
      <c r="AX123" s="4266"/>
      <c r="AY123" s="4266"/>
      <c r="AZ123" s="4266"/>
      <c r="BA123" s="4266"/>
      <c r="BB123" s="4266"/>
      <c r="BC123" s="4266"/>
      <c r="BD123" s="4266"/>
      <c r="BE123" s="4266"/>
      <c r="BF123" s="4266"/>
      <c r="BG123" s="4266"/>
      <c r="BH123" s="4266"/>
      <c r="BI123" s="4266"/>
      <c r="BJ123" s="4270"/>
      <c r="BK123" s="4266"/>
      <c r="BL123" s="4264"/>
      <c r="BM123" s="4268"/>
      <c r="BN123" s="4268"/>
      <c r="BO123" s="4268"/>
      <c r="BP123" s="4141"/>
      <c r="BQ123" s="4144"/>
    </row>
    <row r="124" spans="1:69" ht="34.5" customHeight="1" x14ac:dyDescent="0.2">
      <c r="A124" s="1857"/>
      <c r="B124" s="1858"/>
      <c r="C124" s="1859"/>
      <c r="D124" s="1860"/>
      <c r="E124" s="1860"/>
      <c r="F124" s="1859"/>
      <c r="G124" s="1857"/>
      <c r="H124" s="1860"/>
      <c r="I124" s="1859"/>
      <c r="J124" s="4154"/>
      <c r="K124" s="4148"/>
      <c r="L124" s="4148"/>
      <c r="M124" s="4154"/>
      <c r="N124" s="1880"/>
      <c r="O124" s="4154"/>
      <c r="P124" s="4148"/>
      <c r="Q124" s="4205"/>
      <c r="R124" s="2908"/>
      <c r="S124" s="4148"/>
      <c r="T124" s="4272"/>
      <c r="U124" s="4276" t="s">
        <v>1613</v>
      </c>
      <c r="V124" s="608">
        <v>1875100</v>
      </c>
      <c r="W124" s="608"/>
      <c r="X124" s="608"/>
      <c r="Y124" s="1852">
        <v>61</v>
      </c>
      <c r="Z124" s="1875" t="s">
        <v>1609</v>
      </c>
      <c r="AA124" s="4266"/>
      <c r="AB124" s="4266"/>
      <c r="AC124" s="4266"/>
      <c r="AD124" s="4266"/>
      <c r="AE124" s="4266"/>
      <c r="AF124" s="4266"/>
      <c r="AG124" s="4266"/>
      <c r="AH124" s="4266"/>
      <c r="AI124" s="4266"/>
      <c r="AJ124" s="4266"/>
      <c r="AK124" s="4266"/>
      <c r="AL124" s="4266"/>
      <c r="AM124" s="4266"/>
      <c r="AN124" s="4266"/>
      <c r="AO124" s="4266"/>
      <c r="AP124" s="4266"/>
      <c r="AQ124" s="4266"/>
      <c r="AR124" s="4266"/>
      <c r="AS124" s="4266"/>
      <c r="AT124" s="4266"/>
      <c r="AU124" s="4266"/>
      <c r="AV124" s="4266"/>
      <c r="AW124" s="4266"/>
      <c r="AX124" s="4266"/>
      <c r="AY124" s="4266"/>
      <c r="AZ124" s="4266"/>
      <c r="BA124" s="4266"/>
      <c r="BB124" s="4266"/>
      <c r="BC124" s="4266"/>
      <c r="BD124" s="4266"/>
      <c r="BE124" s="4266"/>
      <c r="BF124" s="4266"/>
      <c r="BG124" s="4266"/>
      <c r="BH124" s="4266"/>
      <c r="BI124" s="4266"/>
      <c r="BJ124" s="4270"/>
      <c r="BK124" s="4266"/>
      <c r="BL124" s="4264"/>
      <c r="BM124" s="4268"/>
      <c r="BN124" s="4268"/>
      <c r="BO124" s="4268"/>
      <c r="BP124" s="4141"/>
      <c r="BQ124" s="4144"/>
    </row>
    <row r="125" spans="1:69" ht="34.5" customHeight="1" x14ac:dyDescent="0.2">
      <c r="A125" s="1857"/>
      <c r="B125" s="1858"/>
      <c r="C125" s="1859"/>
      <c r="D125" s="1860"/>
      <c r="E125" s="1860"/>
      <c r="F125" s="1859"/>
      <c r="G125" s="1857"/>
      <c r="H125" s="1860"/>
      <c r="I125" s="1859"/>
      <c r="J125" s="4154"/>
      <c r="K125" s="4148"/>
      <c r="L125" s="4148"/>
      <c r="M125" s="4154"/>
      <c r="N125" s="1880"/>
      <c r="O125" s="4154"/>
      <c r="P125" s="4148"/>
      <c r="Q125" s="4205"/>
      <c r="R125" s="2908"/>
      <c r="S125" s="4148"/>
      <c r="T125" s="4272"/>
      <c r="U125" s="4274"/>
      <c r="V125" s="608">
        <v>2971200</v>
      </c>
      <c r="W125" s="608"/>
      <c r="X125" s="608"/>
      <c r="Y125" s="1852">
        <v>113</v>
      </c>
      <c r="Z125" s="948" t="s">
        <v>1611</v>
      </c>
      <c r="AA125" s="4266"/>
      <c r="AB125" s="4266"/>
      <c r="AC125" s="4266"/>
      <c r="AD125" s="4266"/>
      <c r="AE125" s="4266"/>
      <c r="AF125" s="4266"/>
      <c r="AG125" s="4266"/>
      <c r="AH125" s="4266"/>
      <c r="AI125" s="4266"/>
      <c r="AJ125" s="4266"/>
      <c r="AK125" s="4266"/>
      <c r="AL125" s="4266"/>
      <c r="AM125" s="4266"/>
      <c r="AN125" s="4266"/>
      <c r="AO125" s="4266"/>
      <c r="AP125" s="4266"/>
      <c r="AQ125" s="4266"/>
      <c r="AR125" s="4266"/>
      <c r="AS125" s="4266"/>
      <c r="AT125" s="4266"/>
      <c r="AU125" s="4266"/>
      <c r="AV125" s="4266"/>
      <c r="AW125" s="4266"/>
      <c r="AX125" s="4266"/>
      <c r="AY125" s="4266"/>
      <c r="AZ125" s="4266"/>
      <c r="BA125" s="4266"/>
      <c r="BB125" s="4266"/>
      <c r="BC125" s="4266"/>
      <c r="BD125" s="4266"/>
      <c r="BE125" s="4266"/>
      <c r="BF125" s="4266"/>
      <c r="BG125" s="4266"/>
      <c r="BH125" s="4266"/>
      <c r="BI125" s="4266"/>
      <c r="BJ125" s="4270"/>
      <c r="BK125" s="4266"/>
      <c r="BL125" s="4264"/>
      <c r="BM125" s="4268"/>
      <c r="BN125" s="4268"/>
      <c r="BO125" s="4268"/>
      <c r="BP125" s="4141"/>
      <c r="BQ125" s="4144"/>
    </row>
    <row r="126" spans="1:69" ht="34.5" customHeight="1" x14ac:dyDescent="0.2">
      <c r="A126" s="1857"/>
      <c r="B126" s="1858"/>
      <c r="C126" s="1859"/>
      <c r="D126" s="1860"/>
      <c r="E126" s="1860"/>
      <c r="F126" s="1859"/>
      <c r="G126" s="1857"/>
      <c r="H126" s="1860"/>
      <c r="I126" s="1859"/>
      <c r="J126" s="4154"/>
      <c r="K126" s="4148"/>
      <c r="L126" s="4148"/>
      <c r="M126" s="4154"/>
      <c r="N126" s="1880" t="s">
        <v>1614</v>
      </c>
      <c r="O126" s="4154"/>
      <c r="P126" s="4148"/>
      <c r="Q126" s="4205"/>
      <c r="R126" s="2908"/>
      <c r="S126" s="4148"/>
      <c r="T126" s="4272"/>
      <c r="U126" s="4277"/>
      <c r="V126" s="608">
        <v>290000</v>
      </c>
      <c r="W126" s="608">
        <v>0</v>
      </c>
      <c r="X126" s="608">
        <v>0</v>
      </c>
      <c r="Y126" s="1852">
        <v>114</v>
      </c>
      <c r="Z126" s="1875" t="s">
        <v>1612</v>
      </c>
      <c r="AA126" s="4266"/>
      <c r="AB126" s="4266"/>
      <c r="AC126" s="4266"/>
      <c r="AD126" s="4266"/>
      <c r="AE126" s="4266"/>
      <c r="AF126" s="4266"/>
      <c r="AG126" s="4266"/>
      <c r="AH126" s="4266"/>
      <c r="AI126" s="4266"/>
      <c r="AJ126" s="4266"/>
      <c r="AK126" s="4266"/>
      <c r="AL126" s="4266"/>
      <c r="AM126" s="4266"/>
      <c r="AN126" s="4266"/>
      <c r="AO126" s="4266"/>
      <c r="AP126" s="4266"/>
      <c r="AQ126" s="4266"/>
      <c r="AR126" s="4266"/>
      <c r="AS126" s="4266"/>
      <c r="AT126" s="4266"/>
      <c r="AU126" s="4266"/>
      <c r="AV126" s="4266"/>
      <c r="AW126" s="4266"/>
      <c r="AX126" s="4266"/>
      <c r="AY126" s="4266"/>
      <c r="AZ126" s="4266"/>
      <c r="BA126" s="4266"/>
      <c r="BB126" s="4266"/>
      <c r="BC126" s="4266"/>
      <c r="BD126" s="4266"/>
      <c r="BE126" s="4266"/>
      <c r="BF126" s="4266"/>
      <c r="BG126" s="4266"/>
      <c r="BH126" s="4266"/>
      <c r="BI126" s="4266"/>
      <c r="BJ126" s="4270"/>
      <c r="BK126" s="4266"/>
      <c r="BL126" s="4264"/>
      <c r="BM126" s="4268"/>
      <c r="BN126" s="4268"/>
      <c r="BO126" s="4268"/>
      <c r="BP126" s="4141"/>
      <c r="BQ126" s="4144"/>
    </row>
    <row r="127" spans="1:69" ht="84" customHeight="1" x14ac:dyDescent="0.2">
      <c r="A127" s="1857"/>
      <c r="B127" s="1858"/>
      <c r="C127" s="1859"/>
      <c r="D127" s="1860"/>
      <c r="E127" s="1860"/>
      <c r="F127" s="1859"/>
      <c r="G127" s="1857"/>
      <c r="H127" s="1860"/>
      <c r="I127" s="1859"/>
      <c r="J127" s="4154"/>
      <c r="K127" s="4148"/>
      <c r="L127" s="4148"/>
      <c r="M127" s="4154"/>
      <c r="N127" s="1880" t="s">
        <v>1615</v>
      </c>
      <c r="O127" s="4154"/>
      <c r="P127" s="4148"/>
      <c r="Q127" s="4205"/>
      <c r="R127" s="2908"/>
      <c r="S127" s="4148"/>
      <c r="T127" s="4186" t="s">
        <v>1616</v>
      </c>
      <c r="U127" s="1881" t="s">
        <v>1617</v>
      </c>
      <c r="V127" s="608">
        <v>7931800</v>
      </c>
      <c r="W127" s="608">
        <v>0</v>
      </c>
      <c r="X127" s="608">
        <v>0</v>
      </c>
      <c r="Y127" s="1852">
        <v>113</v>
      </c>
      <c r="Z127" s="1875" t="s">
        <v>1611</v>
      </c>
      <c r="AA127" s="4266"/>
      <c r="AB127" s="4266"/>
      <c r="AC127" s="4266"/>
      <c r="AD127" s="4266"/>
      <c r="AE127" s="4266"/>
      <c r="AF127" s="4266"/>
      <c r="AG127" s="4266"/>
      <c r="AH127" s="4266"/>
      <c r="AI127" s="4266"/>
      <c r="AJ127" s="4266"/>
      <c r="AK127" s="4266"/>
      <c r="AL127" s="4266"/>
      <c r="AM127" s="4266"/>
      <c r="AN127" s="4266"/>
      <c r="AO127" s="4266"/>
      <c r="AP127" s="4266"/>
      <c r="AQ127" s="4266"/>
      <c r="AR127" s="4266"/>
      <c r="AS127" s="4266"/>
      <c r="AT127" s="4266"/>
      <c r="AU127" s="4266"/>
      <c r="AV127" s="4266"/>
      <c r="AW127" s="4266"/>
      <c r="AX127" s="4266"/>
      <c r="AY127" s="4266"/>
      <c r="AZ127" s="4266"/>
      <c r="BA127" s="4266"/>
      <c r="BB127" s="4266"/>
      <c r="BC127" s="4266"/>
      <c r="BD127" s="4266"/>
      <c r="BE127" s="4266"/>
      <c r="BF127" s="4266"/>
      <c r="BG127" s="4266"/>
      <c r="BH127" s="4266"/>
      <c r="BI127" s="4266"/>
      <c r="BJ127" s="4270"/>
      <c r="BK127" s="4266"/>
      <c r="BL127" s="4264"/>
      <c r="BM127" s="4268"/>
      <c r="BN127" s="4268"/>
      <c r="BO127" s="4268"/>
      <c r="BP127" s="4141"/>
      <c r="BQ127" s="4144"/>
    </row>
    <row r="128" spans="1:69" ht="34.5" customHeight="1" x14ac:dyDescent="0.2">
      <c r="A128" s="1857"/>
      <c r="B128" s="1858"/>
      <c r="C128" s="1859"/>
      <c r="D128" s="1860"/>
      <c r="E128" s="1860"/>
      <c r="F128" s="1859"/>
      <c r="G128" s="1857"/>
      <c r="H128" s="1860"/>
      <c r="I128" s="1859"/>
      <c r="J128" s="4154"/>
      <c r="K128" s="4148"/>
      <c r="L128" s="4148"/>
      <c r="M128" s="4154"/>
      <c r="N128" s="1880"/>
      <c r="O128" s="4154"/>
      <c r="P128" s="4148"/>
      <c r="Q128" s="4205"/>
      <c r="R128" s="2908"/>
      <c r="S128" s="4148"/>
      <c r="T128" s="4186"/>
      <c r="U128" s="4278" t="s">
        <v>1618</v>
      </c>
      <c r="V128" s="608">
        <v>535750</v>
      </c>
      <c r="W128" s="608">
        <v>535750</v>
      </c>
      <c r="X128" s="608">
        <v>0</v>
      </c>
      <c r="Y128" s="1852">
        <v>61</v>
      </c>
      <c r="Z128" s="1875" t="s">
        <v>1609</v>
      </c>
      <c r="AA128" s="4266"/>
      <c r="AB128" s="4266"/>
      <c r="AC128" s="4266"/>
      <c r="AD128" s="4266"/>
      <c r="AE128" s="4266"/>
      <c r="AF128" s="4266"/>
      <c r="AG128" s="4266"/>
      <c r="AH128" s="4266"/>
      <c r="AI128" s="4266"/>
      <c r="AJ128" s="4266"/>
      <c r="AK128" s="4266"/>
      <c r="AL128" s="4266"/>
      <c r="AM128" s="4266"/>
      <c r="AN128" s="4266"/>
      <c r="AO128" s="4266"/>
      <c r="AP128" s="4266"/>
      <c r="AQ128" s="4266"/>
      <c r="AR128" s="4266"/>
      <c r="AS128" s="4266"/>
      <c r="AT128" s="4266"/>
      <c r="AU128" s="4266"/>
      <c r="AV128" s="4266"/>
      <c r="AW128" s="4266"/>
      <c r="AX128" s="4266"/>
      <c r="AY128" s="4266"/>
      <c r="AZ128" s="4266"/>
      <c r="BA128" s="4266"/>
      <c r="BB128" s="4266"/>
      <c r="BC128" s="4266"/>
      <c r="BD128" s="4266"/>
      <c r="BE128" s="4266"/>
      <c r="BF128" s="4266"/>
      <c r="BG128" s="4266"/>
      <c r="BH128" s="4266"/>
      <c r="BI128" s="4266"/>
      <c r="BJ128" s="4270"/>
      <c r="BK128" s="4266"/>
      <c r="BL128" s="4264"/>
      <c r="BM128" s="4268"/>
      <c r="BN128" s="4268"/>
      <c r="BO128" s="4268"/>
      <c r="BP128" s="4141"/>
      <c r="BQ128" s="4144"/>
    </row>
    <row r="129" spans="1:2745" ht="34.5" customHeight="1" x14ac:dyDescent="0.2">
      <c r="A129" s="1857"/>
      <c r="B129" s="1858"/>
      <c r="C129" s="1859"/>
      <c r="D129" s="1860"/>
      <c r="E129" s="1860"/>
      <c r="F129" s="1859"/>
      <c r="G129" s="1857"/>
      <c r="H129" s="1860"/>
      <c r="I129" s="1859"/>
      <c r="J129" s="4154"/>
      <c r="K129" s="4148"/>
      <c r="L129" s="4148"/>
      <c r="M129" s="4154"/>
      <c r="N129" s="1880"/>
      <c r="O129" s="4154"/>
      <c r="P129" s="4148"/>
      <c r="Q129" s="4205"/>
      <c r="R129" s="2908"/>
      <c r="S129" s="4148"/>
      <c r="T129" s="4186"/>
      <c r="U129" s="4279"/>
      <c r="V129" s="608">
        <v>1740786</v>
      </c>
      <c r="W129" s="608">
        <v>0</v>
      </c>
      <c r="X129" s="608">
        <v>0</v>
      </c>
      <c r="Y129" s="1852">
        <v>113</v>
      </c>
      <c r="Z129" s="948" t="s">
        <v>1611</v>
      </c>
      <c r="AA129" s="4266"/>
      <c r="AB129" s="4266"/>
      <c r="AC129" s="4266"/>
      <c r="AD129" s="4266"/>
      <c r="AE129" s="4266"/>
      <c r="AF129" s="4266"/>
      <c r="AG129" s="4266"/>
      <c r="AH129" s="4266"/>
      <c r="AI129" s="4266"/>
      <c r="AJ129" s="4266"/>
      <c r="AK129" s="4266"/>
      <c r="AL129" s="4266"/>
      <c r="AM129" s="4266"/>
      <c r="AN129" s="4266"/>
      <c r="AO129" s="4266"/>
      <c r="AP129" s="4266"/>
      <c r="AQ129" s="4266"/>
      <c r="AR129" s="4266"/>
      <c r="AS129" s="4266"/>
      <c r="AT129" s="4266"/>
      <c r="AU129" s="4266"/>
      <c r="AV129" s="4266"/>
      <c r="AW129" s="4266"/>
      <c r="AX129" s="4266"/>
      <c r="AY129" s="4266"/>
      <c r="AZ129" s="4266"/>
      <c r="BA129" s="4266"/>
      <c r="BB129" s="4266"/>
      <c r="BC129" s="4266"/>
      <c r="BD129" s="4266"/>
      <c r="BE129" s="4266"/>
      <c r="BF129" s="4266"/>
      <c r="BG129" s="4266"/>
      <c r="BH129" s="4266"/>
      <c r="BI129" s="4266"/>
      <c r="BJ129" s="4270"/>
      <c r="BK129" s="4266"/>
      <c r="BL129" s="4264"/>
      <c r="BM129" s="4268"/>
      <c r="BN129" s="4268"/>
      <c r="BO129" s="4268"/>
      <c r="BP129" s="4141"/>
      <c r="BQ129" s="4144"/>
    </row>
    <row r="130" spans="1:2745" ht="34.5" customHeight="1" x14ac:dyDescent="0.2">
      <c r="A130" s="1857"/>
      <c r="B130" s="1858"/>
      <c r="C130" s="1859"/>
      <c r="D130" s="1860"/>
      <c r="E130" s="1860"/>
      <c r="F130" s="1859"/>
      <c r="G130" s="1857"/>
      <c r="H130" s="1860"/>
      <c r="I130" s="1859"/>
      <c r="J130" s="4154"/>
      <c r="K130" s="4148"/>
      <c r="L130" s="4148"/>
      <c r="M130" s="4154"/>
      <c r="N130" s="1880" t="s">
        <v>1619</v>
      </c>
      <c r="O130" s="4154"/>
      <c r="P130" s="4148"/>
      <c r="Q130" s="4205"/>
      <c r="R130" s="2908"/>
      <c r="S130" s="4148"/>
      <c r="T130" s="4186"/>
      <c r="U130" s="4280"/>
      <c r="V130" s="608">
        <v>119949</v>
      </c>
      <c r="W130" s="608">
        <v>0</v>
      </c>
      <c r="X130" s="608">
        <v>0</v>
      </c>
      <c r="Y130" s="1852">
        <v>114</v>
      </c>
      <c r="Z130" s="1875" t="s">
        <v>1620</v>
      </c>
      <c r="AA130" s="4266"/>
      <c r="AB130" s="4266"/>
      <c r="AC130" s="4266"/>
      <c r="AD130" s="4266"/>
      <c r="AE130" s="4266"/>
      <c r="AF130" s="4266"/>
      <c r="AG130" s="4266"/>
      <c r="AH130" s="4266"/>
      <c r="AI130" s="4266"/>
      <c r="AJ130" s="4266"/>
      <c r="AK130" s="4266"/>
      <c r="AL130" s="4266"/>
      <c r="AM130" s="4266"/>
      <c r="AN130" s="4266"/>
      <c r="AO130" s="4266"/>
      <c r="AP130" s="4266"/>
      <c r="AQ130" s="4266"/>
      <c r="AR130" s="4266"/>
      <c r="AS130" s="4266"/>
      <c r="AT130" s="4266"/>
      <c r="AU130" s="4266"/>
      <c r="AV130" s="4266"/>
      <c r="AW130" s="4266"/>
      <c r="AX130" s="4266"/>
      <c r="AY130" s="4266"/>
      <c r="AZ130" s="4266"/>
      <c r="BA130" s="4266"/>
      <c r="BB130" s="4266"/>
      <c r="BC130" s="4266"/>
      <c r="BD130" s="4266"/>
      <c r="BE130" s="4266"/>
      <c r="BF130" s="4266"/>
      <c r="BG130" s="4266"/>
      <c r="BH130" s="4266"/>
      <c r="BI130" s="4266"/>
      <c r="BJ130" s="4270"/>
      <c r="BK130" s="4266"/>
      <c r="BL130" s="4264"/>
      <c r="BM130" s="4268"/>
      <c r="BN130" s="4268"/>
      <c r="BO130" s="4268"/>
      <c r="BP130" s="4141"/>
      <c r="BQ130" s="4144"/>
    </row>
    <row r="131" spans="1:2745" ht="34.5" customHeight="1" x14ac:dyDescent="0.2">
      <c r="A131" s="1857"/>
      <c r="B131" s="1858"/>
      <c r="C131" s="1859"/>
      <c r="D131" s="1860"/>
      <c r="E131" s="1860"/>
      <c r="F131" s="1859"/>
      <c r="G131" s="1857"/>
      <c r="H131" s="1860"/>
      <c r="I131" s="1859"/>
      <c r="J131" s="4154"/>
      <c r="K131" s="4148"/>
      <c r="L131" s="4148"/>
      <c r="M131" s="4154"/>
      <c r="N131" s="1880"/>
      <c r="O131" s="4154"/>
      <c r="P131" s="4148"/>
      <c r="Q131" s="4205"/>
      <c r="R131" s="2908"/>
      <c r="S131" s="4148"/>
      <c r="T131" s="4148" t="s">
        <v>1621</v>
      </c>
      <c r="U131" s="4257" t="s">
        <v>1622</v>
      </c>
      <c r="V131" s="608">
        <v>1874130</v>
      </c>
      <c r="W131" s="608">
        <v>1500000</v>
      </c>
      <c r="X131" s="608">
        <v>0</v>
      </c>
      <c r="Y131" s="1852">
        <v>61</v>
      </c>
      <c r="Z131" s="1875" t="s">
        <v>1609</v>
      </c>
      <c r="AA131" s="4266"/>
      <c r="AB131" s="4266"/>
      <c r="AC131" s="4266"/>
      <c r="AD131" s="4266"/>
      <c r="AE131" s="4266"/>
      <c r="AF131" s="4266"/>
      <c r="AG131" s="4266"/>
      <c r="AH131" s="4266"/>
      <c r="AI131" s="4266"/>
      <c r="AJ131" s="4266"/>
      <c r="AK131" s="4266"/>
      <c r="AL131" s="4266"/>
      <c r="AM131" s="4266"/>
      <c r="AN131" s="4266"/>
      <c r="AO131" s="4266"/>
      <c r="AP131" s="4266"/>
      <c r="AQ131" s="4266"/>
      <c r="AR131" s="4266"/>
      <c r="AS131" s="4266"/>
      <c r="AT131" s="4266"/>
      <c r="AU131" s="4266"/>
      <c r="AV131" s="4266"/>
      <c r="AW131" s="4266"/>
      <c r="AX131" s="4266"/>
      <c r="AY131" s="4266"/>
      <c r="AZ131" s="4266"/>
      <c r="BA131" s="4266"/>
      <c r="BB131" s="4266"/>
      <c r="BC131" s="4266"/>
      <c r="BD131" s="4266"/>
      <c r="BE131" s="4266"/>
      <c r="BF131" s="4266"/>
      <c r="BG131" s="4266"/>
      <c r="BH131" s="4266"/>
      <c r="BI131" s="4266"/>
      <c r="BJ131" s="4270"/>
      <c r="BK131" s="4266"/>
      <c r="BL131" s="4264"/>
      <c r="BM131" s="4268"/>
      <c r="BN131" s="4268"/>
      <c r="BO131" s="4268"/>
      <c r="BP131" s="4141"/>
      <c r="BQ131" s="4144"/>
    </row>
    <row r="132" spans="1:2745" ht="34.5" customHeight="1" x14ac:dyDescent="0.2">
      <c r="A132" s="1857"/>
      <c r="B132" s="1858"/>
      <c r="C132" s="1859"/>
      <c r="D132" s="1860"/>
      <c r="E132" s="1860"/>
      <c r="F132" s="1859"/>
      <c r="G132" s="1857"/>
      <c r="H132" s="1860"/>
      <c r="I132" s="1859"/>
      <c r="J132" s="4154"/>
      <c r="K132" s="4148"/>
      <c r="L132" s="4148"/>
      <c r="M132" s="4154"/>
      <c r="N132" s="1880"/>
      <c r="O132" s="4154"/>
      <c r="P132" s="4148"/>
      <c r="Q132" s="4205"/>
      <c r="R132" s="2908"/>
      <c r="S132" s="4148"/>
      <c r="T132" s="4148"/>
      <c r="U132" s="4258"/>
      <c r="V132" s="608">
        <v>3003943</v>
      </c>
      <c r="W132" s="608">
        <v>0</v>
      </c>
      <c r="X132" s="608">
        <v>0</v>
      </c>
      <c r="Y132" s="1852">
        <v>113</v>
      </c>
      <c r="Z132" s="948" t="s">
        <v>1611</v>
      </c>
      <c r="AA132" s="4266"/>
      <c r="AB132" s="4266"/>
      <c r="AC132" s="4266"/>
      <c r="AD132" s="4266"/>
      <c r="AE132" s="4266"/>
      <c r="AF132" s="4266"/>
      <c r="AG132" s="4266"/>
      <c r="AH132" s="4266"/>
      <c r="AI132" s="4266"/>
      <c r="AJ132" s="4266"/>
      <c r="AK132" s="4266"/>
      <c r="AL132" s="4266"/>
      <c r="AM132" s="4266"/>
      <c r="AN132" s="4266"/>
      <c r="AO132" s="4266"/>
      <c r="AP132" s="4266"/>
      <c r="AQ132" s="4266"/>
      <c r="AR132" s="4266"/>
      <c r="AS132" s="4266"/>
      <c r="AT132" s="4266"/>
      <c r="AU132" s="4266"/>
      <c r="AV132" s="4266"/>
      <c r="AW132" s="4266"/>
      <c r="AX132" s="4266"/>
      <c r="AY132" s="4266"/>
      <c r="AZ132" s="4266"/>
      <c r="BA132" s="4266"/>
      <c r="BB132" s="4266"/>
      <c r="BC132" s="4266"/>
      <c r="BD132" s="4266"/>
      <c r="BE132" s="4266"/>
      <c r="BF132" s="4266"/>
      <c r="BG132" s="4266"/>
      <c r="BH132" s="4266"/>
      <c r="BI132" s="4266"/>
      <c r="BJ132" s="4270"/>
      <c r="BK132" s="4266"/>
      <c r="BL132" s="4264"/>
      <c r="BM132" s="4268"/>
      <c r="BN132" s="4268"/>
      <c r="BO132" s="4268"/>
      <c r="BP132" s="4141"/>
      <c r="BQ132" s="4144"/>
    </row>
    <row r="133" spans="1:2745" ht="34.5" customHeight="1" x14ac:dyDescent="0.2">
      <c r="A133" s="1857"/>
      <c r="B133" s="1858"/>
      <c r="C133" s="1859"/>
      <c r="D133" s="1860"/>
      <c r="E133" s="1860"/>
      <c r="F133" s="1859"/>
      <c r="G133" s="1857"/>
      <c r="H133" s="1860"/>
      <c r="I133" s="1859"/>
      <c r="J133" s="4154"/>
      <c r="K133" s="4148"/>
      <c r="L133" s="4148"/>
      <c r="M133" s="4154"/>
      <c r="N133" s="1880"/>
      <c r="O133" s="4154"/>
      <c r="P133" s="4148"/>
      <c r="Q133" s="4205"/>
      <c r="R133" s="2908"/>
      <c r="S133" s="4148"/>
      <c r="T133" s="4148"/>
      <c r="U133" s="4259"/>
      <c r="V133" s="608">
        <v>248000</v>
      </c>
      <c r="W133" s="608">
        <v>0</v>
      </c>
      <c r="X133" s="608">
        <v>0</v>
      </c>
      <c r="Y133" s="1852">
        <v>114</v>
      </c>
      <c r="Z133" s="1875" t="s">
        <v>1620</v>
      </c>
      <c r="AA133" s="4266"/>
      <c r="AB133" s="4266"/>
      <c r="AC133" s="4266"/>
      <c r="AD133" s="4266"/>
      <c r="AE133" s="4266"/>
      <c r="AF133" s="4266"/>
      <c r="AG133" s="4266"/>
      <c r="AH133" s="4266"/>
      <c r="AI133" s="4266"/>
      <c r="AJ133" s="4266"/>
      <c r="AK133" s="4266"/>
      <c r="AL133" s="4266"/>
      <c r="AM133" s="4266"/>
      <c r="AN133" s="4266"/>
      <c r="AO133" s="4266"/>
      <c r="AP133" s="4266"/>
      <c r="AQ133" s="4266"/>
      <c r="AR133" s="4266"/>
      <c r="AS133" s="4266"/>
      <c r="AT133" s="4266"/>
      <c r="AU133" s="4266"/>
      <c r="AV133" s="4266"/>
      <c r="AW133" s="4266"/>
      <c r="AX133" s="4266"/>
      <c r="AY133" s="4266"/>
      <c r="AZ133" s="4266"/>
      <c r="BA133" s="4266"/>
      <c r="BB133" s="4266"/>
      <c r="BC133" s="4266"/>
      <c r="BD133" s="4266"/>
      <c r="BE133" s="4266"/>
      <c r="BF133" s="4266"/>
      <c r="BG133" s="4266"/>
      <c r="BH133" s="4266"/>
      <c r="BI133" s="4266"/>
      <c r="BJ133" s="4270"/>
      <c r="BK133" s="4266"/>
      <c r="BL133" s="4264"/>
      <c r="BM133" s="4268"/>
      <c r="BN133" s="4268"/>
      <c r="BO133" s="4268"/>
      <c r="BP133" s="4141"/>
      <c r="BQ133" s="4144"/>
    </row>
    <row r="134" spans="1:2745" ht="34.5" customHeight="1" x14ac:dyDescent="0.2">
      <c r="A134" s="1857"/>
      <c r="B134" s="1858"/>
      <c r="C134" s="1859"/>
      <c r="D134" s="1860"/>
      <c r="E134" s="1860"/>
      <c r="F134" s="1859"/>
      <c r="G134" s="1857"/>
      <c r="H134" s="1860"/>
      <c r="I134" s="1859"/>
      <c r="J134" s="4154"/>
      <c r="K134" s="4148"/>
      <c r="L134" s="4148"/>
      <c r="M134" s="4154"/>
      <c r="N134" s="1880"/>
      <c r="O134" s="4154"/>
      <c r="P134" s="4148"/>
      <c r="Q134" s="4205"/>
      <c r="R134" s="2908"/>
      <c r="S134" s="4148"/>
      <c r="T134" s="4148"/>
      <c r="U134" s="4257" t="s">
        <v>1623</v>
      </c>
      <c r="V134" s="608">
        <v>10712370</v>
      </c>
      <c r="W134" s="608">
        <v>5000000</v>
      </c>
      <c r="X134" s="608">
        <v>0</v>
      </c>
      <c r="Y134" s="1852">
        <v>61</v>
      </c>
      <c r="Z134" s="1875" t="s">
        <v>1609</v>
      </c>
      <c r="AA134" s="4266"/>
      <c r="AB134" s="4266"/>
      <c r="AC134" s="4266"/>
      <c r="AD134" s="4266"/>
      <c r="AE134" s="4266"/>
      <c r="AF134" s="4266"/>
      <c r="AG134" s="4266"/>
      <c r="AH134" s="4266"/>
      <c r="AI134" s="4266"/>
      <c r="AJ134" s="4266"/>
      <c r="AK134" s="4266"/>
      <c r="AL134" s="4266"/>
      <c r="AM134" s="4266"/>
      <c r="AN134" s="4266"/>
      <c r="AO134" s="4266"/>
      <c r="AP134" s="4266"/>
      <c r="AQ134" s="4266"/>
      <c r="AR134" s="4266"/>
      <c r="AS134" s="4266"/>
      <c r="AT134" s="4266"/>
      <c r="AU134" s="4266"/>
      <c r="AV134" s="4266"/>
      <c r="AW134" s="4266"/>
      <c r="AX134" s="4266"/>
      <c r="AY134" s="4266"/>
      <c r="AZ134" s="4266"/>
      <c r="BA134" s="4266"/>
      <c r="BB134" s="4266"/>
      <c r="BC134" s="4266"/>
      <c r="BD134" s="4266"/>
      <c r="BE134" s="4266"/>
      <c r="BF134" s="4266"/>
      <c r="BG134" s="4266"/>
      <c r="BH134" s="4266"/>
      <c r="BI134" s="4266"/>
      <c r="BJ134" s="4270"/>
      <c r="BK134" s="4266"/>
      <c r="BL134" s="4264"/>
      <c r="BM134" s="4268"/>
      <c r="BN134" s="4268"/>
      <c r="BO134" s="4268"/>
      <c r="BP134" s="4141"/>
      <c r="BQ134" s="4144"/>
    </row>
    <row r="135" spans="1:2745" ht="34.5" customHeight="1" x14ac:dyDescent="0.2">
      <c r="A135" s="1857"/>
      <c r="B135" s="1858"/>
      <c r="C135" s="1859"/>
      <c r="D135" s="1860"/>
      <c r="E135" s="1860"/>
      <c r="F135" s="1859"/>
      <c r="G135" s="1857"/>
      <c r="H135" s="1860"/>
      <c r="I135" s="1859"/>
      <c r="J135" s="4154"/>
      <c r="K135" s="4148"/>
      <c r="L135" s="4148"/>
      <c r="M135" s="4154"/>
      <c r="N135" s="1880"/>
      <c r="O135" s="4154"/>
      <c r="P135" s="4148"/>
      <c r="Q135" s="4205"/>
      <c r="R135" s="2908"/>
      <c r="S135" s="4148"/>
      <c r="T135" s="4148"/>
      <c r="U135" s="4258"/>
      <c r="V135" s="608">
        <v>39681264</v>
      </c>
      <c r="W135" s="608">
        <v>0</v>
      </c>
      <c r="X135" s="608">
        <v>0</v>
      </c>
      <c r="Y135" s="1852">
        <v>113</v>
      </c>
      <c r="Z135" s="1875" t="s">
        <v>1611</v>
      </c>
      <c r="AA135" s="4266"/>
      <c r="AB135" s="4266"/>
      <c r="AC135" s="4266"/>
      <c r="AD135" s="4266"/>
      <c r="AE135" s="4266"/>
      <c r="AF135" s="4266"/>
      <c r="AG135" s="4266"/>
      <c r="AH135" s="4266"/>
      <c r="AI135" s="4266"/>
      <c r="AJ135" s="4266"/>
      <c r="AK135" s="4266"/>
      <c r="AL135" s="4266"/>
      <c r="AM135" s="4266"/>
      <c r="AN135" s="4266"/>
      <c r="AO135" s="4266"/>
      <c r="AP135" s="4266"/>
      <c r="AQ135" s="4266"/>
      <c r="AR135" s="4266"/>
      <c r="AS135" s="4266"/>
      <c r="AT135" s="4266"/>
      <c r="AU135" s="4266"/>
      <c r="AV135" s="4266"/>
      <c r="AW135" s="4266"/>
      <c r="AX135" s="4266"/>
      <c r="AY135" s="4266"/>
      <c r="AZ135" s="4266"/>
      <c r="BA135" s="4266"/>
      <c r="BB135" s="4266"/>
      <c r="BC135" s="4266"/>
      <c r="BD135" s="4266"/>
      <c r="BE135" s="4266"/>
      <c r="BF135" s="4266"/>
      <c r="BG135" s="4266"/>
      <c r="BH135" s="4266"/>
      <c r="BI135" s="4266"/>
      <c r="BJ135" s="4270"/>
      <c r="BK135" s="4266"/>
      <c r="BL135" s="4264"/>
      <c r="BM135" s="4268"/>
      <c r="BN135" s="4268"/>
      <c r="BO135" s="4268"/>
      <c r="BP135" s="4141"/>
      <c r="BQ135" s="4144"/>
    </row>
    <row r="136" spans="1:2745" ht="34.5" customHeight="1" x14ac:dyDescent="0.2">
      <c r="A136" s="1857"/>
      <c r="B136" s="1858"/>
      <c r="C136" s="1859"/>
      <c r="D136" s="1860"/>
      <c r="E136" s="1860"/>
      <c r="F136" s="1859"/>
      <c r="G136" s="1857"/>
      <c r="H136" s="1860"/>
      <c r="I136" s="1859"/>
      <c r="J136" s="4154"/>
      <c r="K136" s="4148"/>
      <c r="L136" s="4148"/>
      <c r="M136" s="4154"/>
      <c r="N136" s="1880"/>
      <c r="O136" s="4154"/>
      <c r="P136" s="4148"/>
      <c r="Q136" s="4205"/>
      <c r="R136" s="2908"/>
      <c r="S136" s="4148"/>
      <c r="T136" s="4148"/>
      <c r="U136" s="4259"/>
      <c r="V136" s="608">
        <v>4214839</v>
      </c>
      <c r="W136" s="608">
        <v>0</v>
      </c>
      <c r="X136" s="608">
        <v>0</v>
      </c>
      <c r="Y136" s="1852">
        <v>114</v>
      </c>
      <c r="Z136" s="1875" t="s">
        <v>1620</v>
      </c>
      <c r="AA136" s="4266"/>
      <c r="AB136" s="4266"/>
      <c r="AC136" s="4266"/>
      <c r="AD136" s="4266"/>
      <c r="AE136" s="4266"/>
      <c r="AF136" s="4266"/>
      <c r="AG136" s="4266"/>
      <c r="AH136" s="4266"/>
      <c r="AI136" s="4266"/>
      <c r="AJ136" s="4266"/>
      <c r="AK136" s="4266"/>
      <c r="AL136" s="4266"/>
      <c r="AM136" s="4266"/>
      <c r="AN136" s="4266"/>
      <c r="AO136" s="4266"/>
      <c r="AP136" s="4266"/>
      <c r="AQ136" s="4266"/>
      <c r="AR136" s="4266"/>
      <c r="AS136" s="4266"/>
      <c r="AT136" s="4266"/>
      <c r="AU136" s="4266"/>
      <c r="AV136" s="4266"/>
      <c r="AW136" s="4266"/>
      <c r="AX136" s="4266"/>
      <c r="AY136" s="4266"/>
      <c r="AZ136" s="4266"/>
      <c r="BA136" s="4266"/>
      <c r="BB136" s="4266"/>
      <c r="BC136" s="4266"/>
      <c r="BD136" s="4266"/>
      <c r="BE136" s="4266"/>
      <c r="BF136" s="4266"/>
      <c r="BG136" s="4266"/>
      <c r="BH136" s="4266"/>
      <c r="BI136" s="4266"/>
      <c r="BJ136" s="4270"/>
      <c r="BK136" s="4266"/>
      <c r="BL136" s="4264"/>
      <c r="BM136" s="4268"/>
      <c r="BN136" s="4268"/>
      <c r="BO136" s="4268"/>
      <c r="BP136" s="4141"/>
      <c r="BQ136" s="4144"/>
    </row>
    <row r="137" spans="1:2745" ht="34.5" customHeight="1" x14ac:dyDescent="0.2">
      <c r="A137" s="1857"/>
      <c r="B137" s="1858"/>
      <c r="C137" s="1859"/>
      <c r="D137" s="1860"/>
      <c r="E137" s="1860"/>
      <c r="F137" s="1859"/>
      <c r="G137" s="1857"/>
      <c r="H137" s="1860"/>
      <c r="I137" s="1859"/>
      <c r="J137" s="4154"/>
      <c r="K137" s="4148"/>
      <c r="L137" s="4148"/>
      <c r="M137" s="4154"/>
      <c r="N137" s="1880"/>
      <c r="O137" s="4154"/>
      <c r="P137" s="4148"/>
      <c r="Q137" s="4205"/>
      <c r="R137" s="2908"/>
      <c r="S137" s="4148"/>
      <c r="T137" s="4148"/>
      <c r="U137" s="1882" t="s">
        <v>1624</v>
      </c>
      <c r="V137" s="608">
        <v>17860000</v>
      </c>
      <c r="W137" s="608"/>
      <c r="X137" s="608">
        <v>0</v>
      </c>
      <c r="Y137" s="1852">
        <v>113</v>
      </c>
      <c r="Z137" s="948" t="s">
        <v>1611</v>
      </c>
      <c r="AA137" s="4266"/>
      <c r="AB137" s="4266"/>
      <c r="AC137" s="4266"/>
      <c r="AD137" s="4266"/>
      <c r="AE137" s="4266"/>
      <c r="AF137" s="4266"/>
      <c r="AG137" s="4266"/>
      <c r="AH137" s="4266"/>
      <c r="AI137" s="4266"/>
      <c r="AJ137" s="4266"/>
      <c r="AK137" s="4266"/>
      <c r="AL137" s="4266"/>
      <c r="AM137" s="4266"/>
      <c r="AN137" s="4266"/>
      <c r="AO137" s="4266"/>
      <c r="AP137" s="4266"/>
      <c r="AQ137" s="4266"/>
      <c r="AR137" s="4266"/>
      <c r="AS137" s="4266"/>
      <c r="AT137" s="4266"/>
      <c r="AU137" s="4266"/>
      <c r="AV137" s="4266"/>
      <c r="AW137" s="4266"/>
      <c r="AX137" s="4266"/>
      <c r="AY137" s="4266"/>
      <c r="AZ137" s="4266"/>
      <c r="BA137" s="4266"/>
      <c r="BB137" s="4266"/>
      <c r="BC137" s="4266"/>
      <c r="BD137" s="4266"/>
      <c r="BE137" s="4266"/>
      <c r="BF137" s="4266"/>
      <c r="BG137" s="4266"/>
      <c r="BH137" s="4266"/>
      <c r="BI137" s="4266"/>
      <c r="BJ137" s="4270"/>
      <c r="BK137" s="4266"/>
      <c r="BL137" s="4264"/>
      <c r="BM137" s="4268"/>
      <c r="BN137" s="4268"/>
      <c r="BO137" s="4268"/>
      <c r="BP137" s="4141"/>
      <c r="BQ137" s="4144"/>
    </row>
    <row r="138" spans="1:2745" ht="34.5" customHeight="1" x14ac:dyDescent="0.2">
      <c r="A138" s="1857"/>
      <c r="B138" s="1858"/>
      <c r="C138" s="1859"/>
      <c r="D138" s="1860"/>
      <c r="E138" s="1860"/>
      <c r="F138" s="1859"/>
      <c r="G138" s="1857"/>
      <c r="H138" s="1860"/>
      <c r="I138" s="1859"/>
      <c r="J138" s="4154"/>
      <c r="K138" s="4148"/>
      <c r="L138" s="4148"/>
      <c r="M138" s="4154"/>
      <c r="N138" s="1880"/>
      <c r="O138" s="4154"/>
      <c r="P138" s="4148"/>
      <c r="Q138" s="4205"/>
      <c r="R138" s="2908"/>
      <c r="S138" s="4148"/>
      <c r="T138" s="4148"/>
      <c r="U138" s="4257" t="s">
        <v>1625</v>
      </c>
      <c r="V138" s="608">
        <v>9641250</v>
      </c>
      <c r="W138" s="608">
        <v>7200000</v>
      </c>
      <c r="X138" s="608">
        <v>0</v>
      </c>
      <c r="Y138" s="1852">
        <v>61</v>
      </c>
      <c r="Z138" s="1875" t="s">
        <v>1609</v>
      </c>
      <c r="AA138" s="4266"/>
      <c r="AB138" s="4266"/>
      <c r="AC138" s="4266"/>
      <c r="AD138" s="4266"/>
      <c r="AE138" s="4266"/>
      <c r="AF138" s="4266"/>
      <c r="AG138" s="4266"/>
      <c r="AH138" s="4266"/>
      <c r="AI138" s="4266"/>
      <c r="AJ138" s="4266"/>
      <c r="AK138" s="4266"/>
      <c r="AL138" s="4266"/>
      <c r="AM138" s="4266"/>
      <c r="AN138" s="4266"/>
      <c r="AO138" s="4266"/>
      <c r="AP138" s="4266"/>
      <c r="AQ138" s="4266"/>
      <c r="AR138" s="4266"/>
      <c r="AS138" s="4266"/>
      <c r="AT138" s="4266"/>
      <c r="AU138" s="4266"/>
      <c r="AV138" s="4266"/>
      <c r="AW138" s="4266"/>
      <c r="AX138" s="4266"/>
      <c r="AY138" s="4266"/>
      <c r="AZ138" s="4266"/>
      <c r="BA138" s="4266"/>
      <c r="BB138" s="4266"/>
      <c r="BC138" s="4266"/>
      <c r="BD138" s="4266"/>
      <c r="BE138" s="4266"/>
      <c r="BF138" s="4266"/>
      <c r="BG138" s="4266"/>
      <c r="BH138" s="4266"/>
      <c r="BI138" s="4266"/>
      <c r="BJ138" s="4270"/>
      <c r="BK138" s="4266"/>
      <c r="BL138" s="4264"/>
      <c r="BM138" s="4268"/>
      <c r="BN138" s="4268"/>
      <c r="BO138" s="4268"/>
      <c r="BP138" s="4141"/>
      <c r="BQ138" s="4144"/>
    </row>
    <row r="139" spans="1:2745" ht="34.5" customHeight="1" x14ac:dyDescent="0.2">
      <c r="A139" s="1857"/>
      <c r="B139" s="1858"/>
      <c r="C139" s="1859"/>
      <c r="D139" s="1860"/>
      <c r="E139" s="1860"/>
      <c r="F139" s="1859"/>
      <c r="G139" s="1857"/>
      <c r="H139" s="1860"/>
      <c r="I139" s="1859"/>
      <c r="J139" s="4154"/>
      <c r="K139" s="4148"/>
      <c r="L139" s="4148"/>
      <c r="M139" s="4154"/>
      <c r="N139" s="1880"/>
      <c r="O139" s="4154"/>
      <c r="P139" s="4148"/>
      <c r="Q139" s="4205"/>
      <c r="R139" s="2908"/>
      <c r="S139" s="4148"/>
      <c r="T139" s="4148"/>
      <c r="U139" s="4258"/>
      <c r="V139" s="608">
        <v>20836704</v>
      </c>
      <c r="W139" s="608"/>
      <c r="X139" s="608"/>
      <c r="Y139" s="1852">
        <v>113</v>
      </c>
      <c r="Z139" s="1875" t="s">
        <v>1611</v>
      </c>
      <c r="AA139" s="4266"/>
      <c r="AB139" s="4266"/>
      <c r="AC139" s="4266"/>
      <c r="AD139" s="4266"/>
      <c r="AE139" s="4266"/>
      <c r="AF139" s="4266"/>
      <c r="AG139" s="4266"/>
      <c r="AH139" s="4266"/>
      <c r="AI139" s="4266"/>
      <c r="AJ139" s="4266"/>
      <c r="AK139" s="4266"/>
      <c r="AL139" s="4266"/>
      <c r="AM139" s="4266"/>
      <c r="AN139" s="4266"/>
      <c r="AO139" s="4266"/>
      <c r="AP139" s="4266"/>
      <c r="AQ139" s="4266"/>
      <c r="AR139" s="4266"/>
      <c r="AS139" s="4266"/>
      <c r="AT139" s="4266"/>
      <c r="AU139" s="4266"/>
      <c r="AV139" s="4266"/>
      <c r="AW139" s="4266"/>
      <c r="AX139" s="4266"/>
      <c r="AY139" s="4266"/>
      <c r="AZ139" s="4266"/>
      <c r="BA139" s="4266"/>
      <c r="BB139" s="4266"/>
      <c r="BC139" s="4266"/>
      <c r="BD139" s="4266"/>
      <c r="BE139" s="4266"/>
      <c r="BF139" s="4266"/>
      <c r="BG139" s="4266"/>
      <c r="BH139" s="4266"/>
      <c r="BI139" s="4266"/>
      <c r="BJ139" s="4270"/>
      <c r="BK139" s="4266"/>
      <c r="BL139" s="4264"/>
      <c r="BM139" s="4268"/>
      <c r="BN139" s="4268"/>
      <c r="BO139" s="4268"/>
      <c r="BP139" s="4141"/>
      <c r="BQ139" s="4144"/>
    </row>
    <row r="140" spans="1:2745" ht="34.5" customHeight="1" x14ac:dyDescent="0.2">
      <c r="A140" s="1857"/>
      <c r="B140" s="1858"/>
      <c r="C140" s="1859"/>
      <c r="D140" s="1860"/>
      <c r="E140" s="1860"/>
      <c r="F140" s="1859"/>
      <c r="G140" s="1857"/>
      <c r="H140" s="1860"/>
      <c r="I140" s="1859"/>
      <c r="J140" s="4154"/>
      <c r="K140" s="4148"/>
      <c r="L140" s="4148"/>
      <c r="M140" s="4154"/>
      <c r="N140" s="1880"/>
      <c r="O140" s="4154"/>
      <c r="P140" s="4148"/>
      <c r="Q140" s="4205"/>
      <c r="R140" s="2908"/>
      <c r="S140" s="4148"/>
      <c r="T140" s="4148"/>
      <c r="U140" s="4259"/>
      <c r="V140" s="608">
        <v>7440025</v>
      </c>
      <c r="W140" s="608"/>
      <c r="X140" s="608"/>
      <c r="Y140" s="1852">
        <v>114</v>
      </c>
      <c r="Z140" s="1875" t="s">
        <v>1620</v>
      </c>
      <c r="AA140" s="4266"/>
      <c r="AB140" s="4266"/>
      <c r="AC140" s="4266"/>
      <c r="AD140" s="4266"/>
      <c r="AE140" s="4266"/>
      <c r="AF140" s="4266"/>
      <c r="AG140" s="4266"/>
      <c r="AH140" s="4266"/>
      <c r="AI140" s="4266"/>
      <c r="AJ140" s="4266"/>
      <c r="AK140" s="4266"/>
      <c r="AL140" s="4266"/>
      <c r="AM140" s="4266"/>
      <c r="AN140" s="4266"/>
      <c r="AO140" s="4266"/>
      <c r="AP140" s="4266"/>
      <c r="AQ140" s="4266"/>
      <c r="AR140" s="4266"/>
      <c r="AS140" s="4266"/>
      <c r="AT140" s="4266"/>
      <c r="AU140" s="4266"/>
      <c r="AV140" s="4266"/>
      <c r="AW140" s="4266"/>
      <c r="AX140" s="4266"/>
      <c r="AY140" s="4266"/>
      <c r="AZ140" s="4266"/>
      <c r="BA140" s="4266"/>
      <c r="BB140" s="4266"/>
      <c r="BC140" s="4266"/>
      <c r="BD140" s="4266"/>
      <c r="BE140" s="4266"/>
      <c r="BF140" s="4266"/>
      <c r="BG140" s="4266"/>
      <c r="BH140" s="4266"/>
      <c r="BI140" s="4266"/>
      <c r="BJ140" s="4270"/>
      <c r="BK140" s="4266"/>
      <c r="BL140" s="4264"/>
      <c r="BM140" s="4268"/>
      <c r="BN140" s="4268"/>
      <c r="BO140" s="4268"/>
      <c r="BP140" s="4141"/>
      <c r="BQ140" s="4144"/>
    </row>
    <row r="141" spans="1:2745" ht="34.5" customHeight="1" x14ac:dyDescent="0.2">
      <c r="A141" s="1857"/>
      <c r="B141" s="1858"/>
      <c r="C141" s="1859"/>
      <c r="D141" s="1860"/>
      <c r="E141" s="1860"/>
      <c r="F141" s="1859"/>
      <c r="G141" s="1857"/>
      <c r="H141" s="1860"/>
      <c r="I141" s="1859"/>
      <c r="J141" s="4154"/>
      <c r="K141" s="4148"/>
      <c r="L141" s="4148"/>
      <c r="M141" s="4154"/>
      <c r="N141" s="1880"/>
      <c r="O141" s="4154"/>
      <c r="P141" s="4148"/>
      <c r="Q141" s="4205"/>
      <c r="R141" s="2908"/>
      <c r="S141" s="4148"/>
      <c r="T141" s="4148"/>
      <c r="U141" s="4257" t="s">
        <v>1626</v>
      </c>
      <c r="V141" s="608">
        <v>9641250</v>
      </c>
      <c r="W141" s="608">
        <v>1150000</v>
      </c>
      <c r="X141" s="608"/>
      <c r="Y141" s="1852">
        <v>61</v>
      </c>
      <c r="Z141" s="1875" t="s">
        <v>1609</v>
      </c>
      <c r="AA141" s="4266"/>
      <c r="AB141" s="4266"/>
      <c r="AC141" s="4266"/>
      <c r="AD141" s="4266"/>
      <c r="AE141" s="4266"/>
      <c r="AF141" s="4266"/>
      <c r="AG141" s="4266"/>
      <c r="AH141" s="4266"/>
      <c r="AI141" s="4266"/>
      <c r="AJ141" s="4266"/>
      <c r="AK141" s="4266"/>
      <c r="AL141" s="4266"/>
      <c r="AM141" s="4266"/>
      <c r="AN141" s="4266"/>
      <c r="AO141" s="4266"/>
      <c r="AP141" s="4266"/>
      <c r="AQ141" s="4266"/>
      <c r="AR141" s="4266"/>
      <c r="AS141" s="4266"/>
      <c r="AT141" s="4266"/>
      <c r="AU141" s="4266"/>
      <c r="AV141" s="4266"/>
      <c r="AW141" s="4266"/>
      <c r="AX141" s="4266"/>
      <c r="AY141" s="4266"/>
      <c r="AZ141" s="4266"/>
      <c r="BA141" s="4266"/>
      <c r="BB141" s="4266"/>
      <c r="BC141" s="4266"/>
      <c r="BD141" s="4266"/>
      <c r="BE141" s="4266"/>
      <c r="BF141" s="4266"/>
      <c r="BG141" s="4266"/>
      <c r="BH141" s="4266"/>
      <c r="BI141" s="4266"/>
      <c r="BJ141" s="4270"/>
      <c r="BK141" s="4266"/>
      <c r="BL141" s="4264"/>
      <c r="BM141" s="4268"/>
      <c r="BN141" s="4268"/>
      <c r="BO141" s="4268"/>
      <c r="BP141" s="4141"/>
      <c r="BQ141" s="4144"/>
    </row>
    <row r="142" spans="1:2745" ht="34.5" customHeight="1" x14ac:dyDescent="0.2">
      <c r="A142" s="1857"/>
      <c r="B142" s="1858"/>
      <c r="C142" s="1859"/>
      <c r="D142" s="1860"/>
      <c r="E142" s="1860"/>
      <c r="F142" s="1859"/>
      <c r="G142" s="1857"/>
      <c r="H142" s="1860"/>
      <c r="I142" s="1859"/>
      <c r="J142" s="4154"/>
      <c r="K142" s="4148"/>
      <c r="L142" s="4148"/>
      <c r="M142" s="4154"/>
      <c r="N142" s="1880"/>
      <c r="O142" s="4154"/>
      <c r="P142" s="4148"/>
      <c r="Q142" s="4205"/>
      <c r="R142" s="2908"/>
      <c r="S142" s="4148"/>
      <c r="T142" s="4148"/>
      <c r="U142" s="4258"/>
      <c r="V142" s="608">
        <v>20836705</v>
      </c>
      <c r="W142" s="608"/>
      <c r="X142" s="608"/>
      <c r="Y142" s="1852">
        <v>113</v>
      </c>
      <c r="Z142" s="1875" t="s">
        <v>1611</v>
      </c>
      <c r="AA142" s="4266"/>
      <c r="AB142" s="4266"/>
      <c r="AC142" s="4266"/>
      <c r="AD142" s="4266"/>
      <c r="AE142" s="4266"/>
      <c r="AF142" s="4266"/>
      <c r="AG142" s="4266"/>
      <c r="AH142" s="4266"/>
      <c r="AI142" s="4266"/>
      <c r="AJ142" s="4266"/>
      <c r="AK142" s="4266"/>
      <c r="AL142" s="4266"/>
      <c r="AM142" s="4266"/>
      <c r="AN142" s="4266"/>
      <c r="AO142" s="4266"/>
      <c r="AP142" s="4266"/>
      <c r="AQ142" s="4266"/>
      <c r="AR142" s="4266"/>
      <c r="AS142" s="4266"/>
      <c r="AT142" s="4266"/>
      <c r="AU142" s="4266"/>
      <c r="AV142" s="4266"/>
      <c r="AW142" s="4266"/>
      <c r="AX142" s="4266"/>
      <c r="AY142" s="4266"/>
      <c r="AZ142" s="4266"/>
      <c r="BA142" s="4266"/>
      <c r="BB142" s="4266"/>
      <c r="BC142" s="4266"/>
      <c r="BD142" s="4266"/>
      <c r="BE142" s="4266"/>
      <c r="BF142" s="4266"/>
      <c r="BG142" s="4266"/>
      <c r="BH142" s="4266"/>
      <c r="BI142" s="4266"/>
      <c r="BJ142" s="4270"/>
      <c r="BK142" s="4266"/>
      <c r="BL142" s="4264"/>
      <c r="BM142" s="4268"/>
      <c r="BN142" s="4268"/>
      <c r="BO142" s="4268"/>
      <c r="BP142" s="4141"/>
      <c r="BQ142" s="4144"/>
    </row>
    <row r="143" spans="1:2745" ht="34.5" customHeight="1" thickBot="1" x14ac:dyDescent="0.25">
      <c r="A143" s="1857"/>
      <c r="B143" s="1858"/>
      <c r="C143" s="1859"/>
      <c r="D143" s="1860"/>
      <c r="E143" s="1860"/>
      <c r="F143" s="1859"/>
      <c r="G143" s="1857"/>
      <c r="H143" s="1860"/>
      <c r="I143" s="1859"/>
      <c r="J143" s="4154"/>
      <c r="K143" s="4148"/>
      <c r="L143" s="4148"/>
      <c r="M143" s="4154"/>
      <c r="N143" s="1880"/>
      <c r="O143" s="4154"/>
      <c r="P143" s="4148"/>
      <c r="Q143" s="4205"/>
      <c r="R143" s="2908"/>
      <c r="S143" s="4148"/>
      <c r="T143" s="4148"/>
      <c r="U143" s="4260"/>
      <c r="V143" s="608">
        <v>7440025</v>
      </c>
      <c r="W143" s="608">
        <v>0</v>
      </c>
      <c r="X143" s="608">
        <v>0</v>
      </c>
      <c r="Y143" s="1852">
        <v>114</v>
      </c>
      <c r="Z143" s="1875" t="s">
        <v>1620</v>
      </c>
      <c r="AA143" s="4266"/>
      <c r="AB143" s="4266"/>
      <c r="AC143" s="4266"/>
      <c r="AD143" s="4266"/>
      <c r="AE143" s="4266"/>
      <c r="AF143" s="4266"/>
      <c r="AG143" s="4266"/>
      <c r="AH143" s="4266"/>
      <c r="AI143" s="4266"/>
      <c r="AJ143" s="4266"/>
      <c r="AK143" s="4266"/>
      <c r="AL143" s="4266"/>
      <c r="AM143" s="4266"/>
      <c r="AN143" s="4266"/>
      <c r="AO143" s="4266"/>
      <c r="AP143" s="4266"/>
      <c r="AQ143" s="4266"/>
      <c r="AR143" s="4266"/>
      <c r="AS143" s="4266"/>
      <c r="AT143" s="4266"/>
      <c r="AU143" s="4266"/>
      <c r="AV143" s="4266"/>
      <c r="AW143" s="4266"/>
      <c r="AX143" s="4266"/>
      <c r="AY143" s="4266"/>
      <c r="AZ143" s="4266"/>
      <c r="BA143" s="4266"/>
      <c r="BB143" s="4266"/>
      <c r="BC143" s="4266"/>
      <c r="BD143" s="4266"/>
      <c r="BE143" s="4266"/>
      <c r="BF143" s="4266"/>
      <c r="BG143" s="4266"/>
      <c r="BH143" s="4266"/>
      <c r="BI143" s="4266"/>
      <c r="BJ143" s="4270"/>
      <c r="BK143" s="4266"/>
      <c r="BL143" s="4264"/>
      <c r="BM143" s="4268"/>
      <c r="BN143" s="4268"/>
      <c r="BO143" s="4268"/>
      <c r="BP143" s="4141"/>
      <c r="BQ143" s="4144"/>
    </row>
    <row r="144" spans="1:2745" s="1887" customFormat="1" ht="56.25" customHeight="1" x14ac:dyDescent="0.2">
      <c r="A144" s="1869"/>
      <c r="B144" s="1870"/>
      <c r="C144" s="1871"/>
      <c r="D144" s="1872"/>
      <c r="E144" s="1872"/>
      <c r="F144" s="1871"/>
      <c r="G144" s="1872"/>
      <c r="H144" s="1872"/>
      <c r="I144" s="1871"/>
      <c r="J144" s="4261">
        <v>152</v>
      </c>
      <c r="K144" s="4262" t="s">
        <v>1627</v>
      </c>
      <c r="L144" s="4253"/>
      <c r="M144" s="4248"/>
      <c r="N144" s="4248" t="s">
        <v>1628</v>
      </c>
      <c r="O144" s="4248" t="s">
        <v>1629</v>
      </c>
      <c r="P144" s="4248" t="s">
        <v>1630</v>
      </c>
      <c r="Q144" s="1883">
        <f>V144/R144</f>
        <v>0.11262560204277135</v>
      </c>
      <c r="R144" s="4250">
        <f>SUM(V144:V147)</f>
        <v>2929870740</v>
      </c>
      <c r="S144" s="4253"/>
      <c r="T144" s="4256"/>
      <c r="U144" s="1884" t="s">
        <v>1631</v>
      </c>
      <c r="V144" s="1625">
        <v>329978456</v>
      </c>
      <c r="W144" s="1625"/>
      <c r="X144" s="1885">
        <v>0</v>
      </c>
      <c r="Y144" s="1886">
        <v>20</v>
      </c>
      <c r="Z144" s="1875" t="s">
        <v>70</v>
      </c>
      <c r="AA144" s="4212">
        <v>289394</v>
      </c>
      <c r="AB144" s="4212">
        <f>AA144*2.7</f>
        <v>781363.8</v>
      </c>
      <c r="AC144" s="4212">
        <v>279112</v>
      </c>
      <c r="AD144" s="4212">
        <f>AC144*2.7</f>
        <v>753602.4</v>
      </c>
      <c r="AE144" s="4212">
        <v>63164</v>
      </c>
      <c r="AF144" s="4212">
        <f>AE144*2.7</f>
        <v>170542.80000000002</v>
      </c>
      <c r="AG144" s="4212">
        <v>45607</v>
      </c>
      <c r="AH144" s="4212">
        <f>AG144*2.7</f>
        <v>123138.90000000001</v>
      </c>
      <c r="AI144" s="4212">
        <v>365607</v>
      </c>
      <c r="AJ144" s="4212">
        <f>AI144*2.7</f>
        <v>987138.9</v>
      </c>
      <c r="AK144" s="4212">
        <v>75612</v>
      </c>
      <c r="AL144" s="4212">
        <f>AK144*2.7</f>
        <v>204152.40000000002</v>
      </c>
      <c r="AM144" s="4212">
        <v>2145</v>
      </c>
      <c r="AN144" s="4212">
        <f>AM144*2.7</f>
        <v>5791.5</v>
      </c>
      <c r="AO144" s="4212">
        <v>12718</v>
      </c>
      <c r="AP144" s="4212">
        <f>AO144*2.7</f>
        <v>34338.600000000006</v>
      </c>
      <c r="AQ144" s="4212">
        <v>26</v>
      </c>
      <c r="AR144" s="4212">
        <f>AQ144*2.7</f>
        <v>70.2</v>
      </c>
      <c r="AS144" s="4212">
        <v>37</v>
      </c>
      <c r="AT144" s="4212">
        <f>AS144*2.7</f>
        <v>99.9</v>
      </c>
      <c r="AU144" s="4212">
        <v>0</v>
      </c>
      <c r="AV144" s="4212">
        <f>AU144*2.7</f>
        <v>0</v>
      </c>
      <c r="AW144" s="4212">
        <v>0</v>
      </c>
      <c r="AX144" s="4212">
        <f>AW144*2.7</f>
        <v>0</v>
      </c>
      <c r="AY144" s="4212">
        <v>78</v>
      </c>
      <c r="AZ144" s="4212">
        <f>AY144*2.7</f>
        <v>210.60000000000002</v>
      </c>
      <c r="BA144" s="4212">
        <v>16897</v>
      </c>
      <c r="BB144" s="4212">
        <f>BA144*2.7</f>
        <v>45621.9</v>
      </c>
      <c r="BC144" s="4212">
        <f>SUM('[4]P. 100'!$W$5+'[4]P. 100'!$X$5)</f>
        <v>852</v>
      </c>
      <c r="BD144" s="4212">
        <f>BC144*2.7</f>
        <v>2300.4</v>
      </c>
      <c r="BE144" s="4212">
        <f>SUM(AA144:AC144)</f>
        <v>1349869.8</v>
      </c>
      <c r="BF144" s="4212">
        <f>BE144*2.7</f>
        <v>3644648.4600000004</v>
      </c>
      <c r="BG144" s="4191">
        <v>1</v>
      </c>
      <c r="BH144" s="2856">
        <f>SUM(W144:W147)</f>
        <v>800000000</v>
      </c>
      <c r="BI144" s="4238">
        <f>SUM(X144:X147)</f>
        <v>0</v>
      </c>
      <c r="BJ144" s="4241">
        <f>SUM(BI144/R144)</f>
        <v>0</v>
      </c>
      <c r="BK144" s="4244">
        <v>20</v>
      </c>
      <c r="BL144" s="4247" t="s">
        <v>1466</v>
      </c>
      <c r="BM144" s="4229">
        <v>43914</v>
      </c>
      <c r="BN144" s="4229">
        <v>44196</v>
      </c>
      <c r="BO144" s="4229">
        <v>44196</v>
      </c>
      <c r="BP144" s="4232">
        <v>44196</v>
      </c>
      <c r="BQ144" s="4233" t="s">
        <v>1432</v>
      </c>
      <c r="BR144" s="1785"/>
      <c r="BS144" s="1785"/>
      <c r="BT144" s="1785"/>
      <c r="BU144" s="1785"/>
      <c r="BV144" s="1785"/>
      <c r="BW144" s="1785"/>
      <c r="BX144" s="1785"/>
      <c r="BY144" s="1785"/>
      <c r="BZ144" s="1785"/>
      <c r="CA144" s="1785"/>
      <c r="CB144" s="1785"/>
      <c r="CC144" s="1785"/>
      <c r="CD144" s="1785"/>
      <c r="CE144" s="1785"/>
      <c r="CF144" s="1785"/>
      <c r="CG144" s="1785"/>
      <c r="CH144" s="1785"/>
      <c r="CI144" s="1785"/>
      <c r="CJ144" s="1785"/>
      <c r="CK144" s="1785"/>
      <c r="CL144" s="1785"/>
      <c r="CM144" s="1785"/>
      <c r="CN144" s="1785"/>
      <c r="CO144" s="1785"/>
      <c r="CP144" s="1785"/>
      <c r="CQ144" s="1785"/>
      <c r="CR144" s="1785"/>
      <c r="CS144" s="1785"/>
      <c r="CT144" s="1785"/>
      <c r="CU144" s="1785"/>
      <c r="CV144" s="1785"/>
      <c r="CW144" s="1785"/>
      <c r="CX144" s="1785"/>
      <c r="CY144" s="1785"/>
      <c r="CZ144" s="1785"/>
      <c r="DA144" s="1785"/>
      <c r="DB144" s="1785"/>
      <c r="DC144" s="1785"/>
      <c r="DD144" s="1785"/>
      <c r="DE144" s="1785"/>
      <c r="DF144" s="1785"/>
      <c r="DG144" s="1785"/>
      <c r="DH144" s="1785"/>
      <c r="DI144" s="1785"/>
      <c r="DJ144" s="1785"/>
      <c r="DK144" s="1785"/>
      <c r="DL144" s="1785"/>
      <c r="DM144" s="1785"/>
      <c r="DN144" s="1785"/>
      <c r="DO144" s="1785"/>
      <c r="DP144" s="1785"/>
      <c r="DQ144" s="1785"/>
      <c r="DR144" s="1785"/>
      <c r="DS144" s="1785"/>
      <c r="DT144" s="1785"/>
      <c r="DU144" s="1785"/>
      <c r="FB144" s="1785"/>
      <c r="FC144" s="1785"/>
      <c r="FD144" s="1785"/>
      <c r="FE144" s="1785"/>
      <c r="FF144" s="1785"/>
      <c r="FG144" s="1785"/>
      <c r="FH144" s="1785"/>
      <c r="FI144" s="1785"/>
      <c r="FJ144" s="1785"/>
      <c r="FK144" s="1785"/>
      <c r="FL144" s="1785"/>
      <c r="FM144" s="1785"/>
      <c r="FN144" s="1785"/>
      <c r="FO144" s="1785"/>
      <c r="FP144" s="1785"/>
      <c r="FQ144" s="1785"/>
      <c r="FR144" s="1785"/>
      <c r="FS144" s="1785"/>
      <c r="FT144" s="1785"/>
      <c r="FU144" s="1785"/>
      <c r="FV144" s="1785"/>
      <c r="FW144" s="1785"/>
      <c r="FX144" s="1785"/>
      <c r="FY144" s="1785"/>
      <c r="FZ144" s="1785"/>
      <c r="GA144" s="1785"/>
      <c r="GB144" s="1785"/>
      <c r="GC144" s="1785"/>
      <c r="GD144" s="1785"/>
      <c r="GE144" s="1785"/>
      <c r="GF144" s="1785"/>
      <c r="GG144" s="1785"/>
      <c r="GH144" s="1785"/>
      <c r="GI144" s="1785"/>
      <c r="GJ144" s="1785"/>
      <c r="GK144" s="1785"/>
      <c r="GL144" s="1785"/>
      <c r="GM144" s="1785"/>
      <c r="GN144" s="1785"/>
      <c r="GO144" s="1785"/>
      <c r="GP144" s="1785"/>
      <c r="GQ144" s="1785"/>
      <c r="GR144" s="1785"/>
      <c r="GS144" s="1785"/>
      <c r="GT144" s="1785"/>
      <c r="GU144" s="1785"/>
      <c r="GV144" s="1785"/>
      <c r="GW144" s="1785"/>
      <c r="GX144" s="1785"/>
      <c r="GY144" s="1785"/>
      <c r="GZ144" s="1785"/>
      <c r="HA144" s="1785"/>
      <c r="HB144" s="1785"/>
      <c r="HC144" s="1785"/>
      <c r="HD144" s="1785"/>
      <c r="HE144" s="1785"/>
      <c r="HF144" s="1785"/>
      <c r="HG144" s="1785"/>
      <c r="HH144" s="1785"/>
      <c r="HI144" s="1785"/>
      <c r="HJ144" s="1785"/>
      <c r="HK144" s="1785"/>
      <c r="HL144" s="1785"/>
      <c r="HM144" s="1785"/>
      <c r="HN144" s="1785"/>
      <c r="HO144" s="1785"/>
      <c r="HP144" s="1785"/>
      <c r="HQ144" s="1785"/>
      <c r="HR144" s="1785"/>
      <c r="HS144" s="1785"/>
      <c r="HT144" s="1785"/>
      <c r="HU144" s="1785"/>
      <c r="HV144" s="1785"/>
      <c r="HW144" s="1785"/>
      <c r="HX144" s="1785"/>
      <c r="HY144" s="1785"/>
      <c r="HZ144" s="1785"/>
      <c r="IA144" s="1785"/>
      <c r="IB144" s="1785"/>
      <c r="IC144" s="1785"/>
      <c r="ID144" s="1785"/>
      <c r="IE144" s="1785"/>
      <c r="IF144" s="1785"/>
      <c r="IG144" s="1785"/>
      <c r="IH144" s="1785"/>
      <c r="II144" s="1785"/>
      <c r="IJ144" s="1785"/>
      <c r="IK144" s="1785"/>
      <c r="IL144" s="1785"/>
      <c r="IM144" s="1785"/>
      <c r="IN144" s="1785"/>
      <c r="IO144" s="1785"/>
      <c r="IP144" s="1785"/>
      <c r="IQ144" s="1785"/>
      <c r="IR144" s="1785"/>
      <c r="IS144" s="1785"/>
      <c r="IT144" s="1785"/>
      <c r="IU144" s="1785"/>
      <c r="IV144" s="1785"/>
      <c r="IW144" s="1785"/>
      <c r="IX144" s="1785"/>
      <c r="IY144" s="1785"/>
      <c r="IZ144" s="1785"/>
      <c r="JA144" s="1785"/>
      <c r="JB144" s="1785"/>
      <c r="JC144" s="1785"/>
      <c r="JD144" s="1785"/>
      <c r="JE144" s="1785"/>
      <c r="JF144" s="1785"/>
      <c r="JG144" s="1785"/>
      <c r="JH144" s="1785"/>
      <c r="JI144" s="1785"/>
      <c r="JJ144" s="1785"/>
      <c r="JK144" s="1785"/>
      <c r="JL144" s="1785"/>
      <c r="JM144" s="1785"/>
      <c r="JN144" s="1785"/>
      <c r="JO144" s="1785"/>
      <c r="JP144" s="1785"/>
      <c r="JQ144" s="1785"/>
      <c r="JR144" s="1785"/>
      <c r="JS144" s="1785"/>
      <c r="JT144" s="1785"/>
      <c r="JU144" s="1785"/>
      <c r="JV144" s="1785"/>
      <c r="JW144" s="1785"/>
      <c r="JX144" s="1785"/>
      <c r="JY144" s="1785"/>
      <c r="JZ144" s="1785"/>
      <c r="KA144" s="1785"/>
      <c r="KB144" s="1785"/>
      <c r="KC144" s="1785"/>
      <c r="KD144" s="1785"/>
      <c r="KE144" s="1785"/>
      <c r="KF144" s="1785"/>
      <c r="KG144" s="1785"/>
      <c r="KH144" s="1785"/>
      <c r="KI144" s="1785"/>
      <c r="KJ144" s="1785"/>
      <c r="KK144" s="1785"/>
      <c r="KL144" s="1785"/>
      <c r="KM144" s="1785"/>
      <c r="KN144" s="1785"/>
      <c r="KO144" s="1785"/>
      <c r="KP144" s="1785"/>
      <c r="KQ144" s="1785"/>
      <c r="KR144" s="1785"/>
      <c r="LM144" s="1785"/>
      <c r="LN144" s="1785"/>
      <c r="LO144" s="1785"/>
      <c r="LP144" s="1785"/>
      <c r="LQ144" s="1785"/>
      <c r="LR144" s="1785"/>
      <c r="LS144" s="1785"/>
      <c r="LT144" s="1785"/>
      <c r="LU144" s="1785"/>
      <c r="LV144" s="1785"/>
      <c r="LW144" s="1785"/>
      <c r="LX144" s="1785"/>
      <c r="LY144" s="1785"/>
      <c r="LZ144" s="1785"/>
      <c r="MA144" s="1785"/>
      <c r="MB144" s="1785"/>
      <c r="MC144" s="1785"/>
      <c r="MD144" s="1785"/>
      <c r="ME144" s="1785"/>
      <c r="MF144" s="1785"/>
      <c r="MG144" s="1785"/>
      <c r="MH144" s="1785"/>
      <c r="MI144" s="1785"/>
      <c r="MJ144" s="1785"/>
      <c r="MK144" s="1785"/>
      <c r="ML144" s="1785"/>
      <c r="MM144" s="1785"/>
      <c r="MN144" s="1785"/>
      <c r="MO144" s="1785"/>
      <c r="MP144" s="1785"/>
      <c r="MQ144" s="1785"/>
      <c r="MR144" s="1785"/>
      <c r="MS144" s="1785"/>
      <c r="MT144" s="1785"/>
      <c r="MU144" s="1785"/>
      <c r="MV144" s="1785"/>
      <c r="MW144" s="1785"/>
      <c r="MX144" s="1785"/>
      <c r="MY144" s="1785"/>
      <c r="MZ144" s="1785"/>
      <c r="NA144" s="1785"/>
      <c r="NB144" s="1785"/>
      <c r="NC144" s="1785"/>
      <c r="ND144" s="1785"/>
      <c r="NE144" s="1785"/>
      <c r="NF144" s="1785"/>
      <c r="NG144" s="1785"/>
      <c r="NH144" s="1785"/>
      <c r="NI144" s="1785"/>
      <c r="NJ144" s="1785"/>
      <c r="NK144" s="1785"/>
      <c r="NL144" s="1785"/>
      <c r="NM144" s="1785"/>
      <c r="NN144" s="1785"/>
      <c r="NO144" s="1785"/>
      <c r="NP144" s="1785"/>
      <c r="NQ144" s="1785"/>
      <c r="NR144" s="1785"/>
      <c r="NS144" s="1785"/>
      <c r="NT144" s="1785"/>
      <c r="NU144" s="1785"/>
      <c r="NV144" s="1785"/>
      <c r="NW144" s="1785"/>
      <c r="NX144" s="1785"/>
      <c r="NY144" s="1785"/>
      <c r="NZ144" s="1785"/>
      <c r="OA144" s="1785"/>
      <c r="OB144" s="1785"/>
      <c r="OC144" s="1785"/>
      <c r="OD144" s="1785"/>
      <c r="OE144" s="1785"/>
      <c r="OF144" s="1785"/>
      <c r="OG144" s="1785"/>
      <c r="OH144" s="1785"/>
      <c r="OI144" s="1785"/>
      <c r="OJ144" s="1785"/>
      <c r="OK144" s="1785"/>
      <c r="OL144" s="1785"/>
      <c r="OM144" s="1785"/>
      <c r="ON144" s="1785"/>
      <c r="OO144" s="1785"/>
      <c r="OP144" s="1785"/>
      <c r="OQ144" s="1785"/>
      <c r="OR144" s="1785"/>
      <c r="OS144" s="1785"/>
      <c r="OT144" s="1785"/>
      <c r="OU144" s="1785"/>
      <c r="OV144" s="1785"/>
      <c r="OW144" s="1785"/>
      <c r="OX144" s="1785"/>
      <c r="OY144" s="1785"/>
      <c r="OZ144" s="1785"/>
      <c r="PA144" s="1785"/>
      <c r="PB144" s="1785"/>
      <c r="PC144" s="1785"/>
      <c r="PD144" s="1785"/>
      <c r="PE144" s="1785"/>
      <c r="PF144" s="1785"/>
      <c r="PG144" s="1785"/>
      <c r="PH144" s="1785"/>
      <c r="PI144" s="1785"/>
      <c r="PJ144" s="1785"/>
      <c r="PK144" s="1785"/>
      <c r="PL144" s="1785"/>
      <c r="PM144" s="1785"/>
      <c r="PN144" s="1785"/>
      <c r="PO144" s="1785"/>
      <c r="PP144" s="1785"/>
      <c r="PQ144" s="1785"/>
      <c r="PR144" s="1785"/>
      <c r="PS144" s="1785"/>
      <c r="PT144" s="1785"/>
      <c r="PU144" s="1785"/>
      <c r="PV144" s="1785"/>
      <c r="PW144" s="1785"/>
      <c r="PX144" s="1785"/>
      <c r="PY144" s="1785"/>
      <c r="PZ144" s="1785"/>
      <c r="QA144" s="1785"/>
      <c r="QB144" s="1785"/>
      <c r="QC144" s="1785"/>
      <c r="QD144" s="1785"/>
      <c r="QE144" s="1785"/>
      <c r="QF144" s="1785"/>
      <c r="QG144" s="1785"/>
      <c r="QH144" s="1785"/>
      <c r="QI144" s="1785"/>
      <c r="QJ144" s="1785"/>
      <c r="QK144" s="1785"/>
      <c r="QL144" s="1785"/>
      <c r="QM144" s="1785"/>
      <c r="QN144" s="1785"/>
      <c r="QO144" s="1785"/>
      <c r="QP144" s="1785"/>
      <c r="QQ144" s="1785"/>
      <c r="QR144" s="1785"/>
      <c r="QS144" s="1785"/>
      <c r="QT144" s="1785"/>
      <c r="QU144" s="1785"/>
      <c r="QV144" s="1785"/>
      <c r="QW144" s="1785"/>
      <c r="QX144" s="1785"/>
      <c r="QY144" s="1785"/>
      <c r="QZ144" s="1785"/>
      <c r="RA144" s="1785"/>
      <c r="RB144" s="1785"/>
      <c r="RC144" s="1785"/>
      <c r="RD144" s="1785"/>
      <c r="RE144" s="1785"/>
      <c r="RF144" s="1785"/>
      <c r="RG144" s="1785"/>
      <c r="RH144" s="1785"/>
      <c r="RI144" s="1785"/>
      <c r="RJ144" s="1785"/>
      <c r="RK144" s="1785"/>
      <c r="RL144" s="1785"/>
      <c r="RM144" s="1785"/>
      <c r="RN144" s="1785"/>
      <c r="RO144" s="1785"/>
      <c r="RP144" s="1785"/>
      <c r="RQ144" s="1785"/>
      <c r="RR144" s="1785"/>
      <c r="RS144" s="1785"/>
      <c r="RT144" s="1785"/>
      <c r="RU144" s="1785"/>
      <c r="RV144" s="1785"/>
      <c r="RW144" s="1785"/>
      <c r="RX144" s="1785"/>
      <c r="RY144" s="1785"/>
      <c r="RZ144" s="1785"/>
      <c r="SA144" s="1785"/>
      <c r="SB144" s="1785"/>
      <c r="SC144" s="1785"/>
      <c r="SD144" s="1785"/>
      <c r="SE144" s="1785"/>
      <c r="SF144" s="1785"/>
      <c r="SG144" s="1785"/>
      <c r="SH144" s="1785"/>
      <c r="SI144" s="1785"/>
      <c r="SJ144" s="1785"/>
      <c r="SK144" s="1785"/>
      <c r="SL144" s="1785"/>
      <c r="SM144" s="1785"/>
      <c r="SN144" s="1785"/>
      <c r="SO144" s="1785"/>
      <c r="SP144" s="1785"/>
      <c r="SQ144" s="1785"/>
      <c r="SR144" s="1785"/>
      <c r="SS144" s="1785"/>
      <c r="ST144" s="1785"/>
      <c r="SU144" s="1785"/>
      <c r="SV144" s="1785"/>
      <c r="SW144" s="1785"/>
      <c r="SX144" s="1785"/>
      <c r="SY144" s="1785"/>
      <c r="SZ144" s="1785"/>
      <c r="TA144" s="1785"/>
      <c r="TB144" s="1785"/>
      <c r="TC144" s="1785"/>
      <c r="TD144" s="1785"/>
      <c r="TE144" s="1785"/>
      <c r="TF144" s="1785"/>
      <c r="TG144" s="1785"/>
      <c r="TH144" s="1785"/>
      <c r="TI144" s="1785"/>
      <c r="TJ144" s="1785"/>
      <c r="TK144" s="1785"/>
      <c r="TL144" s="1785"/>
      <c r="TM144" s="1785"/>
      <c r="TN144" s="1785"/>
      <c r="TO144" s="1785"/>
      <c r="TP144" s="1785"/>
      <c r="TQ144" s="1785"/>
      <c r="TR144" s="1785"/>
      <c r="TS144" s="1785"/>
      <c r="TT144" s="1785"/>
      <c r="TU144" s="1785"/>
      <c r="TV144" s="1785"/>
      <c r="TW144" s="1785"/>
      <c r="TX144" s="1785"/>
      <c r="TY144" s="1785"/>
      <c r="TZ144" s="1785"/>
      <c r="UA144" s="1785"/>
      <c r="UB144" s="1785"/>
      <c r="UC144" s="1785"/>
      <c r="UD144" s="1785"/>
      <c r="UE144" s="1785"/>
      <c r="UF144" s="1785"/>
      <c r="UG144" s="1785"/>
      <c r="UH144" s="1785"/>
      <c r="UI144" s="1785"/>
      <c r="UJ144" s="1785"/>
      <c r="UK144" s="1785"/>
      <c r="UL144" s="1785"/>
      <c r="UM144" s="1785"/>
      <c r="UN144" s="1785"/>
      <c r="UO144" s="1785"/>
      <c r="UP144" s="1785"/>
      <c r="UQ144" s="1785"/>
      <c r="UR144" s="1785"/>
      <c r="US144" s="1785"/>
      <c r="UT144" s="1785"/>
      <c r="UU144" s="1785"/>
      <c r="UV144" s="1785"/>
      <c r="UW144" s="1785"/>
      <c r="UX144" s="1785"/>
      <c r="UY144" s="1785"/>
      <c r="UZ144" s="1785"/>
      <c r="VA144" s="1785"/>
      <c r="VB144" s="1785"/>
      <c r="VC144" s="1785"/>
      <c r="VD144" s="1785"/>
      <c r="VE144" s="1785"/>
      <c r="VF144" s="1785"/>
      <c r="VG144" s="1785"/>
      <c r="VH144" s="1785"/>
      <c r="VI144" s="1785"/>
      <c r="VJ144" s="1785"/>
      <c r="VK144" s="1785"/>
      <c r="VL144" s="1785"/>
      <c r="VM144" s="1785"/>
      <c r="VN144" s="1785"/>
      <c r="VO144" s="1785"/>
      <c r="VP144" s="1785"/>
      <c r="VQ144" s="1785"/>
      <c r="VR144" s="1785"/>
      <c r="VS144" s="1785"/>
      <c r="VT144" s="1785"/>
      <c r="VU144" s="1785"/>
      <c r="VV144" s="1785"/>
      <c r="VW144" s="1785"/>
      <c r="VX144" s="1785"/>
      <c r="VY144" s="1785"/>
      <c r="VZ144" s="1785"/>
      <c r="WA144" s="1785"/>
      <c r="WB144" s="1785"/>
      <c r="WC144" s="1785"/>
      <c r="WD144" s="1785"/>
      <c r="WE144" s="1785"/>
      <c r="WF144" s="1785"/>
      <c r="WG144" s="1785"/>
      <c r="WH144" s="1785"/>
      <c r="WI144" s="1785"/>
      <c r="WJ144" s="1785"/>
      <c r="WK144" s="1785"/>
      <c r="WL144" s="1785"/>
      <c r="WM144" s="1785"/>
      <c r="WN144" s="1785"/>
      <c r="WO144" s="1785"/>
      <c r="WP144" s="1785"/>
      <c r="WQ144" s="1785"/>
      <c r="WR144" s="1785"/>
      <c r="WS144" s="1785"/>
      <c r="WT144" s="1785"/>
      <c r="WU144" s="1785"/>
      <c r="WV144" s="1785"/>
      <c r="WW144" s="1785"/>
      <c r="WX144" s="1785"/>
      <c r="WY144" s="1785"/>
      <c r="WZ144" s="1785"/>
      <c r="XA144" s="1785"/>
      <c r="XB144" s="1785"/>
      <c r="XC144" s="1785"/>
      <c r="XD144" s="1785"/>
      <c r="XE144" s="1785"/>
      <c r="XF144" s="1785"/>
      <c r="XG144" s="1785"/>
      <c r="XH144" s="1785"/>
      <c r="XI144" s="1785"/>
      <c r="XJ144" s="1785"/>
      <c r="XK144" s="1785"/>
      <c r="XL144" s="1785"/>
      <c r="XM144" s="1785"/>
      <c r="XN144" s="1785"/>
      <c r="XO144" s="1785"/>
      <c r="XP144" s="1785"/>
      <c r="XQ144" s="1785"/>
      <c r="XR144" s="1785"/>
      <c r="XS144" s="1785"/>
      <c r="XT144" s="1785"/>
      <c r="XU144" s="1785"/>
      <c r="XV144" s="1785"/>
      <c r="XW144" s="1785"/>
      <c r="XX144" s="1785"/>
      <c r="XY144" s="1785"/>
      <c r="XZ144" s="1785"/>
      <c r="YA144" s="1785"/>
      <c r="YB144" s="1785"/>
      <c r="YC144" s="1785"/>
      <c r="YD144" s="1785"/>
      <c r="YE144" s="1785"/>
      <c r="YF144" s="1785"/>
      <c r="YG144" s="1785"/>
      <c r="YH144" s="1785"/>
      <c r="YI144" s="1785"/>
      <c r="YJ144" s="1785"/>
      <c r="YK144" s="1785"/>
      <c r="YL144" s="1785"/>
      <c r="YM144" s="1785"/>
      <c r="YN144" s="1785"/>
      <c r="YO144" s="1785"/>
      <c r="YP144" s="1785"/>
      <c r="YQ144" s="1785"/>
      <c r="YR144" s="1785"/>
      <c r="YS144" s="1785"/>
      <c r="YT144" s="1785"/>
      <c r="YU144" s="1785"/>
      <c r="YV144" s="1785"/>
      <c r="YW144" s="1785"/>
      <c r="YX144" s="1785"/>
      <c r="YY144" s="1785"/>
      <c r="YZ144" s="1785"/>
      <c r="ZA144" s="1785"/>
      <c r="ZB144" s="1785"/>
      <c r="ZC144" s="1785"/>
      <c r="ZD144" s="1785"/>
      <c r="ZE144" s="1785"/>
      <c r="ZF144" s="1785"/>
      <c r="ZG144" s="1785"/>
      <c r="ZH144" s="1785"/>
      <c r="ZI144" s="1785"/>
      <c r="ZJ144" s="1785"/>
      <c r="ZK144" s="1785"/>
      <c r="ZL144" s="1785"/>
      <c r="ZM144" s="1785"/>
      <c r="ZN144" s="1785"/>
      <c r="ZO144" s="1785"/>
      <c r="ZP144" s="1785"/>
      <c r="ZQ144" s="1785"/>
      <c r="ZR144" s="1785"/>
      <c r="ZS144" s="1785"/>
      <c r="ZT144" s="1785"/>
      <c r="ZU144" s="1785"/>
      <c r="ZV144" s="1785"/>
      <c r="ZW144" s="1785"/>
      <c r="ZX144" s="1785"/>
      <c r="ZY144" s="1785"/>
      <c r="ZZ144" s="1785"/>
      <c r="AAA144" s="1785"/>
      <c r="AAB144" s="1785"/>
      <c r="AAC144" s="1785"/>
      <c r="AAD144" s="1785"/>
      <c r="AAE144" s="1785"/>
      <c r="AAF144" s="1785"/>
      <c r="AAG144" s="1785"/>
      <c r="AAH144" s="1785"/>
      <c r="AAI144" s="1785"/>
      <c r="AAJ144" s="1785"/>
      <c r="AAK144" s="1785"/>
      <c r="AAL144" s="1785"/>
      <c r="AAM144" s="1785"/>
      <c r="AAN144" s="1785"/>
      <c r="AAO144" s="1785"/>
      <c r="AAP144" s="1785"/>
      <c r="AAQ144" s="1785"/>
      <c r="AAR144" s="1785"/>
      <c r="AAS144" s="1785"/>
      <c r="AAT144" s="1785"/>
      <c r="AAU144" s="1785"/>
      <c r="AAV144" s="1785"/>
      <c r="AAW144" s="1785"/>
      <c r="AAX144" s="1785"/>
      <c r="AAY144" s="1785"/>
      <c r="AAZ144" s="1785"/>
      <c r="ABA144" s="1785"/>
      <c r="ABB144" s="1785"/>
      <c r="ABC144" s="1785"/>
      <c r="ABD144" s="1785"/>
      <c r="ABE144" s="1785"/>
      <c r="ABF144" s="1785"/>
      <c r="ABG144" s="1785"/>
      <c r="ABH144" s="1785"/>
      <c r="ABI144" s="1785"/>
      <c r="ABJ144" s="1785"/>
      <c r="ABK144" s="1785"/>
      <c r="ABL144" s="1785"/>
      <c r="ABM144" s="1785"/>
      <c r="ABN144" s="1785"/>
      <c r="ABO144" s="1785"/>
      <c r="ABP144" s="1785"/>
      <c r="ABQ144" s="1785"/>
      <c r="ABR144" s="1785"/>
      <c r="ABS144" s="1785"/>
      <c r="ABT144" s="1785"/>
      <c r="ABU144" s="1785"/>
      <c r="ABV144" s="1785"/>
      <c r="ABW144" s="1785"/>
      <c r="ABX144" s="1785"/>
      <c r="ABY144" s="1785"/>
      <c r="ABZ144" s="1785"/>
      <c r="ACA144" s="1785"/>
      <c r="ACB144" s="1785"/>
      <c r="ACC144" s="1785"/>
      <c r="ACD144" s="1785"/>
      <c r="ACE144" s="1785"/>
      <c r="ACF144" s="1785"/>
      <c r="ACG144" s="1785"/>
      <c r="ACH144" s="1785"/>
      <c r="ACI144" s="1785"/>
      <c r="ACJ144" s="1785"/>
      <c r="ACK144" s="1785"/>
      <c r="ACL144" s="1785"/>
      <c r="ACM144" s="1785"/>
      <c r="ACN144" s="1785"/>
      <c r="ACO144" s="1785"/>
      <c r="ACP144" s="1785"/>
      <c r="ACQ144" s="1785"/>
      <c r="ACR144" s="1785"/>
      <c r="ACS144" s="1785"/>
      <c r="ACT144" s="1785"/>
      <c r="ACU144" s="1785"/>
      <c r="ACV144" s="1785"/>
      <c r="ACW144" s="1785"/>
      <c r="ACX144" s="1785"/>
      <c r="ACY144" s="1785"/>
      <c r="ACZ144" s="1785"/>
      <c r="ADA144" s="1785"/>
      <c r="ADB144" s="1785"/>
      <c r="ADC144" s="1785"/>
      <c r="ADD144" s="1785"/>
      <c r="ADE144" s="1785"/>
      <c r="ADF144" s="1785"/>
      <c r="ADG144" s="1785"/>
      <c r="ADH144" s="1785"/>
      <c r="ADI144" s="1785"/>
      <c r="ADJ144" s="1785"/>
      <c r="ADK144" s="1785"/>
      <c r="ADL144" s="1785"/>
      <c r="ADM144" s="1785"/>
      <c r="ADN144" s="1785"/>
      <c r="ADO144" s="1785"/>
      <c r="ADP144" s="1785"/>
      <c r="ADQ144" s="1785"/>
      <c r="ADR144" s="1785"/>
      <c r="ADS144" s="1785"/>
      <c r="ADT144" s="1785"/>
      <c r="ADU144" s="1785"/>
      <c r="ADV144" s="1785"/>
      <c r="ADW144" s="1785"/>
      <c r="ADX144" s="1785"/>
      <c r="ADY144" s="1785"/>
      <c r="ADZ144" s="1785"/>
      <c r="AEA144" s="1785"/>
      <c r="AEB144" s="1785"/>
      <c r="AEC144" s="1785"/>
      <c r="AED144" s="1785"/>
      <c r="AEE144" s="1785"/>
      <c r="AEF144" s="1785"/>
      <c r="AEG144" s="1785"/>
      <c r="AEH144" s="1785"/>
      <c r="AEI144" s="1785"/>
      <c r="AEJ144" s="1785"/>
      <c r="AEK144" s="1785"/>
      <c r="AEL144" s="1785"/>
      <c r="AEM144" s="1785"/>
      <c r="AEN144" s="1785"/>
      <c r="AEO144" s="1785"/>
      <c r="AEP144" s="1785"/>
      <c r="AEQ144" s="1785"/>
      <c r="AER144" s="1785"/>
      <c r="AES144" s="1785"/>
      <c r="AET144" s="1785"/>
      <c r="AEU144" s="1785"/>
      <c r="AEV144" s="1785"/>
      <c r="AEW144" s="1785"/>
      <c r="AEX144" s="1785"/>
      <c r="AEY144" s="1785"/>
      <c r="AEZ144" s="1785"/>
      <c r="AFA144" s="1785"/>
      <c r="AFB144" s="1785"/>
      <c r="AFC144" s="1785"/>
      <c r="AFD144" s="1785"/>
      <c r="AFE144" s="1785"/>
      <c r="AFF144" s="1785"/>
      <c r="AFG144" s="1785"/>
      <c r="AFH144" s="1785"/>
      <c r="AFI144" s="1785"/>
      <c r="AFJ144" s="1785"/>
      <c r="AFK144" s="1785"/>
      <c r="AFL144" s="1785"/>
      <c r="AFM144" s="1785"/>
      <c r="AFN144" s="1785"/>
      <c r="AFO144" s="1785"/>
      <c r="AFP144" s="1785"/>
      <c r="AFQ144" s="1785"/>
      <c r="AFR144" s="1785"/>
      <c r="AFS144" s="1785"/>
      <c r="AFT144" s="1785"/>
      <c r="AFU144" s="1785"/>
      <c r="AFV144" s="1785"/>
      <c r="AFW144" s="1785"/>
      <c r="AFX144" s="1785"/>
      <c r="AFY144" s="1785"/>
      <c r="AFZ144" s="1785"/>
      <c r="AGA144" s="1785"/>
      <c r="AGB144" s="1785"/>
      <c r="AGC144" s="1785"/>
      <c r="AGD144" s="1785"/>
      <c r="AGE144" s="1785"/>
      <c r="AGF144" s="1785"/>
      <c r="AGG144" s="1785"/>
      <c r="AGH144" s="1785"/>
      <c r="AGI144" s="1785"/>
      <c r="AGJ144" s="1785"/>
      <c r="AGK144" s="1785"/>
      <c r="AGL144" s="1785"/>
      <c r="AGM144" s="1785"/>
      <c r="AGN144" s="1785"/>
      <c r="AGO144" s="1785"/>
      <c r="AGP144" s="1785"/>
      <c r="AGQ144" s="1785"/>
      <c r="AGR144" s="1785"/>
      <c r="AGS144" s="1785"/>
      <c r="AGT144" s="1785"/>
      <c r="AGU144" s="1785"/>
      <c r="AGV144" s="1785"/>
      <c r="AGW144" s="1785"/>
      <c r="AGX144" s="1785"/>
      <c r="AGY144" s="1785"/>
      <c r="AGZ144" s="1785"/>
      <c r="AHA144" s="1785"/>
      <c r="AHB144" s="1785"/>
      <c r="AHC144" s="1785"/>
      <c r="AHD144" s="1785"/>
      <c r="AHE144" s="1785"/>
      <c r="AHF144" s="1785"/>
      <c r="AHG144" s="1785"/>
      <c r="AHH144" s="1785"/>
      <c r="AHI144" s="1785"/>
      <c r="AHJ144" s="1785"/>
      <c r="AHK144" s="1785"/>
      <c r="AHL144" s="1785"/>
      <c r="AHM144" s="1785"/>
      <c r="AHN144" s="1785"/>
      <c r="AHO144" s="1785"/>
      <c r="AHP144" s="1785"/>
      <c r="AHQ144" s="1785"/>
      <c r="AHR144" s="1785"/>
      <c r="AHS144" s="1785"/>
      <c r="AHT144" s="1785"/>
      <c r="AHU144" s="1785"/>
      <c r="AHV144" s="1785"/>
      <c r="AHW144" s="1785"/>
      <c r="AHX144" s="1785"/>
      <c r="AHY144" s="1785"/>
      <c r="AHZ144" s="1785"/>
      <c r="AIA144" s="1785"/>
      <c r="AIB144" s="1785"/>
      <c r="AIC144" s="1785"/>
      <c r="AID144" s="1785"/>
      <c r="AIE144" s="1785"/>
      <c r="AIF144" s="1785"/>
      <c r="AIG144" s="1785"/>
      <c r="AIH144" s="1785"/>
      <c r="AII144" s="1785"/>
      <c r="AIJ144" s="1785"/>
      <c r="AIK144" s="1785"/>
      <c r="AIL144" s="1785"/>
      <c r="AIM144" s="1785"/>
      <c r="AIN144" s="1785"/>
      <c r="AIO144" s="1785"/>
      <c r="AIP144" s="1785"/>
      <c r="AIQ144" s="1785"/>
      <c r="AIR144" s="1785"/>
      <c r="AIS144" s="1785"/>
      <c r="AIT144" s="1785"/>
      <c r="AIU144" s="1785"/>
      <c r="AIV144" s="1785"/>
      <c r="AIW144" s="1785"/>
      <c r="AIX144" s="1785"/>
      <c r="AIY144" s="1785"/>
      <c r="AIZ144" s="1785"/>
      <c r="AJA144" s="1785"/>
      <c r="AJB144" s="1785"/>
      <c r="AJC144" s="1785"/>
      <c r="AJD144" s="1785"/>
      <c r="AJE144" s="1785"/>
      <c r="AJF144" s="1785"/>
      <c r="AJG144" s="1785"/>
      <c r="AJH144" s="1785"/>
      <c r="AJI144" s="1785"/>
      <c r="AJJ144" s="1785"/>
      <c r="AJK144" s="1785"/>
      <c r="AJL144" s="1785"/>
      <c r="AJM144" s="1785"/>
      <c r="AJN144" s="1785"/>
      <c r="AJO144" s="1785"/>
      <c r="AJP144" s="1785"/>
      <c r="AJQ144" s="1785"/>
      <c r="AJR144" s="1785"/>
      <c r="AJS144" s="1785"/>
      <c r="AJT144" s="1785"/>
      <c r="AJU144" s="1785"/>
      <c r="AJV144" s="1785"/>
      <c r="AJW144" s="1785"/>
      <c r="AJX144" s="1785"/>
      <c r="AJY144" s="1785"/>
      <c r="AJZ144" s="1785"/>
      <c r="AKA144" s="1785"/>
      <c r="AKB144" s="1785"/>
      <c r="AKC144" s="1785"/>
      <c r="AKD144" s="1785"/>
      <c r="AKE144" s="1785"/>
      <c r="AKF144" s="1785"/>
      <c r="AKG144" s="1785"/>
      <c r="AKH144" s="1785"/>
      <c r="AKI144" s="1785"/>
      <c r="AKJ144" s="1785"/>
      <c r="AKK144" s="1785"/>
      <c r="AKL144" s="1785"/>
      <c r="AKM144" s="1785"/>
      <c r="AKN144" s="1785"/>
      <c r="AKO144" s="1785"/>
      <c r="AKP144" s="1785"/>
      <c r="AKQ144" s="1785"/>
      <c r="AKR144" s="1785"/>
      <c r="AKS144" s="1785"/>
      <c r="AKT144" s="1785"/>
      <c r="AKU144" s="1785"/>
      <c r="AKV144" s="1785"/>
      <c r="AKW144" s="1785"/>
      <c r="AKX144" s="1785"/>
      <c r="AKY144" s="1785"/>
      <c r="AKZ144" s="1785"/>
      <c r="ALA144" s="1785"/>
      <c r="ALB144" s="1785"/>
      <c r="ALC144" s="1785"/>
      <c r="ALD144" s="1785"/>
      <c r="ALE144" s="1785"/>
      <c r="ALF144" s="1785"/>
      <c r="ALG144" s="1785"/>
      <c r="ALH144" s="1785"/>
      <c r="ALI144" s="1785"/>
      <c r="ALJ144" s="1785"/>
      <c r="ALK144" s="1785"/>
      <c r="ALL144" s="1785"/>
      <c r="ALM144" s="1785"/>
      <c r="ALN144" s="1785"/>
      <c r="ALO144" s="1785"/>
      <c r="ALP144" s="1785"/>
      <c r="ALQ144" s="1785"/>
      <c r="ALR144" s="1785"/>
      <c r="ALS144" s="1785"/>
      <c r="ALT144" s="1785"/>
      <c r="ALU144" s="1785"/>
      <c r="ALV144" s="1785"/>
      <c r="ALW144" s="1785"/>
      <c r="ALX144" s="1785"/>
      <c r="ALY144" s="1785"/>
      <c r="ALZ144" s="1785"/>
      <c r="AMA144" s="1785"/>
      <c r="AMB144" s="1785"/>
      <c r="AMC144" s="1785"/>
      <c r="AMD144" s="1785"/>
      <c r="AME144" s="1785"/>
      <c r="AMF144" s="1785"/>
      <c r="AMG144" s="1785"/>
      <c r="AMH144" s="1785"/>
      <c r="AMI144" s="1785"/>
      <c r="AMJ144" s="1785"/>
      <c r="AMK144" s="1785"/>
      <c r="AML144" s="1785"/>
      <c r="AMM144" s="1785"/>
      <c r="AMN144" s="1785"/>
      <c r="AMO144" s="1785"/>
      <c r="AMP144" s="1785"/>
      <c r="AMQ144" s="1785"/>
      <c r="AMR144" s="1785"/>
      <c r="AMS144" s="1785"/>
      <c r="AMT144" s="1785"/>
      <c r="AMU144" s="1785"/>
      <c r="AMV144" s="1785"/>
      <c r="AMW144" s="1785"/>
      <c r="AMX144" s="1785"/>
      <c r="AMY144" s="1785"/>
      <c r="AMZ144" s="1785"/>
      <c r="ANA144" s="1785"/>
      <c r="ANB144" s="1785"/>
      <c r="ANC144" s="1785"/>
      <c r="AND144" s="1785"/>
      <c r="ANE144" s="1785"/>
      <c r="ANF144" s="1785"/>
      <c r="ANG144" s="1785"/>
      <c r="ANH144" s="1785"/>
      <c r="ANI144" s="1785"/>
      <c r="ANJ144" s="1785"/>
      <c r="ANK144" s="1785"/>
      <c r="ANL144" s="1785"/>
      <c r="ANM144" s="1785"/>
      <c r="ANN144" s="1785"/>
      <c r="ANO144" s="1785"/>
      <c r="ANP144" s="1785"/>
      <c r="ANQ144" s="1785"/>
      <c r="ANR144" s="1785"/>
      <c r="ANS144" s="1785"/>
      <c r="ANT144" s="1785"/>
      <c r="ANU144" s="1785"/>
      <c r="ANV144" s="1785"/>
      <c r="ANW144" s="1785"/>
      <c r="ANX144" s="1785"/>
      <c r="ANY144" s="1785"/>
      <c r="ANZ144" s="1785"/>
      <c r="AOA144" s="1785"/>
      <c r="AOB144" s="1785"/>
      <c r="AOC144" s="1785"/>
      <c r="AOD144" s="1785"/>
      <c r="AOE144" s="1785"/>
      <c r="AOF144" s="1785"/>
      <c r="AOG144" s="1785"/>
      <c r="AOH144" s="1785"/>
      <c r="AOI144" s="1785"/>
      <c r="AOJ144" s="1785"/>
      <c r="AOK144" s="1785"/>
      <c r="AOL144" s="1785"/>
      <c r="AOM144" s="1785"/>
      <c r="AON144" s="1785"/>
      <c r="AOO144" s="1785"/>
      <c r="AOP144" s="1785"/>
      <c r="AOQ144" s="1785"/>
      <c r="AOR144" s="1785"/>
      <c r="AOS144" s="1785"/>
      <c r="AOT144" s="1785"/>
      <c r="AOU144" s="1785"/>
      <c r="AOV144" s="1785"/>
      <c r="AOW144" s="1785"/>
      <c r="AOX144" s="1785"/>
      <c r="AOY144" s="1785"/>
      <c r="AOZ144" s="1785"/>
      <c r="APA144" s="1785"/>
      <c r="APB144" s="1785"/>
      <c r="APC144" s="1785"/>
      <c r="APD144" s="1785"/>
      <c r="APE144" s="1785"/>
      <c r="APF144" s="1785"/>
      <c r="APG144" s="1785"/>
      <c r="APH144" s="1785"/>
      <c r="API144" s="1785"/>
      <c r="APJ144" s="1785"/>
      <c r="APK144" s="1785"/>
      <c r="APL144" s="1785"/>
      <c r="APM144" s="1785"/>
      <c r="APN144" s="1785"/>
      <c r="APO144" s="1785"/>
      <c r="APP144" s="1785"/>
      <c r="APQ144" s="1785"/>
      <c r="APR144" s="1785"/>
      <c r="APS144" s="1785"/>
      <c r="APT144" s="1785"/>
      <c r="APU144" s="1785"/>
      <c r="APV144" s="1785"/>
      <c r="APW144" s="1785"/>
      <c r="APX144" s="1785"/>
      <c r="APY144" s="1785"/>
      <c r="APZ144" s="1785"/>
      <c r="AQA144" s="1785"/>
      <c r="AQB144" s="1785"/>
      <c r="AQC144" s="1785"/>
      <c r="AQD144" s="1785"/>
      <c r="AQE144" s="1785"/>
      <c r="AQF144" s="1785"/>
      <c r="AQG144" s="1785"/>
      <c r="AQH144" s="1785"/>
      <c r="AQI144" s="1785"/>
      <c r="AQJ144" s="1785"/>
      <c r="AQK144" s="1785"/>
      <c r="AQL144" s="1785"/>
      <c r="AQM144" s="1785"/>
      <c r="AQN144" s="1785"/>
      <c r="AQO144" s="1785"/>
      <c r="AQP144" s="1785"/>
      <c r="AQQ144" s="1785"/>
      <c r="AQR144" s="1785"/>
      <c r="AQS144" s="1785"/>
      <c r="AQT144" s="1785"/>
      <c r="AQU144" s="1785"/>
      <c r="AQV144" s="1785"/>
      <c r="AQW144" s="1785"/>
      <c r="AQX144" s="1785"/>
      <c r="AQY144" s="1785"/>
      <c r="AQZ144" s="1785"/>
      <c r="ARA144" s="1785"/>
      <c r="ARB144" s="1785"/>
      <c r="ARC144" s="1785"/>
      <c r="ARD144" s="1785"/>
      <c r="ARE144" s="1785"/>
      <c r="ARF144" s="1785"/>
      <c r="ARG144" s="1785"/>
      <c r="ARH144" s="1785"/>
      <c r="ARI144" s="1785"/>
      <c r="ARJ144" s="1785"/>
      <c r="ARK144" s="1785"/>
      <c r="ARL144" s="1785"/>
      <c r="ARM144" s="1785"/>
      <c r="ARN144" s="1785"/>
      <c r="ARO144" s="1785"/>
      <c r="ARP144" s="1785"/>
      <c r="ARQ144" s="1785"/>
      <c r="ARR144" s="1785"/>
      <c r="ARS144" s="1785"/>
      <c r="ART144" s="1785"/>
      <c r="ARU144" s="1785"/>
      <c r="ARV144" s="1785"/>
      <c r="ARW144" s="1785"/>
      <c r="ARX144" s="1785"/>
      <c r="ARY144" s="1785"/>
      <c r="ARZ144" s="1785"/>
      <c r="ASA144" s="1785"/>
      <c r="ASB144" s="1785"/>
      <c r="ASC144" s="1785"/>
      <c r="ASD144" s="1785"/>
      <c r="ASE144" s="1785"/>
      <c r="ASF144" s="1785"/>
      <c r="ASG144" s="1785"/>
      <c r="ASH144" s="1785"/>
      <c r="ASI144" s="1785"/>
      <c r="ASJ144" s="1785"/>
      <c r="ASK144" s="1785"/>
      <c r="ASL144" s="1785"/>
      <c r="ASM144" s="1785"/>
      <c r="ASN144" s="1785"/>
      <c r="ASO144" s="1785"/>
      <c r="ASP144" s="1785"/>
      <c r="ASQ144" s="1785"/>
      <c r="ASR144" s="1785"/>
      <c r="ASS144" s="1785"/>
      <c r="AST144" s="1785"/>
      <c r="ASU144" s="1785"/>
      <c r="ASV144" s="1785"/>
      <c r="ASW144" s="1785"/>
      <c r="ASX144" s="1785"/>
      <c r="ASY144" s="1785"/>
      <c r="ASZ144" s="1785"/>
      <c r="ATA144" s="1785"/>
      <c r="ATB144" s="1785"/>
      <c r="ATC144" s="1785"/>
      <c r="ATD144" s="1785"/>
      <c r="ATE144" s="1785"/>
      <c r="ATF144" s="1785"/>
      <c r="ATG144" s="1785"/>
      <c r="ATH144" s="1785"/>
      <c r="ATI144" s="1785"/>
      <c r="ATJ144" s="1785"/>
      <c r="ATK144" s="1785"/>
      <c r="ATL144" s="1785"/>
      <c r="ATM144" s="1785"/>
      <c r="ATN144" s="1785"/>
      <c r="ATO144" s="1785"/>
      <c r="ATP144" s="1785"/>
      <c r="ATQ144" s="1785"/>
      <c r="ATR144" s="1785"/>
      <c r="ATS144" s="1785"/>
      <c r="ATT144" s="1785"/>
      <c r="ATU144" s="1785"/>
      <c r="ATV144" s="1785"/>
      <c r="ATW144" s="1785"/>
      <c r="ATX144" s="1785"/>
      <c r="ATY144" s="1785"/>
      <c r="ATZ144" s="1785"/>
      <c r="AUA144" s="1785"/>
      <c r="AUB144" s="1785"/>
      <c r="AUC144" s="1785"/>
      <c r="AUD144" s="1785"/>
      <c r="AUE144" s="1785"/>
      <c r="AUF144" s="1785"/>
      <c r="AUG144" s="1785"/>
      <c r="AUH144" s="1785"/>
      <c r="AUI144" s="1785"/>
      <c r="AUJ144" s="1785"/>
      <c r="AUK144" s="1785"/>
      <c r="AUL144" s="1785"/>
      <c r="AUM144" s="1785"/>
      <c r="AUN144" s="1785"/>
      <c r="AUO144" s="1785"/>
      <c r="AUP144" s="1785"/>
      <c r="AUQ144" s="1785"/>
      <c r="AUR144" s="1785"/>
      <c r="AUS144" s="1785"/>
      <c r="AUT144" s="1785"/>
      <c r="AUU144" s="1785"/>
      <c r="AUV144" s="1785"/>
      <c r="AUW144" s="1785"/>
      <c r="AUX144" s="1785"/>
      <c r="AUY144" s="1785"/>
      <c r="AUZ144" s="1785"/>
      <c r="AVA144" s="1785"/>
      <c r="AVB144" s="1785"/>
      <c r="AVC144" s="1785"/>
      <c r="AVD144" s="1785"/>
      <c r="AVE144" s="1785"/>
      <c r="AVF144" s="1785"/>
      <c r="AVG144" s="1785"/>
      <c r="AVH144" s="1785"/>
      <c r="AVI144" s="1785"/>
      <c r="AVJ144" s="1785"/>
      <c r="AVK144" s="1785"/>
      <c r="AVL144" s="1785"/>
      <c r="AVM144" s="1785"/>
      <c r="AVN144" s="1785"/>
      <c r="AVO144" s="1785"/>
      <c r="AVP144" s="1785"/>
      <c r="AVQ144" s="1785"/>
      <c r="AVR144" s="1785"/>
      <c r="AVS144" s="1785"/>
      <c r="AVT144" s="1785"/>
      <c r="AVU144" s="1785"/>
      <c r="AVV144" s="1785"/>
      <c r="AVW144" s="1785"/>
      <c r="AVX144" s="1785"/>
      <c r="AVY144" s="1785"/>
      <c r="AVZ144" s="1785"/>
      <c r="AWA144" s="1785"/>
      <c r="AWB144" s="1785"/>
      <c r="AWC144" s="1785"/>
      <c r="AWD144" s="1785"/>
      <c r="AWE144" s="1785"/>
      <c r="AWF144" s="1785"/>
      <c r="AWG144" s="1785"/>
      <c r="AWH144" s="1785"/>
      <c r="AWI144" s="1785"/>
      <c r="AWJ144" s="1785"/>
      <c r="AWK144" s="1785"/>
      <c r="AWL144" s="1785"/>
      <c r="AWM144" s="1785"/>
      <c r="AWN144" s="1785"/>
      <c r="AWO144" s="1785"/>
      <c r="AWP144" s="1785"/>
      <c r="AWQ144" s="1785"/>
      <c r="AWR144" s="1785"/>
      <c r="AWS144" s="1785"/>
      <c r="AWT144" s="1785"/>
      <c r="AWU144" s="1785"/>
      <c r="AWV144" s="1785"/>
      <c r="AWW144" s="1785"/>
      <c r="AWX144" s="1785"/>
      <c r="AWY144" s="1785"/>
      <c r="AWZ144" s="1785"/>
      <c r="AXA144" s="1785"/>
      <c r="AXB144" s="1785"/>
      <c r="AXC144" s="1785"/>
      <c r="AXD144" s="1785"/>
      <c r="AXE144" s="1785"/>
      <c r="AXF144" s="1785"/>
      <c r="AXG144" s="1785"/>
      <c r="AXH144" s="1785"/>
      <c r="AXI144" s="1785"/>
      <c r="AXJ144" s="1785"/>
      <c r="AXK144" s="1785"/>
      <c r="AXL144" s="1785"/>
      <c r="AXM144" s="1785"/>
      <c r="AXN144" s="1785"/>
      <c r="AXO144" s="1785"/>
      <c r="AXP144" s="1785"/>
      <c r="AXQ144" s="1785"/>
      <c r="AXR144" s="1785"/>
      <c r="AXS144" s="1785"/>
      <c r="AXT144" s="1785"/>
      <c r="AXU144" s="1785"/>
      <c r="AXV144" s="1785"/>
      <c r="AXW144" s="1785"/>
      <c r="AXX144" s="1785"/>
      <c r="AXY144" s="1785"/>
      <c r="AXZ144" s="1785"/>
      <c r="AYA144" s="1785"/>
      <c r="AYB144" s="1785"/>
      <c r="AYC144" s="1785"/>
      <c r="AYD144" s="1785"/>
      <c r="AYE144" s="1785"/>
      <c r="AYF144" s="1785"/>
      <c r="AYG144" s="1785"/>
      <c r="AYH144" s="1785"/>
      <c r="AYI144" s="1785"/>
      <c r="AYJ144" s="1785"/>
      <c r="AYK144" s="1785"/>
      <c r="AYL144" s="1785"/>
      <c r="AYM144" s="1785"/>
      <c r="AYN144" s="1785"/>
      <c r="AYO144" s="1785"/>
      <c r="AYP144" s="1785"/>
      <c r="AYQ144" s="1785"/>
      <c r="AYR144" s="1785"/>
      <c r="AYS144" s="1785"/>
      <c r="AYT144" s="1785"/>
      <c r="AYU144" s="1785"/>
      <c r="AYV144" s="1785"/>
      <c r="AYW144" s="1785"/>
      <c r="AYX144" s="1785"/>
      <c r="AYY144" s="1785"/>
      <c r="AYZ144" s="1785"/>
      <c r="AZA144" s="1785"/>
      <c r="AZB144" s="1785"/>
      <c r="AZC144" s="1785"/>
      <c r="AZD144" s="1785"/>
      <c r="AZE144" s="1785"/>
      <c r="AZF144" s="1785"/>
      <c r="AZG144" s="1785"/>
      <c r="AZH144" s="1785"/>
      <c r="AZI144" s="1785"/>
      <c r="AZJ144" s="1785"/>
      <c r="AZK144" s="1785"/>
      <c r="AZL144" s="1785"/>
      <c r="AZM144" s="1785"/>
      <c r="AZN144" s="1785"/>
      <c r="AZO144" s="1785"/>
      <c r="AZP144" s="1785"/>
      <c r="AZQ144" s="1785"/>
      <c r="AZR144" s="1785"/>
      <c r="AZS144" s="1785"/>
      <c r="AZT144" s="1785"/>
      <c r="AZU144" s="1785"/>
      <c r="AZV144" s="1785"/>
      <c r="AZW144" s="1785"/>
      <c r="AZX144" s="1785"/>
      <c r="AZY144" s="1785"/>
      <c r="AZZ144" s="1785"/>
      <c r="BAA144" s="1785"/>
      <c r="BAB144" s="1785"/>
      <c r="BAC144" s="1785"/>
      <c r="BAD144" s="1785"/>
      <c r="BAE144" s="1785"/>
      <c r="BAF144" s="1785"/>
      <c r="BAG144" s="1785"/>
      <c r="BAH144" s="1785"/>
      <c r="BAI144" s="1785"/>
      <c r="BAJ144" s="1785"/>
      <c r="BAK144" s="1785"/>
      <c r="BAL144" s="1785"/>
      <c r="BAM144" s="1785"/>
      <c r="BAN144" s="1785"/>
      <c r="BAO144" s="1785"/>
      <c r="BAP144" s="1785"/>
      <c r="BAQ144" s="1785"/>
      <c r="BAR144" s="1785"/>
      <c r="BAS144" s="1785"/>
      <c r="BAT144" s="1785"/>
      <c r="BAU144" s="1785"/>
      <c r="BAV144" s="1785"/>
      <c r="BAW144" s="1785"/>
      <c r="BAX144" s="1785"/>
      <c r="BAY144" s="1785"/>
      <c r="BAZ144" s="1785"/>
      <c r="BBA144" s="1785"/>
      <c r="BBB144" s="1785"/>
      <c r="BBC144" s="1785"/>
      <c r="BBD144" s="1785"/>
      <c r="BBE144" s="1785"/>
      <c r="BBF144" s="1785"/>
      <c r="BBG144" s="1785"/>
      <c r="BBH144" s="1785"/>
      <c r="BBI144" s="1785"/>
      <c r="BBJ144" s="1785"/>
      <c r="BBK144" s="1785"/>
      <c r="BBL144" s="1785"/>
      <c r="BBM144" s="1785"/>
      <c r="BBN144" s="1785"/>
      <c r="BBO144" s="1785"/>
      <c r="BBP144" s="1785"/>
      <c r="BBQ144" s="1785"/>
      <c r="BBR144" s="1785"/>
      <c r="BBS144" s="1785"/>
      <c r="BBT144" s="1785"/>
      <c r="BBU144" s="1785"/>
      <c r="BBV144" s="1785"/>
      <c r="BBW144" s="1785"/>
      <c r="BBX144" s="1785"/>
      <c r="BBY144" s="1785"/>
      <c r="BBZ144" s="1785"/>
      <c r="BCA144" s="1785"/>
      <c r="BCB144" s="1785"/>
      <c r="BCC144" s="1785"/>
      <c r="BCD144" s="1785"/>
      <c r="BCE144" s="1785"/>
      <c r="BCF144" s="1785"/>
      <c r="BCG144" s="1785"/>
      <c r="BCH144" s="1785"/>
      <c r="BCI144" s="1785"/>
      <c r="BCJ144" s="1785"/>
      <c r="BCK144" s="1785"/>
      <c r="BCL144" s="1785"/>
      <c r="BCM144" s="1785"/>
      <c r="BCN144" s="1785"/>
      <c r="BCO144" s="1785"/>
      <c r="BCP144" s="1785"/>
      <c r="BCQ144" s="1785"/>
      <c r="BCR144" s="1785"/>
      <c r="BCS144" s="1785"/>
      <c r="BCT144" s="1785"/>
      <c r="BCU144" s="1785"/>
      <c r="BCV144" s="1785"/>
      <c r="BCW144" s="1785"/>
      <c r="BCX144" s="1785"/>
      <c r="BCY144" s="1785"/>
      <c r="BCZ144" s="1785"/>
      <c r="BDA144" s="1785"/>
      <c r="BDB144" s="1785"/>
      <c r="BDC144" s="1785"/>
      <c r="BDD144" s="1785"/>
      <c r="BDE144" s="1785"/>
      <c r="BDF144" s="1785"/>
      <c r="BDG144" s="1785"/>
      <c r="BDH144" s="1785"/>
      <c r="BDI144" s="1785"/>
      <c r="BDJ144" s="1785"/>
      <c r="BDK144" s="1785"/>
      <c r="BDL144" s="1785"/>
      <c r="BDM144" s="1785"/>
      <c r="BDN144" s="1785"/>
      <c r="BDO144" s="1785"/>
      <c r="BDP144" s="1785"/>
      <c r="BDQ144" s="1785"/>
      <c r="BDR144" s="1785"/>
      <c r="BDS144" s="1785"/>
      <c r="BDT144" s="1785"/>
      <c r="BDU144" s="1785"/>
      <c r="BDV144" s="1785"/>
      <c r="BDW144" s="1785"/>
      <c r="BDX144" s="1785"/>
      <c r="BDY144" s="1785"/>
      <c r="BDZ144" s="1785"/>
      <c r="BEA144" s="1785"/>
      <c r="BEB144" s="1785"/>
      <c r="BEC144" s="1785"/>
      <c r="BED144" s="1785"/>
      <c r="BEE144" s="1785"/>
      <c r="BEF144" s="1785"/>
      <c r="BEG144" s="1785"/>
      <c r="BEH144" s="1785"/>
      <c r="BEI144" s="1785"/>
      <c r="BEJ144" s="1785"/>
      <c r="BEK144" s="1785"/>
      <c r="BEL144" s="1785"/>
      <c r="BEM144" s="1785"/>
      <c r="BEN144" s="1785"/>
      <c r="BEO144" s="1785"/>
      <c r="BEP144" s="1785"/>
      <c r="BEQ144" s="1785"/>
      <c r="BER144" s="1785"/>
      <c r="BES144" s="1785"/>
      <c r="BET144" s="1785"/>
      <c r="BEU144" s="1785"/>
      <c r="BEV144" s="1785"/>
      <c r="BEW144" s="1785"/>
      <c r="BEX144" s="1785"/>
      <c r="BEY144" s="1785"/>
      <c r="BEZ144" s="1785"/>
      <c r="BFA144" s="1785"/>
      <c r="BFB144" s="1785"/>
      <c r="BFC144" s="1785"/>
      <c r="BFD144" s="1785"/>
      <c r="BFE144" s="1785"/>
      <c r="BFF144" s="1785"/>
      <c r="BFG144" s="1785"/>
      <c r="BFH144" s="1785"/>
      <c r="BFI144" s="1785"/>
      <c r="BFJ144" s="1785"/>
      <c r="BFK144" s="1785"/>
      <c r="BFL144" s="1785"/>
      <c r="BFM144" s="1785"/>
      <c r="BFN144" s="1785"/>
      <c r="BFO144" s="1785"/>
      <c r="BFP144" s="1785"/>
      <c r="BFQ144" s="1785"/>
      <c r="BFR144" s="1785"/>
      <c r="BFS144" s="1785"/>
      <c r="BFT144" s="1785"/>
      <c r="BFU144" s="1785"/>
      <c r="BFV144" s="1785"/>
      <c r="BFW144" s="1785"/>
      <c r="BFX144" s="1785"/>
      <c r="BFY144" s="1785"/>
      <c r="BFZ144" s="1785"/>
      <c r="BGA144" s="1785"/>
      <c r="BGB144" s="1785"/>
      <c r="BGC144" s="1785"/>
      <c r="BGD144" s="1785"/>
      <c r="BGE144" s="1785"/>
      <c r="BGF144" s="1785"/>
      <c r="BGG144" s="1785"/>
      <c r="BGH144" s="1785"/>
      <c r="BGI144" s="1785"/>
      <c r="BGJ144" s="1785"/>
      <c r="BGK144" s="1785"/>
      <c r="BGL144" s="1785"/>
      <c r="BGM144" s="1785"/>
      <c r="BGN144" s="1785"/>
      <c r="BGO144" s="1785"/>
      <c r="BGP144" s="1785"/>
      <c r="BGQ144" s="1785"/>
      <c r="BGR144" s="1785"/>
      <c r="BGS144" s="1785"/>
      <c r="BGT144" s="1785"/>
      <c r="BGU144" s="1785"/>
      <c r="BGV144" s="1785"/>
      <c r="BGW144" s="1785"/>
      <c r="BGX144" s="1785"/>
      <c r="BGY144" s="1785"/>
      <c r="BGZ144" s="1785"/>
      <c r="BHA144" s="1785"/>
      <c r="BHB144" s="1785"/>
      <c r="BHC144" s="1785"/>
      <c r="BHD144" s="1785"/>
      <c r="BHE144" s="1785"/>
      <c r="BHF144" s="1785"/>
      <c r="BHG144" s="1785"/>
      <c r="BHH144" s="1785"/>
      <c r="BHI144" s="1785"/>
      <c r="BHJ144" s="1785"/>
      <c r="BHK144" s="1785"/>
      <c r="BHL144" s="1785"/>
      <c r="BHM144" s="1785"/>
      <c r="BHN144" s="1785"/>
      <c r="BHO144" s="1785"/>
      <c r="BHP144" s="1785"/>
      <c r="BHQ144" s="1785"/>
      <c r="BHR144" s="1785"/>
      <c r="BHS144" s="1785"/>
      <c r="BHT144" s="1785"/>
      <c r="BHU144" s="1785"/>
      <c r="BHV144" s="1785"/>
      <c r="BHW144" s="1785"/>
      <c r="BHX144" s="1785"/>
      <c r="BHY144" s="1785"/>
      <c r="BHZ144" s="1785"/>
      <c r="BIA144" s="1785"/>
      <c r="BIB144" s="1785"/>
      <c r="BIC144" s="1785"/>
      <c r="BID144" s="1785"/>
      <c r="BIE144" s="1785"/>
      <c r="BIF144" s="1785"/>
      <c r="BIG144" s="1785"/>
      <c r="BIH144" s="1785"/>
      <c r="BII144" s="1785"/>
      <c r="BIJ144" s="1785"/>
      <c r="BIK144" s="1785"/>
      <c r="BIL144" s="1785"/>
      <c r="BIM144" s="1785"/>
      <c r="BIN144" s="1785"/>
      <c r="BIO144" s="1785"/>
      <c r="BIP144" s="1785"/>
      <c r="BIQ144" s="1785"/>
      <c r="BIR144" s="1785"/>
      <c r="BIS144" s="1785"/>
      <c r="BIT144" s="1785"/>
      <c r="BIU144" s="1785"/>
      <c r="BIV144" s="1785"/>
      <c r="BIW144" s="1785"/>
      <c r="BIX144" s="1785"/>
      <c r="BIY144" s="1785"/>
      <c r="BIZ144" s="1785"/>
      <c r="BJA144" s="1785"/>
      <c r="BJB144" s="1785"/>
      <c r="BJC144" s="1785"/>
      <c r="BJD144" s="1785"/>
      <c r="BJE144" s="1785"/>
      <c r="BJF144" s="1785"/>
      <c r="BJG144" s="1785"/>
      <c r="BJH144" s="1785"/>
      <c r="BJI144" s="1785"/>
      <c r="BJJ144" s="1785"/>
      <c r="BJK144" s="1785"/>
      <c r="BJL144" s="1785"/>
      <c r="BJM144" s="1785"/>
      <c r="BJN144" s="1785"/>
      <c r="BJO144" s="1785"/>
      <c r="BJP144" s="1785"/>
      <c r="BJQ144" s="1785"/>
      <c r="BJR144" s="1785"/>
      <c r="BJS144" s="1785"/>
      <c r="BJT144" s="1785"/>
      <c r="BJU144" s="1785"/>
      <c r="BJV144" s="1785"/>
      <c r="BJW144" s="1785"/>
      <c r="BJX144" s="1785"/>
      <c r="BJY144" s="1785"/>
      <c r="BJZ144" s="1785"/>
      <c r="BKA144" s="1785"/>
      <c r="BKB144" s="1785"/>
      <c r="BKC144" s="1785"/>
      <c r="BKD144" s="1785"/>
      <c r="BKE144" s="1785"/>
      <c r="BKF144" s="1785"/>
      <c r="BKG144" s="1785"/>
      <c r="BKH144" s="1785"/>
      <c r="BKI144" s="1785"/>
      <c r="BKJ144" s="1785"/>
      <c r="BKK144" s="1785"/>
      <c r="BKL144" s="1785"/>
      <c r="BKM144" s="1785"/>
      <c r="BKN144" s="1785"/>
      <c r="BKO144" s="1785"/>
      <c r="BKP144" s="1785"/>
      <c r="BKQ144" s="1785"/>
      <c r="BKR144" s="1785"/>
      <c r="BKS144" s="1785"/>
      <c r="BKT144" s="1785"/>
      <c r="BKU144" s="1785"/>
      <c r="BKV144" s="1785"/>
      <c r="BKW144" s="1785"/>
      <c r="BKX144" s="1785"/>
      <c r="BKY144" s="1785"/>
      <c r="BKZ144" s="1785"/>
      <c r="BLA144" s="1785"/>
      <c r="BLB144" s="1785"/>
      <c r="BLC144" s="1785"/>
      <c r="BLD144" s="1785"/>
      <c r="BLE144" s="1785"/>
      <c r="BLF144" s="1785"/>
      <c r="BLG144" s="1785"/>
      <c r="BLH144" s="1785"/>
      <c r="BLI144" s="1785"/>
      <c r="BLJ144" s="1785"/>
      <c r="BLK144" s="1785"/>
      <c r="BLL144" s="1785"/>
      <c r="BLM144" s="1785"/>
      <c r="BLN144" s="1785"/>
      <c r="BLO144" s="1785"/>
      <c r="BLP144" s="1785"/>
      <c r="BLQ144" s="1785"/>
      <c r="BLR144" s="1785"/>
      <c r="BLS144" s="1785"/>
      <c r="BLT144" s="1785"/>
      <c r="BLU144" s="1785"/>
      <c r="BLV144" s="1785"/>
      <c r="BLW144" s="1785"/>
      <c r="BLX144" s="1785"/>
      <c r="BLY144" s="1785"/>
      <c r="BLZ144" s="1785"/>
      <c r="BMA144" s="1785"/>
      <c r="BMB144" s="1785"/>
      <c r="BMC144" s="1785"/>
      <c r="BMD144" s="1785"/>
      <c r="BME144" s="1785"/>
      <c r="BMF144" s="1785"/>
      <c r="BMG144" s="1785"/>
      <c r="BMH144" s="1785"/>
      <c r="BMI144" s="1785"/>
      <c r="BMJ144" s="1785"/>
      <c r="BMK144" s="1785"/>
      <c r="BML144" s="1785"/>
      <c r="BMM144" s="1785"/>
      <c r="BMN144" s="1785"/>
      <c r="BMO144" s="1785"/>
      <c r="BMP144" s="1785"/>
      <c r="BMQ144" s="1785"/>
      <c r="BMR144" s="1785"/>
      <c r="BMS144" s="1785"/>
      <c r="BMT144" s="1785"/>
      <c r="BMU144" s="1785"/>
      <c r="BMV144" s="1785"/>
      <c r="BMW144" s="1785"/>
      <c r="BMX144" s="1785"/>
      <c r="BMY144" s="1785"/>
      <c r="BMZ144" s="1785"/>
      <c r="BNA144" s="1785"/>
      <c r="BNB144" s="1785"/>
      <c r="BNC144" s="1785"/>
      <c r="BND144" s="1785"/>
      <c r="BNE144" s="1785"/>
      <c r="BNF144" s="1785"/>
      <c r="BNG144" s="1785"/>
      <c r="BNH144" s="1785"/>
      <c r="BNI144" s="1785"/>
      <c r="BNJ144" s="1785"/>
      <c r="BNK144" s="1785"/>
      <c r="BNL144" s="1785"/>
      <c r="BNM144" s="1785"/>
      <c r="BNN144" s="1785"/>
      <c r="BNO144" s="1785"/>
      <c r="BNP144" s="1785"/>
      <c r="BNQ144" s="1785"/>
      <c r="BNR144" s="1785"/>
      <c r="BNS144" s="1785"/>
      <c r="BNT144" s="1785"/>
      <c r="BNU144" s="1785"/>
      <c r="BNV144" s="1785"/>
      <c r="BNW144" s="1785"/>
      <c r="BNX144" s="1785"/>
      <c r="BNY144" s="1785"/>
      <c r="BNZ144" s="1785"/>
      <c r="BOA144" s="1785"/>
      <c r="BOB144" s="1785"/>
      <c r="BOC144" s="1785"/>
      <c r="BOD144" s="1785"/>
      <c r="BOE144" s="1785"/>
      <c r="BOF144" s="1785"/>
      <c r="BOG144" s="1785"/>
      <c r="BOH144" s="1785"/>
      <c r="BOI144" s="1785"/>
      <c r="BOJ144" s="1785"/>
      <c r="BOK144" s="1785"/>
      <c r="BOL144" s="1785"/>
      <c r="BOM144" s="1785"/>
      <c r="BON144" s="1785"/>
      <c r="BOO144" s="1785"/>
      <c r="BOP144" s="1785"/>
      <c r="BOQ144" s="1785"/>
      <c r="BOR144" s="1785"/>
      <c r="BOS144" s="1785"/>
      <c r="BOT144" s="1785"/>
      <c r="BOU144" s="1785"/>
      <c r="BOV144" s="1785"/>
      <c r="BOW144" s="1785"/>
      <c r="BOX144" s="1785"/>
      <c r="BOY144" s="1785"/>
      <c r="BOZ144" s="1785"/>
      <c r="BPA144" s="1785"/>
      <c r="BPB144" s="1785"/>
      <c r="BPC144" s="1785"/>
      <c r="BPD144" s="1785"/>
      <c r="BPE144" s="1785"/>
      <c r="BPF144" s="1785"/>
      <c r="BPG144" s="1785"/>
      <c r="BPH144" s="1785"/>
      <c r="BPI144" s="1785"/>
      <c r="BPJ144" s="1785"/>
      <c r="BPK144" s="1785"/>
      <c r="BPL144" s="1785"/>
      <c r="BPM144" s="1785"/>
      <c r="BPN144" s="1785"/>
      <c r="BPO144" s="1785"/>
      <c r="BPP144" s="1785"/>
      <c r="BPQ144" s="1785"/>
      <c r="BPR144" s="1785"/>
      <c r="BPS144" s="1785"/>
      <c r="BPT144" s="1785"/>
      <c r="BPU144" s="1785"/>
      <c r="BPV144" s="1785"/>
      <c r="BPW144" s="1785"/>
      <c r="BPX144" s="1785"/>
      <c r="BPY144" s="1785"/>
      <c r="BPZ144" s="1785"/>
      <c r="BQA144" s="1785"/>
      <c r="BQB144" s="1785"/>
      <c r="BQC144" s="1785"/>
      <c r="BQD144" s="1785"/>
      <c r="BQE144" s="1785"/>
      <c r="BQF144" s="1785"/>
      <c r="BQG144" s="1785"/>
      <c r="BQH144" s="1785"/>
      <c r="BQI144" s="1785"/>
      <c r="BQJ144" s="1785"/>
      <c r="BQK144" s="1785"/>
      <c r="BQL144" s="1785"/>
      <c r="BQM144" s="1785"/>
      <c r="BQN144" s="1785"/>
      <c r="BQO144" s="1785"/>
      <c r="BQP144" s="1785"/>
      <c r="BQQ144" s="1785"/>
      <c r="BQR144" s="1785"/>
      <c r="BQS144" s="1785"/>
      <c r="BQT144" s="1785"/>
      <c r="BQU144" s="1785"/>
      <c r="BQV144" s="1785"/>
      <c r="BQW144" s="1785"/>
      <c r="BQX144" s="1785"/>
      <c r="BQY144" s="1785"/>
      <c r="BQZ144" s="1785"/>
      <c r="BRA144" s="1785"/>
      <c r="BRB144" s="1785"/>
      <c r="BRC144" s="1785"/>
      <c r="BRD144" s="1785"/>
      <c r="BRE144" s="1785"/>
      <c r="BRF144" s="1785"/>
      <c r="BRG144" s="1785"/>
      <c r="BRH144" s="1785"/>
      <c r="BRI144" s="1785"/>
      <c r="BRJ144" s="1785"/>
      <c r="BRK144" s="1785"/>
      <c r="BRL144" s="1785"/>
      <c r="BRM144" s="1785"/>
      <c r="BRN144" s="1785"/>
      <c r="BRO144" s="1785"/>
      <c r="BRP144" s="1785"/>
      <c r="BRQ144" s="1785"/>
      <c r="BRR144" s="1785"/>
      <c r="BRS144" s="1785"/>
      <c r="BRT144" s="1785"/>
      <c r="BRU144" s="1785"/>
      <c r="BRV144" s="1785"/>
      <c r="BRW144" s="1785"/>
      <c r="BRX144" s="1785"/>
      <c r="BRY144" s="1785"/>
      <c r="BRZ144" s="1785"/>
      <c r="BSA144" s="1785"/>
      <c r="BSB144" s="1785"/>
      <c r="BSC144" s="1785"/>
      <c r="BSD144" s="1785"/>
      <c r="BSE144" s="1785"/>
      <c r="BSF144" s="1785"/>
      <c r="BSG144" s="1785"/>
      <c r="BSH144" s="1785"/>
      <c r="BSI144" s="1785"/>
      <c r="BSJ144" s="1785"/>
      <c r="BSK144" s="1785"/>
      <c r="BSL144" s="1785"/>
      <c r="BSM144" s="1785"/>
      <c r="BSN144" s="1785"/>
      <c r="BSO144" s="1785"/>
      <c r="BSP144" s="1785"/>
      <c r="BSQ144" s="1785"/>
      <c r="BSR144" s="1785"/>
      <c r="BSS144" s="1785"/>
      <c r="BST144" s="1785"/>
      <c r="BSU144" s="1785"/>
      <c r="BSV144" s="1785"/>
      <c r="BSW144" s="1785"/>
      <c r="BSX144" s="1785"/>
      <c r="BSY144" s="1785"/>
      <c r="BSZ144" s="1785"/>
      <c r="BTA144" s="1785"/>
      <c r="BTB144" s="1785"/>
      <c r="BTC144" s="1785"/>
      <c r="BTD144" s="1785"/>
      <c r="BTE144" s="1785"/>
      <c r="BTF144" s="1785"/>
      <c r="BTG144" s="1785"/>
      <c r="BTH144" s="1785"/>
      <c r="BTI144" s="1785"/>
      <c r="BTJ144" s="1785"/>
      <c r="BTK144" s="1785"/>
      <c r="BTL144" s="1785"/>
      <c r="BTM144" s="1785"/>
      <c r="BTN144" s="1785"/>
      <c r="BTO144" s="1785"/>
      <c r="BTP144" s="1785"/>
      <c r="BTQ144" s="1785"/>
      <c r="BTR144" s="1785"/>
      <c r="BTS144" s="1785"/>
      <c r="BTT144" s="1785"/>
      <c r="BTU144" s="1785"/>
      <c r="BTV144" s="1785"/>
      <c r="BTW144" s="1785"/>
      <c r="BTX144" s="1785"/>
      <c r="BTY144" s="1785"/>
      <c r="BTZ144" s="1785"/>
      <c r="BUA144" s="1785"/>
      <c r="BUB144" s="1785"/>
      <c r="BUC144" s="1785"/>
      <c r="BUD144" s="1785"/>
      <c r="BUE144" s="1785"/>
      <c r="BUF144" s="1785"/>
      <c r="BUG144" s="1785"/>
      <c r="BUH144" s="1785"/>
      <c r="BUI144" s="1785"/>
      <c r="BUJ144" s="1785"/>
      <c r="BUK144" s="1785"/>
      <c r="BUL144" s="1785"/>
      <c r="BUM144" s="1785"/>
      <c r="BUN144" s="1785"/>
      <c r="BUO144" s="1785"/>
      <c r="BUP144" s="1785"/>
      <c r="BUQ144" s="1785"/>
      <c r="BUR144" s="1785"/>
      <c r="BUS144" s="1785"/>
      <c r="BUT144" s="1785"/>
      <c r="BUU144" s="1785"/>
      <c r="BUV144" s="1785"/>
      <c r="BUW144" s="1785"/>
      <c r="BUX144" s="1785"/>
      <c r="BUY144" s="1785"/>
      <c r="BUZ144" s="1785"/>
      <c r="BVA144" s="1785"/>
      <c r="BVB144" s="1785"/>
      <c r="BVC144" s="1785"/>
      <c r="BVD144" s="1785"/>
      <c r="BVE144" s="1785"/>
      <c r="BVF144" s="1785"/>
      <c r="BVG144" s="1785"/>
      <c r="BVH144" s="1785"/>
      <c r="BVI144" s="1785"/>
      <c r="BVJ144" s="1785"/>
      <c r="BVK144" s="1785"/>
      <c r="BVL144" s="1785"/>
      <c r="BVM144" s="1785"/>
      <c r="BVN144" s="1785"/>
      <c r="BVO144" s="1785"/>
      <c r="BVP144" s="1785"/>
      <c r="BVQ144" s="1785"/>
      <c r="BVR144" s="1785"/>
      <c r="BVS144" s="1785"/>
      <c r="BVT144" s="1785"/>
      <c r="BVU144" s="1785"/>
      <c r="BVV144" s="1785"/>
      <c r="BVW144" s="1785"/>
      <c r="BVX144" s="1785"/>
      <c r="BVY144" s="1785"/>
      <c r="BVZ144" s="1785"/>
      <c r="BWA144" s="1785"/>
      <c r="BWB144" s="1785"/>
      <c r="BWC144" s="1785"/>
      <c r="BWD144" s="1785"/>
      <c r="BWE144" s="1785"/>
      <c r="BWF144" s="1785"/>
      <c r="BWG144" s="1785"/>
      <c r="BWH144" s="1785"/>
      <c r="BWI144" s="1785"/>
      <c r="BWJ144" s="1785"/>
      <c r="BWK144" s="1785"/>
      <c r="BWL144" s="1785"/>
      <c r="BWM144" s="1785"/>
      <c r="BWN144" s="1785"/>
      <c r="BWO144" s="1785"/>
      <c r="BWP144" s="1785"/>
      <c r="BWQ144" s="1785"/>
      <c r="BWR144" s="1785"/>
      <c r="BWS144" s="1785"/>
      <c r="BWT144" s="1785"/>
      <c r="BWU144" s="1785"/>
      <c r="BWV144" s="1785"/>
      <c r="BWW144" s="1785"/>
      <c r="BWX144" s="1785"/>
      <c r="BWY144" s="1785"/>
      <c r="BWZ144" s="1785"/>
      <c r="BXA144" s="1785"/>
      <c r="BXB144" s="1785"/>
      <c r="BXC144" s="1785"/>
      <c r="BXD144" s="1785"/>
      <c r="BXE144" s="1785"/>
      <c r="BXF144" s="1785"/>
      <c r="BXG144" s="1785"/>
      <c r="BXH144" s="1785"/>
      <c r="BXI144" s="1785"/>
      <c r="BXJ144" s="1785"/>
      <c r="BXK144" s="1785"/>
      <c r="BXL144" s="1785"/>
      <c r="BXM144" s="1785"/>
      <c r="BXN144" s="1785"/>
      <c r="BXO144" s="1785"/>
      <c r="BXP144" s="1785"/>
      <c r="BXQ144" s="1785"/>
      <c r="BXR144" s="1785"/>
      <c r="BXS144" s="1785"/>
      <c r="BXT144" s="1785"/>
      <c r="BXU144" s="1785"/>
      <c r="BXV144" s="1785"/>
      <c r="BXW144" s="1785"/>
      <c r="BXX144" s="1785"/>
      <c r="BXY144" s="1785"/>
      <c r="BXZ144" s="1785"/>
      <c r="BYA144" s="1785"/>
      <c r="BYB144" s="1785"/>
      <c r="BYC144" s="1785"/>
      <c r="BYD144" s="1785"/>
      <c r="BYE144" s="1785"/>
      <c r="BYF144" s="1785"/>
      <c r="BYG144" s="1785"/>
      <c r="BYH144" s="1785"/>
      <c r="BYI144" s="1785"/>
      <c r="BYJ144" s="1785"/>
      <c r="BYK144" s="1785"/>
      <c r="BYL144" s="1785"/>
      <c r="BYM144" s="1785"/>
      <c r="BYN144" s="1785"/>
      <c r="BYO144" s="1785"/>
      <c r="BYP144" s="1785"/>
      <c r="BYQ144" s="1785"/>
      <c r="BYR144" s="1785"/>
      <c r="BYS144" s="1785"/>
      <c r="BYT144" s="1785"/>
      <c r="BYU144" s="1785"/>
      <c r="BYV144" s="1785"/>
      <c r="BYW144" s="1785"/>
      <c r="BYX144" s="1785"/>
      <c r="BYY144" s="1785"/>
      <c r="BYZ144" s="1785"/>
      <c r="BZA144" s="1785"/>
      <c r="BZB144" s="1785"/>
      <c r="BZC144" s="1785"/>
      <c r="BZD144" s="1785"/>
      <c r="BZE144" s="1785"/>
      <c r="BZF144" s="1785"/>
      <c r="BZG144" s="1785"/>
      <c r="BZH144" s="1785"/>
      <c r="BZI144" s="1785"/>
      <c r="BZJ144" s="1785"/>
      <c r="BZK144" s="1785"/>
      <c r="BZL144" s="1785"/>
      <c r="BZM144" s="1785"/>
      <c r="BZN144" s="1785"/>
      <c r="BZO144" s="1785"/>
      <c r="BZP144" s="1785"/>
      <c r="BZQ144" s="1785"/>
      <c r="BZR144" s="1785"/>
      <c r="BZS144" s="1785"/>
      <c r="BZT144" s="1785"/>
      <c r="BZU144" s="1785"/>
      <c r="BZV144" s="1785"/>
      <c r="BZW144" s="1785"/>
      <c r="BZX144" s="1785"/>
      <c r="BZY144" s="1785"/>
      <c r="BZZ144" s="1785"/>
      <c r="CAA144" s="1785"/>
      <c r="CAB144" s="1785"/>
      <c r="CAC144" s="1785"/>
      <c r="CAD144" s="1785"/>
      <c r="CAE144" s="1785"/>
      <c r="CAF144" s="1785"/>
      <c r="CAG144" s="1785"/>
      <c r="CAH144" s="1785"/>
      <c r="CAI144" s="1785"/>
      <c r="CAJ144" s="1785"/>
      <c r="CAK144" s="1785"/>
      <c r="CAL144" s="1785"/>
      <c r="CAM144" s="1785"/>
      <c r="CAN144" s="1785"/>
      <c r="CAO144" s="1785"/>
      <c r="CAP144" s="1785"/>
      <c r="CAQ144" s="1785"/>
      <c r="CAR144" s="1785"/>
      <c r="CAS144" s="1785"/>
      <c r="CAT144" s="1785"/>
      <c r="CAU144" s="1785"/>
      <c r="CAV144" s="1785"/>
      <c r="CAW144" s="1785"/>
      <c r="CAX144" s="1785"/>
      <c r="CAY144" s="1785"/>
      <c r="CAZ144" s="1785"/>
      <c r="CBA144" s="1785"/>
      <c r="CBB144" s="1785"/>
      <c r="CBC144" s="1785"/>
      <c r="CBD144" s="1785"/>
      <c r="CBE144" s="1785"/>
      <c r="CBF144" s="1785"/>
      <c r="CBG144" s="1785"/>
      <c r="CBH144" s="1785"/>
      <c r="CBI144" s="1785"/>
      <c r="CBJ144" s="1785"/>
      <c r="CBK144" s="1785"/>
      <c r="CBL144" s="1785"/>
      <c r="CBM144" s="1785"/>
      <c r="CBN144" s="1785"/>
      <c r="CBO144" s="1785"/>
      <c r="CBP144" s="1785"/>
      <c r="CBQ144" s="1785"/>
      <c r="CBR144" s="1785"/>
      <c r="CBS144" s="1785"/>
      <c r="CBT144" s="1785"/>
      <c r="CBU144" s="1785"/>
      <c r="CBV144" s="1785"/>
      <c r="CBW144" s="1785"/>
      <c r="CBX144" s="1785"/>
      <c r="CBY144" s="1785"/>
      <c r="CBZ144" s="1785"/>
      <c r="CCA144" s="1785"/>
      <c r="CCB144" s="1785"/>
      <c r="CCC144" s="1785"/>
      <c r="CCD144" s="1785"/>
      <c r="CCE144" s="1785"/>
      <c r="CCF144" s="1785"/>
      <c r="CCG144" s="1785"/>
      <c r="CCH144" s="1785"/>
      <c r="CCI144" s="1785"/>
      <c r="CCJ144" s="1785"/>
      <c r="CCK144" s="1785"/>
      <c r="CCL144" s="1785"/>
      <c r="CCM144" s="1785"/>
      <c r="CCN144" s="1785"/>
      <c r="CCO144" s="1785"/>
      <c r="CCP144" s="1785"/>
      <c r="CCQ144" s="1785"/>
      <c r="CCR144" s="1785"/>
      <c r="CCS144" s="1785"/>
      <c r="CCT144" s="1785"/>
      <c r="CCU144" s="1785"/>
      <c r="CCV144" s="1785"/>
      <c r="CCW144" s="1785"/>
      <c r="CCX144" s="1785"/>
      <c r="CCY144" s="1785"/>
      <c r="CCZ144" s="1785"/>
      <c r="CDA144" s="1785"/>
      <c r="CDB144" s="1785"/>
      <c r="CDC144" s="1785"/>
      <c r="CDD144" s="1785"/>
      <c r="CDE144" s="1785"/>
      <c r="CDF144" s="1785"/>
      <c r="CDG144" s="1785"/>
      <c r="CDH144" s="1785"/>
      <c r="CDI144" s="1785"/>
      <c r="CDJ144" s="1785"/>
      <c r="CDK144" s="1785"/>
      <c r="CDL144" s="1785"/>
      <c r="CDM144" s="1785"/>
      <c r="CDN144" s="1785"/>
      <c r="CDO144" s="1785"/>
      <c r="CDP144" s="1785"/>
      <c r="CDQ144" s="1785"/>
      <c r="CDR144" s="1785"/>
      <c r="CDS144" s="1785"/>
      <c r="CDT144" s="1785"/>
      <c r="CDU144" s="1785"/>
      <c r="CDV144" s="1785"/>
      <c r="CDW144" s="1785"/>
      <c r="CDX144" s="1785"/>
      <c r="CDY144" s="1785"/>
      <c r="CDZ144" s="1785"/>
      <c r="CEA144" s="1785"/>
      <c r="CEB144" s="1785"/>
      <c r="CEC144" s="1785"/>
      <c r="CED144" s="1785"/>
      <c r="CEE144" s="1785"/>
      <c r="CEF144" s="1785"/>
      <c r="CEG144" s="1785"/>
      <c r="CEH144" s="1785"/>
      <c r="CEI144" s="1785"/>
      <c r="CEJ144" s="1785"/>
      <c r="CEK144" s="1785"/>
      <c r="CEL144" s="1785"/>
      <c r="CEM144" s="1785"/>
      <c r="CEN144" s="1785"/>
      <c r="CEO144" s="1785"/>
      <c r="CEP144" s="1785"/>
      <c r="CEQ144" s="1785"/>
      <c r="CER144" s="1785"/>
      <c r="CES144" s="1785"/>
      <c r="CET144" s="1785"/>
      <c r="CEU144" s="1785"/>
      <c r="CEV144" s="1785"/>
      <c r="CEW144" s="1785"/>
      <c r="CEX144" s="1785"/>
      <c r="CEY144" s="1785"/>
      <c r="CEZ144" s="1785"/>
      <c r="CFA144" s="1785"/>
      <c r="CFB144" s="1785"/>
      <c r="CFC144" s="1785"/>
      <c r="CFD144" s="1785"/>
      <c r="CFE144" s="1785"/>
      <c r="CFF144" s="1785"/>
      <c r="CFG144" s="1785"/>
      <c r="CFH144" s="1785"/>
      <c r="CFI144" s="1785"/>
      <c r="CFJ144" s="1785"/>
      <c r="CFK144" s="1785"/>
      <c r="CFL144" s="1785"/>
      <c r="CFM144" s="1785"/>
      <c r="CFN144" s="1785"/>
      <c r="CFO144" s="1785"/>
      <c r="CFP144" s="1785"/>
      <c r="CFQ144" s="1785"/>
      <c r="CFR144" s="1785"/>
      <c r="CFS144" s="1785"/>
      <c r="CFT144" s="1785"/>
      <c r="CFU144" s="1785"/>
      <c r="CFV144" s="1785"/>
      <c r="CFW144" s="1785"/>
      <c r="CFX144" s="1785"/>
      <c r="CFY144" s="1785"/>
      <c r="CFZ144" s="1785"/>
      <c r="CGA144" s="1785"/>
      <c r="CGB144" s="1785"/>
      <c r="CGC144" s="1785"/>
      <c r="CGD144" s="1785"/>
      <c r="CGE144" s="1785"/>
      <c r="CGF144" s="1785"/>
      <c r="CGG144" s="1785"/>
      <c r="CGH144" s="1785"/>
      <c r="CGI144" s="1785"/>
      <c r="CGJ144" s="1785"/>
      <c r="CGK144" s="1785"/>
      <c r="CGL144" s="1785"/>
      <c r="CGM144" s="1785"/>
      <c r="CGN144" s="1785"/>
      <c r="CGO144" s="1785"/>
      <c r="CGP144" s="1785"/>
      <c r="CGQ144" s="1785"/>
      <c r="CGR144" s="1785"/>
      <c r="CGS144" s="1785"/>
      <c r="CGT144" s="1785"/>
      <c r="CGU144" s="1785"/>
      <c r="CGV144" s="1785"/>
      <c r="CGW144" s="1785"/>
      <c r="CGX144" s="1785"/>
      <c r="CGY144" s="1785"/>
      <c r="CGZ144" s="1785"/>
      <c r="CHA144" s="1785"/>
      <c r="CHB144" s="1785"/>
      <c r="CHC144" s="1785"/>
      <c r="CHD144" s="1785"/>
      <c r="CHE144" s="1785"/>
      <c r="CHF144" s="1785"/>
      <c r="CHG144" s="1785"/>
      <c r="CHH144" s="1785"/>
      <c r="CHI144" s="1785"/>
      <c r="CHJ144" s="1785"/>
      <c r="CHK144" s="1785"/>
      <c r="CHL144" s="1785"/>
      <c r="CHM144" s="1785"/>
      <c r="CHN144" s="1785"/>
      <c r="CHO144" s="1785"/>
      <c r="CHP144" s="1785"/>
      <c r="CHQ144" s="1785"/>
      <c r="CHR144" s="1785"/>
      <c r="CHS144" s="1785"/>
      <c r="CHT144" s="1785"/>
      <c r="CHU144" s="1785"/>
      <c r="CHV144" s="1785"/>
      <c r="CHW144" s="1785"/>
      <c r="CHX144" s="1785"/>
      <c r="CHY144" s="1785"/>
      <c r="CHZ144" s="1785"/>
      <c r="CIA144" s="1785"/>
      <c r="CIB144" s="1785"/>
      <c r="CIC144" s="1785"/>
      <c r="CID144" s="1785"/>
      <c r="CIE144" s="1785"/>
      <c r="CIF144" s="1785"/>
      <c r="CIG144" s="1785"/>
      <c r="CIH144" s="1785"/>
      <c r="CII144" s="1785"/>
      <c r="CIJ144" s="1785"/>
      <c r="CIK144" s="1785"/>
      <c r="CIL144" s="1785"/>
      <c r="CIM144" s="1785"/>
      <c r="CIN144" s="1785"/>
      <c r="CIO144" s="1785"/>
      <c r="CIP144" s="1785"/>
      <c r="CIQ144" s="1785"/>
      <c r="CIR144" s="1785"/>
      <c r="CIS144" s="1785"/>
      <c r="CIT144" s="1785"/>
      <c r="CIU144" s="1785"/>
      <c r="CIV144" s="1785"/>
      <c r="CIW144" s="1785"/>
      <c r="CIX144" s="1785"/>
      <c r="CIY144" s="1785"/>
      <c r="CIZ144" s="1785"/>
      <c r="CJA144" s="1785"/>
      <c r="CJB144" s="1785"/>
      <c r="CJC144" s="1785"/>
      <c r="CJD144" s="1785"/>
      <c r="CJE144" s="1785"/>
      <c r="CJF144" s="1785"/>
      <c r="CJG144" s="1785"/>
      <c r="CJH144" s="1785"/>
      <c r="CJI144" s="1785"/>
      <c r="CJJ144" s="1785"/>
      <c r="CJK144" s="1785"/>
      <c r="CJL144" s="1785"/>
      <c r="CJM144" s="1785"/>
      <c r="CJN144" s="1785"/>
      <c r="CJO144" s="1785"/>
      <c r="CJP144" s="1785"/>
      <c r="CJQ144" s="1785"/>
      <c r="CJR144" s="1785"/>
      <c r="CJS144" s="1785"/>
      <c r="CJT144" s="1785"/>
      <c r="CJU144" s="1785"/>
      <c r="CJV144" s="1785"/>
      <c r="CJW144" s="1785"/>
      <c r="CJX144" s="1785"/>
      <c r="CJY144" s="1785"/>
      <c r="CJZ144" s="1785"/>
      <c r="CKA144" s="1785"/>
      <c r="CKB144" s="1785"/>
      <c r="CKC144" s="1785"/>
      <c r="CKD144" s="1785"/>
      <c r="CKE144" s="1785"/>
      <c r="CKF144" s="1785"/>
      <c r="CKG144" s="1785"/>
      <c r="CKH144" s="1785"/>
      <c r="CKI144" s="1785"/>
      <c r="CKJ144" s="1785"/>
      <c r="CKK144" s="1785"/>
      <c r="CKL144" s="1785"/>
      <c r="CKM144" s="1785"/>
      <c r="CKN144" s="1785"/>
      <c r="CKO144" s="1785"/>
      <c r="CKP144" s="1785"/>
      <c r="CKQ144" s="1785"/>
      <c r="CKR144" s="1785"/>
      <c r="CKS144" s="1785"/>
      <c r="CKT144" s="1785"/>
      <c r="CKU144" s="1785"/>
      <c r="CKV144" s="1785"/>
      <c r="CKW144" s="1785"/>
      <c r="CKX144" s="1785"/>
      <c r="CKY144" s="1785"/>
      <c r="CKZ144" s="1785"/>
      <c r="CLA144" s="1785"/>
      <c r="CLB144" s="1785"/>
      <c r="CLC144" s="1785"/>
      <c r="CLD144" s="1785"/>
      <c r="CLE144" s="1785"/>
      <c r="CLF144" s="1785"/>
      <c r="CLG144" s="1785"/>
      <c r="CLH144" s="1785"/>
      <c r="CLI144" s="1785"/>
      <c r="CLJ144" s="1785"/>
      <c r="CLK144" s="1785"/>
      <c r="CLL144" s="1785"/>
      <c r="CLM144" s="1785"/>
      <c r="CLN144" s="1785"/>
      <c r="CLO144" s="1785"/>
      <c r="CLP144" s="1785"/>
      <c r="CLQ144" s="1785"/>
      <c r="CLR144" s="1785"/>
      <c r="CLS144" s="1785"/>
      <c r="CLT144" s="1785"/>
      <c r="CLU144" s="1785"/>
      <c r="CLV144" s="1785"/>
      <c r="CLW144" s="1785"/>
      <c r="CLX144" s="1785"/>
      <c r="CLY144" s="1785"/>
      <c r="CLZ144" s="1785"/>
      <c r="CMA144" s="1785"/>
      <c r="CMB144" s="1785"/>
      <c r="CMC144" s="1785"/>
      <c r="CMD144" s="1785"/>
      <c r="CME144" s="1785"/>
      <c r="CMF144" s="1785"/>
      <c r="CMG144" s="1785"/>
      <c r="CMH144" s="1785"/>
      <c r="CMI144" s="1785"/>
      <c r="CMJ144" s="1785"/>
      <c r="CMK144" s="1785"/>
      <c r="CML144" s="1785"/>
      <c r="CMM144" s="1785"/>
      <c r="CMN144" s="1785"/>
      <c r="CMO144" s="1785"/>
      <c r="CMP144" s="1785"/>
      <c r="CMQ144" s="1785"/>
      <c r="CMR144" s="1785"/>
      <c r="CMS144" s="1785"/>
      <c r="CMT144" s="1785"/>
      <c r="CMU144" s="1785"/>
      <c r="CMV144" s="1785"/>
      <c r="CMW144" s="1785"/>
      <c r="CMX144" s="1785"/>
      <c r="CMY144" s="1785"/>
      <c r="CMZ144" s="1785"/>
      <c r="CNA144" s="1785"/>
      <c r="CNB144" s="1785"/>
      <c r="CNC144" s="1785"/>
      <c r="CND144" s="1785"/>
      <c r="CNE144" s="1785"/>
      <c r="CNF144" s="1785"/>
      <c r="CNG144" s="1785"/>
      <c r="CNH144" s="1785"/>
      <c r="CNI144" s="1785"/>
      <c r="CNJ144" s="1785"/>
      <c r="CNK144" s="1785"/>
      <c r="CNL144" s="1785"/>
      <c r="CNM144" s="1785"/>
      <c r="CNN144" s="1785"/>
      <c r="CNO144" s="1785"/>
      <c r="CNP144" s="1785"/>
      <c r="CNQ144" s="1785"/>
      <c r="CNR144" s="1785"/>
      <c r="CNS144" s="1785"/>
      <c r="CNT144" s="1785"/>
      <c r="CNU144" s="1785"/>
      <c r="CNV144" s="1785"/>
      <c r="CNW144" s="1785"/>
      <c r="CNX144" s="1785"/>
      <c r="CNY144" s="1785"/>
      <c r="CNZ144" s="1785"/>
      <c r="COA144" s="1785"/>
      <c r="COB144" s="1785"/>
      <c r="COC144" s="1785"/>
      <c r="COD144" s="1785"/>
      <c r="COE144" s="1785"/>
      <c r="COF144" s="1785"/>
      <c r="COG144" s="1785"/>
      <c r="COH144" s="1785"/>
      <c r="COI144" s="1785"/>
      <c r="COJ144" s="1785"/>
      <c r="COK144" s="1785"/>
      <c r="COL144" s="1785"/>
      <c r="COM144" s="1785"/>
      <c r="CON144" s="1785"/>
      <c r="COO144" s="1785"/>
      <c r="COP144" s="1785"/>
      <c r="COQ144" s="1785"/>
      <c r="COR144" s="1785"/>
      <c r="COS144" s="1785"/>
      <c r="COT144" s="1785"/>
      <c r="COU144" s="1785"/>
      <c r="COV144" s="1785"/>
      <c r="COW144" s="1785"/>
      <c r="COX144" s="1785"/>
      <c r="COY144" s="1785"/>
      <c r="COZ144" s="1785"/>
      <c r="CPA144" s="1785"/>
      <c r="CPB144" s="1785"/>
      <c r="CPC144" s="1785"/>
      <c r="CPD144" s="1785"/>
      <c r="CPE144" s="1785"/>
      <c r="CPF144" s="1785"/>
      <c r="CPG144" s="1785"/>
      <c r="CPH144" s="1785"/>
      <c r="CPI144" s="1785"/>
      <c r="CPJ144" s="1785"/>
      <c r="CPK144" s="1785"/>
      <c r="CPL144" s="1785"/>
      <c r="CPM144" s="1785"/>
      <c r="CPN144" s="1785"/>
      <c r="CPO144" s="1785"/>
      <c r="CPP144" s="1785"/>
      <c r="CPQ144" s="1785"/>
      <c r="CPR144" s="1785"/>
      <c r="CPS144" s="1785"/>
      <c r="CPT144" s="1785"/>
      <c r="CPU144" s="1785"/>
      <c r="CPV144" s="1785"/>
      <c r="CPW144" s="1785"/>
      <c r="CPX144" s="1785"/>
      <c r="CPY144" s="1785"/>
      <c r="CPZ144" s="1785"/>
      <c r="CQA144" s="1785"/>
      <c r="CQB144" s="1785"/>
      <c r="CQC144" s="1785"/>
      <c r="CQD144" s="1785"/>
      <c r="CQE144" s="1785"/>
      <c r="CQF144" s="1785"/>
      <c r="CQG144" s="1785"/>
      <c r="CQH144" s="1785"/>
      <c r="CQI144" s="1785"/>
      <c r="CQJ144" s="1785"/>
      <c r="CQK144" s="1785"/>
      <c r="CQL144" s="1785"/>
      <c r="CQM144" s="1785"/>
      <c r="CQN144" s="1785"/>
      <c r="CQO144" s="1785"/>
      <c r="CQP144" s="1785"/>
      <c r="CQQ144" s="1785"/>
      <c r="CQR144" s="1785"/>
      <c r="CQS144" s="1785"/>
      <c r="CQT144" s="1785"/>
      <c r="CQU144" s="1785"/>
      <c r="CQV144" s="1785"/>
      <c r="CQW144" s="1785"/>
      <c r="CQX144" s="1785"/>
      <c r="CQY144" s="1785"/>
      <c r="CQZ144" s="1785"/>
      <c r="CRA144" s="1785"/>
      <c r="CRB144" s="1785"/>
      <c r="CRC144" s="1785"/>
      <c r="CRD144" s="1785"/>
      <c r="CRE144" s="1785"/>
      <c r="CRF144" s="1785"/>
      <c r="CRG144" s="1785"/>
      <c r="CRH144" s="1785"/>
      <c r="CRI144" s="1785"/>
      <c r="CRJ144" s="1785"/>
      <c r="CRK144" s="1785"/>
      <c r="CRL144" s="1785"/>
      <c r="CRM144" s="1785"/>
      <c r="CRN144" s="1785"/>
      <c r="CRO144" s="1785"/>
      <c r="CRP144" s="1785"/>
      <c r="CRQ144" s="1785"/>
      <c r="CRR144" s="1785"/>
      <c r="CRS144" s="1785"/>
      <c r="CRT144" s="1785"/>
      <c r="CRU144" s="1785"/>
      <c r="CRV144" s="1785"/>
      <c r="CRW144" s="1785"/>
      <c r="CRX144" s="1785"/>
      <c r="CRY144" s="1785"/>
      <c r="CRZ144" s="1785"/>
      <c r="CSA144" s="1785"/>
      <c r="CSB144" s="1785"/>
      <c r="CSC144" s="1785"/>
      <c r="CSD144" s="1785"/>
      <c r="CSE144" s="1785"/>
      <c r="CSF144" s="1785"/>
      <c r="CSG144" s="1785"/>
      <c r="CSH144" s="1785"/>
      <c r="CSI144" s="1785"/>
      <c r="CSJ144" s="1785"/>
      <c r="CSK144" s="1785"/>
      <c r="CSL144" s="1785"/>
      <c r="CSM144" s="1785"/>
      <c r="CSN144" s="1785"/>
      <c r="CSO144" s="1785"/>
      <c r="CSP144" s="1785"/>
      <c r="CSQ144" s="1785"/>
      <c r="CSR144" s="1785"/>
      <c r="CSS144" s="1785"/>
      <c r="CST144" s="1785"/>
      <c r="CSU144" s="1785"/>
      <c r="CSV144" s="1785"/>
      <c r="CSW144" s="1785"/>
      <c r="CSX144" s="1785"/>
      <c r="CSY144" s="1785"/>
      <c r="CSZ144" s="1785"/>
      <c r="CTA144" s="1785"/>
      <c r="CTB144" s="1785"/>
      <c r="CTC144" s="1785"/>
      <c r="CTD144" s="1785"/>
      <c r="CTE144" s="1785"/>
      <c r="CTF144" s="1785"/>
      <c r="CTG144" s="1785"/>
      <c r="CTH144" s="1785"/>
      <c r="CTI144" s="1785"/>
      <c r="CTJ144" s="1785"/>
      <c r="CTK144" s="1785"/>
      <c r="CTL144" s="1785"/>
      <c r="CTM144" s="1785"/>
      <c r="CTN144" s="1785"/>
      <c r="CTO144" s="1785"/>
      <c r="CTP144" s="1785"/>
      <c r="CTQ144" s="1785"/>
      <c r="CTR144" s="1785"/>
      <c r="CTS144" s="1785"/>
      <c r="CTT144" s="1785"/>
      <c r="CTU144" s="1785"/>
      <c r="CTV144" s="1785"/>
      <c r="CTW144" s="1785"/>
      <c r="CTX144" s="1785"/>
      <c r="CTY144" s="1785"/>
      <c r="CTZ144" s="1785"/>
      <c r="CUA144" s="1785"/>
      <c r="CUB144" s="1785"/>
      <c r="CUC144" s="1785"/>
      <c r="CUD144" s="1785"/>
      <c r="CUE144" s="1785"/>
      <c r="CUF144" s="1785"/>
      <c r="CUG144" s="1785"/>
      <c r="CUH144" s="1785"/>
      <c r="CUI144" s="1785"/>
      <c r="CUJ144" s="1785"/>
      <c r="CUK144" s="1785"/>
      <c r="CUL144" s="1785"/>
      <c r="CUM144" s="1785"/>
      <c r="CUN144" s="1785"/>
      <c r="CUO144" s="1785"/>
      <c r="CUP144" s="1785"/>
      <c r="CUQ144" s="1785"/>
      <c r="CUR144" s="1785"/>
      <c r="CUS144" s="1785"/>
      <c r="CUT144" s="1785"/>
      <c r="CUU144" s="1785"/>
      <c r="CUV144" s="1785"/>
      <c r="CUW144" s="1785"/>
      <c r="CUX144" s="1785"/>
      <c r="CUY144" s="1785"/>
      <c r="CUZ144" s="1785"/>
      <c r="CVA144" s="1785"/>
      <c r="CVB144" s="1785"/>
      <c r="CVC144" s="1785"/>
      <c r="CVD144" s="1785"/>
      <c r="CVE144" s="1785"/>
      <c r="CVF144" s="1785"/>
      <c r="CVG144" s="1785"/>
      <c r="CVH144" s="1785"/>
      <c r="CVI144" s="1785"/>
      <c r="CVJ144" s="1785"/>
      <c r="CVK144" s="1785"/>
      <c r="CVL144" s="1785"/>
      <c r="CVM144" s="1785"/>
      <c r="CVN144" s="1785"/>
      <c r="CVO144" s="1785"/>
      <c r="CVP144" s="1785"/>
      <c r="CVQ144" s="1785"/>
      <c r="CVR144" s="1785"/>
      <c r="CVS144" s="1785"/>
      <c r="CVT144" s="1785"/>
      <c r="CVU144" s="1785"/>
      <c r="CVV144" s="1785"/>
      <c r="CVW144" s="1785"/>
      <c r="CVX144" s="1785"/>
      <c r="CVY144" s="1785"/>
      <c r="CVZ144" s="1785"/>
      <c r="CWA144" s="1785"/>
      <c r="CWB144" s="1785"/>
      <c r="CWC144" s="1785"/>
      <c r="CWD144" s="1785"/>
      <c r="CWE144" s="1785"/>
      <c r="CWF144" s="1785"/>
      <c r="CWG144" s="1785"/>
      <c r="CWH144" s="1785"/>
      <c r="CWI144" s="1785"/>
      <c r="CWJ144" s="1785"/>
      <c r="CWK144" s="1785"/>
      <c r="CWL144" s="1785"/>
      <c r="CWM144" s="1785"/>
      <c r="CWN144" s="1785"/>
      <c r="CWO144" s="1785"/>
      <c r="CWP144" s="1785"/>
      <c r="CWQ144" s="1785"/>
      <c r="CWR144" s="1785"/>
      <c r="CWS144" s="1785"/>
      <c r="CWT144" s="1785"/>
      <c r="CWU144" s="1785"/>
      <c r="CWV144" s="1785"/>
      <c r="CWW144" s="1785"/>
      <c r="CWX144" s="1785"/>
      <c r="CWY144" s="1785"/>
      <c r="CWZ144" s="1785"/>
      <c r="CXA144" s="1785"/>
      <c r="CXB144" s="1785"/>
      <c r="CXC144" s="1785"/>
      <c r="CXD144" s="1785"/>
      <c r="CXE144" s="1785"/>
      <c r="CXF144" s="1785"/>
      <c r="CXG144" s="1785"/>
      <c r="CXH144" s="1785"/>
      <c r="CXI144" s="1785"/>
      <c r="CXJ144" s="1785"/>
      <c r="CXK144" s="1785"/>
      <c r="CXL144" s="1785"/>
      <c r="CXM144" s="1785"/>
      <c r="CXN144" s="1785"/>
      <c r="CXO144" s="1785"/>
      <c r="CXP144" s="1785"/>
      <c r="CXQ144" s="1785"/>
      <c r="CXR144" s="1785"/>
      <c r="CXS144" s="1785"/>
      <c r="CXT144" s="1785"/>
      <c r="CXU144" s="1785"/>
      <c r="CXV144" s="1785"/>
      <c r="CXW144" s="1785"/>
      <c r="CXX144" s="1785"/>
      <c r="CXY144" s="1785"/>
      <c r="CXZ144" s="1785"/>
      <c r="CYA144" s="1785"/>
      <c r="CYB144" s="1785"/>
      <c r="CYC144" s="1785"/>
      <c r="CYD144" s="1785"/>
      <c r="CYE144" s="1785"/>
      <c r="CYF144" s="1785"/>
      <c r="CYG144" s="1785"/>
      <c r="CYH144" s="1785"/>
      <c r="CYI144" s="1785"/>
      <c r="CYJ144" s="1785"/>
      <c r="CYK144" s="1785"/>
      <c r="CYL144" s="1785"/>
      <c r="CYM144" s="1785"/>
      <c r="CYN144" s="1785"/>
      <c r="CYO144" s="1785"/>
      <c r="CYP144" s="1785"/>
      <c r="CYQ144" s="1785"/>
      <c r="CYR144" s="1785"/>
      <c r="CYS144" s="1785"/>
      <c r="CYT144" s="1785"/>
      <c r="CYU144" s="1785"/>
      <c r="CYV144" s="1785"/>
      <c r="CYW144" s="1785"/>
      <c r="CYX144" s="1785"/>
      <c r="CYY144" s="1785"/>
      <c r="CYZ144" s="1785"/>
      <c r="CZA144" s="1785"/>
      <c r="CZB144" s="1785"/>
      <c r="CZC144" s="1785"/>
      <c r="CZD144" s="1785"/>
      <c r="CZE144" s="1785"/>
      <c r="CZF144" s="1785"/>
      <c r="CZG144" s="1785"/>
      <c r="CZH144" s="1785"/>
      <c r="CZI144" s="1785"/>
      <c r="CZJ144" s="1785"/>
      <c r="CZK144" s="1785"/>
      <c r="CZL144" s="1785"/>
      <c r="CZM144" s="1785"/>
      <c r="CZN144" s="1785"/>
      <c r="CZO144" s="1785"/>
      <c r="CZP144" s="1785"/>
      <c r="CZQ144" s="1785"/>
      <c r="CZR144" s="1785"/>
      <c r="CZS144" s="1785"/>
      <c r="CZT144" s="1785"/>
      <c r="CZU144" s="1785"/>
      <c r="CZV144" s="1785"/>
      <c r="CZW144" s="1785"/>
      <c r="CZX144" s="1785"/>
      <c r="CZY144" s="1785"/>
      <c r="CZZ144" s="1785"/>
      <c r="DAA144" s="1785"/>
      <c r="DAB144" s="1785"/>
      <c r="DAC144" s="1785"/>
      <c r="DAD144" s="1785"/>
      <c r="DAE144" s="1785"/>
      <c r="DAF144" s="1785"/>
      <c r="DAG144" s="1785"/>
      <c r="DAH144" s="1785"/>
      <c r="DAI144" s="1785"/>
      <c r="DAJ144" s="1785"/>
      <c r="DAK144" s="1785"/>
      <c r="DAL144" s="1785"/>
      <c r="DAM144" s="1785"/>
      <c r="DAN144" s="1785"/>
      <c r="DAO144" s="1785"/>
    </row>
    <row r="145" spans="1:2745" s="1887" customFormat="1" ht="56.25" customHeight="1" x14ac:dyDescent="0.2">
      <c r="A145" s="1869"/>
      <c r="B145" s="1870"/>
      <c r="C145" s="1871"/>
      <c r="D145" s="1872"/>
      <c r="E145" s="1872"/>
      <c r="F145" s="1871"/>
      <c r="G145" s="1872"/>
      <c r="H145" s="1872"/>
      <c r="I145" s="1871"/>
      <c r="J145" s="4261"/>
      <c r="K145" s="4262"/>
      <c r="L145" s="4254"/>
      <c r="M145" s="4245"/>
      <c r="N145" s="4245"/>
      <c r="O145" s="4245"/>
      <c r="P145" s="4245"/>
      <c r="Q145" s="1883">
        <f>V145/R144</f>
        <v>0.57679519677376623</v>
      </c>
      <c r="R145" s="4251"/>
      <c r="S145" s="4254"/>
      <c r="T145" s="4254"/>
      <c r="U145" s="1888" t="s">
        <v>1632</v>
      </c>
      <c r="V145" s="1889">
        <v>1689935370</v>
      </c>
      <c r="W145" s="1889">
        <v>800000000</v>
      </c>
      <c r="X145" s="1890">
        <v>0</v>
      </c>
      <c r="Y145" s="1891">
        <v>20</v>
      </c>
      <c r="Z145" s="1892" t="s">
        <v>70</v>
      </c>
      <c r="AA145" s="2858"/>
      <c r="AB145" s="2858"/>
      <c r="AC145" s="2858"/>
      <c r="AD145" s="2858"/>
      <c r="AE145" s="2858"/>
      <c r="AF145" s="2858"/>
      <c r="AG145" s="2858"/>
      <c r="AH145" s="2858"/>
      <c r="AI145" s="2858"/>
      <c r="AJ145" s="2858"/>
      <c r="AK145" s="2858"/>
      <c r="AL145" s="2858"/>
      <c r="AM145" s="2858"/>
      <c r="AN145" s="2858"/>
      <c r="AO145" s="2858"/>
      <c r="AP145" s="2858"/>
      <c r="AQ145" s="2858"/>
      <c r="AR145" s="2858"/>
      <c r="AS145" s="2858"/>
      <c r="AT145" s="2858"/>
      <c r="AU145" s="2858"/>
      <c r="AV145" s="2858"/>
      <c r="AW145" s="2858"/>
      <c r="AX145" s="2858"/>
      <c r="AY145" s="2858"/>
      <c r="AZ145" s="2858"/>
      <c r="BA145" s="2858"/>
      <c r="BB145" s="2858"/>
      <c r="BC145" s="2858"/>
      <c r="BD145" s="2858"/>
      <c r="BE145" s="2858"/>
      <c r="BF145" s="2858"/>
      <c r="BG145" s="4236"/>
      <c r="BH145" s="2856"/>
      <c r="BI145" s="4239"/>
      <c r="BJ145" s="4242"/>
      <c r="BK145" s="4245"/>
      <c r="BL145" s="4234"/>
      <c r="BM145" s="4230"/>
      <c r="BN145" s="4230"/>
      <c r="BO145" s="4230"/>
      <c r="BP145" s="4230"/>
      <c r="BQ145" s="4234"/>
      <c r="BR145" s="1785"/>
      <c r="BS145" s="1785"/>
      <c r="BT145" s="1785"/>
      <c r="BU145" s="1785"/>
      <c r="BV145" s="1785"/>
      <c r="BW145" s="1785"/>
      <c r="BX145" s="1785"/>
      <c r="BY145" s="1785"/>
      <c r="BZ145" s="1785"/>
      <c r="CA145" s="1785"/>
      <c r="CB145" s="1785"/>
      <c r="CC145" s="1785"/>
      <c r="CD145" s="1785"/>
      <c r="CE145" s="1785"/>
      <c r="CF145" s="1785"/>
      <c r="CG145" s="1785"/>
      <c r="CH145" s="1785"/>
      <c r="CI145" s="1785"/>
      <c r="CJ145" s="1785"/>
      <c r="CK145" s="1785"/>
      <c r="CL145" s="1785"/>
      <c r="CM145" s="1785"/>
      <c r="CN145" s="1785"/>
      <c r="CO145" s="1785"/>
      <c r="CP145" s="1785"/>
      <c r="CQ145" s="1785"/>
      <c r="CR145" s="1785"/>
      <c r="CS145" s="1785"/>
      <c r="CT145" s="1785"/>
      <c r="CU145" s="1785"/>
      <c r="CV145" s="1785"/>
      <c r="CW145" s="1785"/>
      <c r="CX145" s="1785"/>
      <c r="CY145" s="1785"/>
      <c r="CZ145" s="1785"/>
      <c r="DA145" s="1785"/>
      <c r="DB145" s="1785"/>
      <c r="DC145" s="1785"/>
      <c r="DD145" s="1785"/>
      <c r="DE145" s="1785"/>
      <c r="DF145" s="1785"/>
      <c r="DG145" s="1785"/>
      <c r="DH145" s="1785"/>
      <c r="DI145" s="1785"/>
      <c r="DJ145" s="1785"/>
      <c r="DK145" s="1785"/>
      <c r="DL145" s="1785"/>
      <c r="DM145" s="1785"/>
      <c r="DN145" s="1785"/>
      <c r="DO145" s="1785"/>
      <c r="DP145" s="1785"/>
      <c r="DQ145" s="1785"/>
      <c r="DR145" s="1785"/>
      <c r="DS145" s="1785"/>
      <c r="DT145" s="1785"/>
      <c r="DU145" s="1785"/>
      <c r="FB145" s="1785"/>
      <c r="FC145" s="1785"/>
      <c r="FD145" s="1785"/>
      <c r="FE145" s="1785"/>
      <c r="FF145" s="1785"/>
      <c r="FG145" s="1785"/>
      <c r="FH145" s="1785"/>
      <c r="FI145" s="1785"/>
      <c r="FJ145" s="1785"/>
      <c r="FK145" s="1785"/>
      <c r="FL145" s="1785"/>
      <c r="FM145" s="1785"/>
      <c r="FN145" s="1785"/>
      <c r="FO145" s="1785"/>
      <c r="FP145" s="1785"/>
      <c r="FQ145" s="1785"/>
      <c r="FR145" s="1785"/>
      <c r="FS145" s="1785"/>
      <c r="FT145" s="1785"/>
      <c r="FU145" s="1785"/>
      <c r="FV145" s="1785"/>
      <c r="FW145" s="1785"/>
      <c r="FX145" s="1785"/>
      <c r="FY145" s="1785"/>
      <c r="FZ145" s="1785"/>
      <c r="GA145" s="1785"/>
      <c r="GB145" s="1785"/>
      <c r="GC145" s="1785"/>
      <c r="GD145" s="1785"/>
      <c r="GE145" s="1785"/>
      <c r="GF145" s="1785"/>
      <c r="GG145" s="1785"/>
      <c r="GH145" s="1785"/>
      <c r="GI145" s="1785"/>
      <c r="GJ145" s="1785"/>
      <c r="GK145" s="1785"/>
      <c r="GL145" s="1785"/>
      <c r="GM145" s="1785"/>
      <c r="GN145" s="1785"/>
      <c r="GO145" s="1785"/>
      <c r="GP145" s="1785"/>
      <c r="GQ145" s="1785"/>
      <c r="GR145" s="1785"/>
      <c r="GS145" s="1785"/>
      <c r="GT145" s="1785"/>
      <c r="GU145" s="1785"/>
      <c r="GV145" s="1785"/>
      <c r="GW145" s="1785"/>
      <c r="GX145" s="1785"/>
      <c r="GY145" s="1785"/>
      <c r="GZ145" s="1785"/>
      <c r="HA145" s="1785"/>
      <c r="HB145" s="1785"/>
      <c r="HC145" s="1785"/>
      <c r="HD145" s="1785"/>
      <c r="HE145" s="1785"/>
      <c r="HF145" s="1785"/>
      <c r="HG145" s="1785"/>
      <c r="HH145" s="1785"/>
      <c r="HI145" s="1785"/>
      <c r="HJ145" s="1785"/>
      <c r="HK145" s="1785"/>
      <c r="HL145" s="1785"/>
      <c r="HM145" s="1785"/>
      <c r="HN145" s="1785"/>
      <c r="HO145" s="1785"/>
      <c r="HP145" s="1785"/>
      <c r="HQ145" s="1785"/>
      <c r="HR145" s="1785"/>
      <c r="HS145" s="1785"/>
      <c r="HT145" s="1785"/>
      <c r="HU145" s="1785"/>
      <c r="HV145" s="1785"/>
      <c r="HW145" s="1785"/>
      <c r="HX145" s="1785"/>
      <c r="HY145" s="1785"/>
      <c r="HZ145" s="1785"/>
      <c r="IA145" s="1785"/>
      <c r="IB145" s="1785"/>
      <c r="IC145" s="1785"/>
      <c r="ID145" s="1785"/>
      <c r="IE145" s="1785"/>
      <c r="IF145" s="1785"/>
      <c r="IG145" s="1785"/>
      <c r="IH145" s="1785"/>
      <c r="II145" s="1785"/>
      <c r="IJ145" s="1785"/>
      <c r="IK145" s="1785"/>
      <c r="IL145" s="1785"/>
      <c r="IM145" s="1785"/>
      <c r="IN145" s="1785"/>
      <c r="IO145" s="1785"/>
      <c r="IP145" s="1785"/>
      <c r="IQ145" s="1785"/>
      <c r="IR145" s="1785"/>
      <c r="IS145" s="1785"/>
      <c r="IT145" s="1785"/>
      <c r="IU145" s="1785"/>
      <c r="IV145" s="1785"/>
      <c r="IW145" s="1785"/>
      <c r="IX145" s="1785"/>
      <c r="IY145" s="1785"/>
      <c r="IZ145" s="1785"/>
      <c r="JA145" s="1785"/>
      <c r="JB145" s="1785"/>
      <c r="JC145" s="1785"/>
      <c r="JD145" s="1785"/>
      <c r="JE145" s="1785"/>
      <c r="JF145" s="1785"/>
      <c r="JG145" s="1785"/>
      <c r="JH145" s="1785"/>
      <c r="JI145" s="1785"/>
      <c r="JJ145" s="1785"/>
      <c r="JK145" s="1785"/>
      <c r="JL145" s="1785"/>
      <c r="JM145" s="1785"/>
      <c r="JN145" s="1785"/>
      <c r="JO145" s="1785"/>
      <c r="JP145" s="1785"/>
      <c r="JQ145" s="1785"/>
      <c r="JR145" s="1785"/>
      <c r="JS145" s="1785"/>
      <c r="JT145" s="1785"/>
      <c r="JU145" s="1785"/>
      <c r="JV145" s="1785"/>
      <c r="JW145" s="1785"/>
      <c r="JX145" s="1785"/>
      <c r="JY145" s="1785"/>
      <c r="JZ145" s="1785"/>
      <c r="KA145" s="1785"/>
      <c r="KB145" s="1785"/>
      <c r="KC145" s="1785"/>
      <c r="KD145" s="1785"/>
      <c r="KE145" s="1785"/>
      <c r="KF145" s="1785"/>
      <c r="KG145" s="1785"/>
      <c r="KH145" s="1785"/>
      <c r="KI145" s="1785"/>
      <c r="KJ145" s="1785"/>
      <c r="KK145" s="1785"/>
      <c r="KL145" s="1785"/>
      <c r="KM145" s="1785"/>
      <c r="KN145" s="1785"/>
      <c r="KO145" s="1785"/>
      <c r="KP145" s="1785"/>
      <c r="KQ145" s="1785"/>
      <c r="KR145" s="1785"/>
      <c r="LM145" s="1785"/>
      <c r="LN145" s="1785"/>
      <c r="LO145" s="1785"/>
      <c r="LP145" s="1785"/>
      <c r="LQ145" s="1785"/>
      <c r="LR145" s="1785"/>
      <c r="LS145" s="1785"/>
      <c r="LT145" s="1785"/>
      <c r="LU145" s="1785"/>
      <c r="LV145" s="1785"/>
      <c r="LW145" s="1785"/>
      <c r="LX145" s="1785"/>
      <c r="LY145" s="1785"/>
      <c r="LZ145" s="1785"/>
      <c r="MA145" s="1785"/>
      <c r="MB145" s="1785"/>
      <c r="MC145" s="1785"/>
      <c r="MD145" s="1785"/>
      <c r="ME145" s="1785"/>
      <c r="MF145" s="1785"/>
      <c r="MG145" s="1785"/>
      <c r="MH145" s="1785"/>
      <c r="MI145" s="1785"/>
      <c r="MJ145" s="1785"/>
      <c r="MK145" s="1785"/>
      <c r="ML145" s="1785"/>
      <c r="MM145" s="1785"/>
      <c r="MN145" s="1785"/>
      <c r="MO145" s="1785"/>
      <c r="MP145" s="1785"/>
      <c r="MQ145" s="1785"/>
      <c r="MR145" s="1785"/>
      <c r="MS145" s="1785"/>
      <c r="MT145" s="1785"/>
      <c r="MU145" s="1785"/>
      <c r="MV145" s="1785"/>
      <c r="MW145" s="1785"/>
      <c r="MX145" s="1785"/>
      <c r="MY145" s="1785"/>
      <c r="MZ145" s="1785"/>
      <c r="NA145" s="1785"/>
      <c r="NB145" s="1785"/>
      <c r="NC145" s="1785"/>
      <c r="ND145" s="1785"/>
      <c r="NE145" s="1785"/>
      <c r="NF145" s="1785"/>
      <c r="NG145" s="1785"/>
      <c r="NH145" s="1785"/>
      <c r="NI145" s="1785"/>
      <c r="NJ145" s="1785"/>
      <c r="NK145" s="1785"/>
      <c r="NL145" s="1785"/>
      <c r="NM145" s="1785"/>
      <c r="NN145" s="1785"/>
      <c r="NO145" s="1785"/>
      <c r="NP145" s="1785"/>
      <c r="NQ145" s="1785"/>
      <c r="NR145" s="1785"/>
      <c r="NS145" s="1785"/>
      <c r="NT145" s="1785"/>
      <c r="NU145" s="1785"/>
      <c r="NV145" s="1785"/>
      <c r="NW145" s="1785"/>
      <c r="NX145" s="1785"/>
      <c r="NY145" s="1785"/>
      <c r="NZ145" s="1785"/>
      <c r="OA145" s="1785"/>
      <c r="OB145" s="1785"/>
      <c r="OC145" s="1785"/>
      <c r="OD145" s="1785"/>
      <c r="OE145" s="1785"/>
      <c r="OF145" s="1785"/>
      <c r="OG145" s="1785"/>
      <c r="OH145" s="1785"/>
      <c r="OI145" s="1785"/>
      <c r="OJ145" s="1785"/>
      <c r="OK145" s="1785"/>
      <c r="OL145" s="1785"/>
      <c r="OM145" s="1785"/>
      <c r="ON145" s="1785"/>
      <c r="OO145" s="1785"/>
      <c r="OP145" s="1785"/>
      <c r="OQ145" s="1785"/>
      <c r="OR145" s="1785"/>
      <c r="OS145" s="1785"/>
      <c r="OT145" s="1785"/>
      <c r="OU145" s="1785"/>
      <c r="OV145" s="1785"/>
      <c r="OW145" s="1785"/>
      <c r="OX145" s="1785"/>
      <c r="OY145" s="1785"/>
      <c r="OZ145" s="1785"/>
      <c r="PA145" s="1785"/>
      <c r="PB145" s="1785"/>
      <c r="PC145" s="1785"/>
      <c r="PD145" s="1785"/>
      <c r="PE145" s="1785"/>
      <c r="PF145" s="1785"/>
      <c r="PG145" s="1785"/>
      <c r="PH145" s="1785"/>
      <c r="PI145" s="1785"/>
      <c r="PJ145" s="1785"/>
      <c r="PK145" s="1785"/>
      <c r="PL145" s="1785"/>
      <c r="PM145" s="1785"/>
      <c r="PN145" s="1785"/>
      <c r="PO145" s="1785"/>
      <c r="PP145" s="1785"/>
      <c r="PQ145" s="1785"/>
      <c r="PR145" s="1785"/>
      <c r="PS145" s="1785"/>
      <c r="PT145" s="1785"/>
      <c r="PU145" s="1785"/>
      <c r="PV145" s="1785"/>
      <c r="PW145" s="1785"/>
      <c r="PX145" s="1785"/>
      <c r="PY145" s="1785"/>
      <c r="PZ145" s="1785"/>
      <c r="QA145" s="1785"/>
      <c r="QB145" s="1785"/>
      <c r="QC145" s="1785"/>
      <c r="QD145" s="1785"/>
      <c r="QE145" s="1785"/>
      <c r="QF145" s="1785"/>
      <c r="QG145" s="1785"/>
      <c r="QH145" s="1785"/>
      <c r="QI145" s="1785"/>
      <c r="QJ145" s="1785"/>
      <c r="QK145" s="1785"/>
      <c r="QL145" s="1785"/>
      <c r="QM145" s="1785"/>
      <c r="QN145" s="1785"/>
      <c r="QO145" s="1785"/>
      <c r="QP145" s="1785"/>
      <c r="QQ145" s="1785"/>
      <c r="QR145" s="1785"/>
      <c r="QS145" s="1785"/>
      <c r="QT145" s="1785"/>
      <c r="QU145" s="1785"/>
      <c r="QV145" s="1785"/>
      <c r="QW145" s="1785"/>
      <c r="QX145" s="1785"/>
      <c r="QY145" s="1785"/>
      <c r="QZ145" s="1785"/>
      <c r="RA145" s="1785"/>
      <c r="RB145" s="1785"/>
      <c r="RC145" s="1785"/>
      <c r="RD145" s="1785"/>
      <c r="RE145" s="1785"/>
      <c r="RF145" s="1785"/>
      <c r="RG145" s="1785"/>
      <c r="RH145" s="1785"/>
      <c r="RI145" s="1785"/>
      <c r="RJ145" s="1785"/>
      <c r="RK145" s="1785"/>
      <c r="RL145" s="1785"/>
      <c r="RM145" s="1785"/>
      <c r="RN145" s="1785"/>
      <c r="RO145" s="1785"/>
      <c r="RP145" s="1785"/>
      <c r="RQ145" s="1785"/>
      <c r="RR145" s="1785"/>
      <c r="RS145" s="1785"/>
      <c r="RT145" s="1785"/>
      <c r="RU145" s="1785"/>
      <c r="RV145" s="1785"/>
      <c r="RW145" s="1785"/>
      <c r="RX145" s="1785"/>
      <c r="RY145" s="1785"/>
      <c r="RZ145" s="1785"/>
      <c r="SA145" s="1785"/>
      <c r="SB145" s="1785"/>
      <c r="SC145" s="1785"/>
      <c r="SD145" s="1785"/>
      <c r="SE145" s="1785"/>
      <c r="SF145" s="1785"/>
      <c r="SG145" s="1785"/>
      <c r="SH145" s="1785"/>
      <c r="SI145" s="1785"/>
      <c r="SJ145" s="1785"/>
      <c r="SK145" s="1785"/>
      <c r="SL145" s="1785"/>
      <c r="SM145" s="1785"/>
      <c r="SN145" s="1785"/>
      <c r="SO145" s="1785"/>
      <c r="SP145" s="1785"/>
      <c r="SQ145" s="1785"/>
      <c r="SR145" s="1785"/>
      <c r="SS145" s="1785"/>
      <c r="ST145" s="1785"/>
      <c r="SU145" s="1785"/>
      <c r="SV145" s="1785"/>
      <c r="SW145" s="1785"/>
      <c r="SX145" s="1785"/>
      <c r="SY145" s="1785"/>
      <c r="SZ145" s="1785"/>
      <c r="TA145" s="1785"/>
      <c r="TB145" s="1785"/>
      <c r="TC145" s="1785"/>
      <c r="TD145" s="1785"/>
      <c r="TE145" s="1785"/>
      <c r="TF145" s="1785"/>
      <c r="TG145" s="1785"/>
      <c r="TH145" s="1785"/>
      <c r="TI145" s="1785"/>
      <c r="TJ145" s="1785"/>
      <c r="TK145" s="1785"/>
      <c r="TL145" s="1785"/>
      <c r="TM145" s="1785"/>
      <c r="TN145" s="1785"/>
      <c r="TO145" s="1785"/>
      <c r="TP145" s="1785"/>
      <c r="TQ145" s="1785"/>
      <c r="TR145" s="1785"/>
      <c r="TS145" s="1785"/>
      <c r="TT145" s="1785"/>
      <c r="TU145" s="1785"/>
      <c r="TV145" s="1785"/>
      <c r="TW145" s="1785"/>
      <c r="TX145" s="1785"/>
      <c r="TY145" s="1785"/>
      <c r="TZ145" s="1785"/>
      <c r="UA145" s="1785"/>
      <c r="UB145" s="1785"/>
      <c r="UC145" s="1785"/>
      <c r="UD145" s="1785"/>
      <c r="UE145" s="1785"/>
      <c r="UF145" s="1785"/>
      <c r="UG145" s="1785"/>
      <c r="UH145" s="1785"/>
      <c r="UI145" s="1785"/>
      <c r="UJ145" s="1785"/>
      <c r="UK145" s="1785"/>
      <c r="UL145" s="1785"/>
      <c r="UM145" s="1785"/>
      <c r="UN145" s="1785"/>
      <c r="UO145" s="1785"/>
      <c r="UP145" s="1785"/>
      <c r="UQ145" s="1785"/>
      <c r="UR145" s="1785"/>
      <c r="US145" s="1785"/>
      <c r="UT145" s="1785"/>
      <c r="UU145" s="1785"/>
      <c r="UV145" s="1785"/>
      <c r="UW145" s="1785"/>
      <c r="UX145" s="1785"/>
      <c r="UY145" s="1785"/>
      <c r="UZ145" s="1785"/>
      <c r="VA145" s="1785"/>
      <c r="VB145" s="1785"/>
      <c r="VC145" s="1785"/>
      <c r="VD145" s="1785"/>
      <c r="VE145" s="1785"/>
      <c r="VF145" s="1785"/>
      <c r="VG145" s="1785"/>
      <c r="VH145" s="1785"/>
      <c r="VI145" s="1785"/>
      <c r="VJ145" s="1785"/>
      <c r="VK145" s="1785"/>
      <c r="VL145" s="1785"/>
      <c r="VM145" s="1785"/>
      <c r="VN145" s="1785"/>
      <c r="VO145" s="1785"/>
      <c r="VP145" s="1785"/>
      <c r="VQ145" s="1785"/>
      <c r="VR145" s="1785"/>
      <c r="VS145" s="1785"/>
      <c r="VT145" s="1785"/>
      <c r="VU145" s="1785"/>
      <c r="VV145" s="1785"/>
      <c r="VW145" s="1785"/>
      <c r="VX145" s="1785"/>
      <c r="VY145" s="1785"/>
      <c r="VZ145" s="1785"/>
      <c r="WA145" s="1785"/>
      <c r="WB145" s="1785"/>
      <c r="WC145" s="1785"/>
      <c r="WD145" s="1785"/>
      <c r="WE145" s="1785"/>
      <c r="WF145" s="1785"/>
      <c r="WG145" s="1785"/>
      <c r="WH145" s="1785"/>
      <c r="WI145" s="1785"/>
      <c r="WJ145" s="1785"/>
      <c r="WK145" s="1785"/>
      <c r="WL145" s="1785"/>
      <c r="WM145" s="1785"/>
      <c r="WN145" s="1785"/>
      <c r="WO145" s="1785"/>
      <c r="WP145" s="1785"/>
      <c r="WQ145" s="1785"/>
      <c r="WR145" s="1785"/>
      <c r="WS145" s="1785"/>
      <c r="WT145" s="1785"/>
      <c r="WU145" s="1785"/>
      <c r="WV145" s="1785"/>
      <c r="WW145" s="1785"/>
      <c r="WX145" s="1785"/>
      <c r="WY145" s="1785"/>
      <c r="WZ145" s="1785"/>
      <c r="XA145" s="1785"/>
      <c r="XB145" s="1785"/>
      <c r="XC145" s="1785"/>
      <c r="XD145" s="1785"/>
      <c r="XE145" s="1785"/>
      <c r="XF145" s="1785"/>
      <c r="XG145" s="1785"/>
      <c r="XH145" s="1785"/>
      <c r="XI145" s="1785"/>
      <c r="XJ145" s="1785"/>
      <c r="XK145" s="1785"/>
      <c r="XL145" s="1785"/>
      <c r="XM145" s="1785"/>
      <c r="XN145" s="1785"/>
      <c r="XO145" s="1785"/>
      <c r="XP145" s="1785"/>
      <c r="XQ145" s="1785"/>
      <c r="XR145" s="1785"/>
      <c r="XS145" s="1785"/>
      <c r="XT145" s="1785"/>
      <c r="XU145" s="1785"/>
      <c r="XV145" s="1785"/>
      <c r="XW145" s="1785"/>
      <c r="XX145" s="1785"/>
      <c r="XY145" s="1785"/>
      <c r="XZ145" s="1785"/>
      <c r="YA145" s="1785"/>
      <c r="YB145" s="1785"/>
      <c r="YC145" s="1785"/>
      <c r="YD145" s="1785"/>
      <c r="YE145" s="1785"/>
      <c r="YF145" s="1785"/>
      <c r="YG145" s="1785"/>
      <c r="YH145" s="1785"/>
      <c r="YI145" s="1785"/>
      <c r="YJ145" s="1785"/>
      <c r="YK145" s="1785"/>
      <c r="YL145" s="1785"/>
      <c r="YM145" s="1785"/>
      <c r="YN145" s="1785"/>
      <c r="YO145" s="1785"/>
      <c r="YP145" s="1785"/>
      <c r="YQ145" s="1785"/>
      <c r="YR145" s="1785"/>
      <c r="YS145" s="1785"/>
      <c r="YT145" s="1785"/>
      <c r="YU145" s="1785"/>
      <c r="YV145" s="1785"/>
      <c r="YW145" s="1785"/>
      <c r="YX145" s="1785"/>
      <c r="YY145" s="1785"/>
      <c r="YZ145" s="1785"/>
      <c r="ZA145" s="1785"/>
      <c r="ZB145" s="1785"/>
      <c r="ZC145" s="1785"/>
      <c r="ZD145" s="1785"/>
      <c r="ZE145" s="1785"/>
      <c r="ZF145" s="1785"/>
      <c r="ZG145" s="1785"/>
      <c r="ZH145" s="1785"/>
      <c r="ZI145" s="1785"/>
      <c r="ZJ145" s="1785"/>
      <c r="ZK145" s="1785"/>
      <c r="ZL145" s="1785"/>
      <c r="ZM145" s="1785"/>
      <c r="ZN145" s="1785"/>
      <c r="ZO145" s="1785"/>
      <c r="ZP145" s="1785"/>
      <c r="ZQ145" s="1785"/>
      <c r="ZR145" s="1785"/>
      <c r="ZS145" s="1785"/>
      <c r="ZT145" s="1785"/>
      <c r="ZU145" s="1785"/>
      <c r="ZV145" s="1785"/>
      <c r="ZW145" s="1785"/>
      <c r="ZX145" s="1785"/>
      <c r="ZY145" s="1785"/>
      <c r="ZZ145" s="1785"/>
      <c r="AAA145" s="1785"/>
      <c r="AAB145" s="1785"/>
      <c r="AAC145" s="1785"/>
      <c r="AAD145" s="1785"/>
      <c r="AAE145" s="1785"/>
      <c r="AAF145" s="1785"/>
      <c r="AAG145" s="1785"/>
      <c r="AAH145" s="1785"/>
      <c r="AAI145" s="1785"/>
      <c r="AAJ145" s="1785"/>
      <c r="AAK145" s="1785"/>
      <c r="AAL145" s="1785"/>
      <c r="AAM145" s="1785"/>
      <c r="AAN145" s="1785"/>
      <c r="AAO145" s="1785"/>
      <c r="AAP145" s="1785"/>
      <c r="AAQ145" s="1785"/>
      <c r="AAR145" s="1785"/>
      <c r="AAS145" s="1785"/>
      <c r="AAT145" s="1785"/>
      <c r="AAU145" s="1785"/>
      <c r="AAV145" s="1785"/>
      <c r="AAW145" s="1785"/>
      <c r="AAX145" s="1785"/>
      <c r="AAY145" s="1785"/>
      <c r="AAZ145" s="1785"/>
      <c r="ABA145" s="1785"/>
      <c r="ABB145" s="1785"/>
      <c r="ABC145" s="1785"/>
      <c r="ABD145" s="1785"/>
      <c r="ABE145" s="1785"/>
      <c r="ABF145" s="1785"/>
      <c r="ABG145" s="1785"/>
      <c r="ABH145" s="1785"/>
      <c r="ABI145" s="1785"/>
      <c r="ABJ145" s="1785"/>
      <c r="ABK145" s="1785"/>
      <c r="ABL145" s="1785"/>
      <c r="ABM145" s="1785"/>
      <c r="ABN145" s="1785"/>
      <c r="ABO145" s="1785"/>
      <c r="ABP145" s="1785"/>
      <c r="ABQ145" s="1785"/>
      <c r="ABR145" s="1785"/>
      <c r="ABS145" s="1785"/>
      <c r="ABT145" s="1785"/>
      <c r="ABU145" s="1785"/>
      <c r="ABV145" s="1785"/>
      <c r="ABW145" s="1785"/>
      <c r="ABX145" s="1785"/>
      <c r="ABY145" s="1785"/>
      <c r="ABZ145" s="1785"/>
      <c r="ACA145" s="1785"/>
      <c r="ACB145" s="1785"/>
      <c r="ACC145" s="1785"/>
      <c r="ACD145" s="1785"/>
      <c r="ACE145" s="1785"/>
      <c r="ACF145" s="1785"/>
      <c r="ACG145" s="1785"/>
      <c r="ACH145" s="1785"/>
      <c r="ACI145" s="1785"/>
      <c r="ACJ145" s="1785"/>
      <c r="ACK145" s="1785"/>
      <c r="ACL145" s="1785"/>
      <c r="ACM145" s="1785"/>
      <c r="ACN145" s="1785"/>
      <c r="ACO145" s="1785"/>
      <c r="ACP145" s="1785"/>
      <c r="ACQ145" s="1785"/>
      <c r="ACR145" s="1785"/>
      <c r="ACS145" s="1785"/>
      <c r="ACT145" s="1785"/>
      <c r="ACU145" s="1785"/>
      <c r="ACV145" s="1785"/>
      <c r="ACW145" s="1785"/>
      <c r="ACX145" s="1785"/>
      <c r="ACY145" s="1785"/>
      <c r="ACZ145" s="1785"/>
      <c r="ADA145" s="1785"/>
      <c r="ADB145" s="1785"/>
      <c r="ADC145" s="1785"/>
      <c r="ADD145" s="1785"/>
      <c r="ADE145" s="1785"/>
      <c r="ADF145" s="1785"/>
      <c r="ADG145" s="1785"/>
      <c r="ADH145" s="1785"/>
      <c r="ADI145" s="1785"/>
      <c r="ADJ145" s="1785"/>
      <c r="ADK145" s="1785"/>
      <c r="ADL145" s="1785"/>
      <c r="ADM145" s="1785"/>
      <c r="ADN145" s="1785"/>
      <c r="ADO145" s="1785"/>
      <c r="ADP145" s="1785"/>
      <c r="ADQ145" s="1785"/>
      <c r="ADR145" s="1785"/>
      <c r="ADS145" s="1785"/>
      <c r="ADT145" s="1785"/>
      <c r="ADU145" s="1785"/>
      <c r="ADV145" s="1785"/>
      <c r="ADW145" s="1785"/>
      <c r="ADX145" s="1785"/>
      <c r="ADY145" s="1785"/>
      <c r="ADZ145" s="1785"/>
      <c r="AEA145" s="1785"/>
      <c r="AEB145" s="1785"/>
      <c r="AEC145" s="1785"/>
      <c r="AED145" s="1785"/>
      <c r="AEE145" s="1785"/>
      <c r="AEF145" s="1785"/>
      <c r="AEG145" s="1785"/>
      <c r="AEH145" s="1785"/>
      <c r="AEI145" s="1785"/>
      <c r="AEJ145" s="1785"/>
      <c r="AEK145" s="1785"/>
      <c r="AEL145" s="1785"/>
      <c r="AEM145" s="1785"/>
      <c r="AEN145" s="1785"/>
      <c r="AEO145" s="1785"/>
      <c r="AEP145" s="1785"/>
      <c r="AEQ145" s="1785"/>
      <c r="AER145" s="1785"/>
      <c r="AES145" s="1785"/>
      <c r="AET145" s="1785"/>
      <c r="AEU145" s="1785"/>
      <c r="AEV145" s="1785"/>
      <c r="AEW145" s="1785"/>
      <c r="AEX145" s="1785"/>
      <c r="AEY145" s="1785"/>
      <c r="AEZ145" s="1785"/>
      <c r="AFA145" s="1785"/>
      <c r="AFB145" s="1785"/>
      <c r="AFC145" s="1785"/>
      <c r="AFD145" s="1785"/>
      <c r="AFE145" s="1785"/>
      <c r="AFF145" s="1785"/>
      <c r="AFG145" s="1785"/>
      <c r="AFH145" s="1785"/>
      <c r="AFI145" s="1785"/>
      <c r="AFJ145" s="1785"/>
      <c r="AFK145" s="1785"/>
      <c r="AFL145" s="1785"/>
      <c r="AFM145" s="1785"/>
      <c r="AFN145" s="1785"/>
      <c r="AFO145" s="1785"/>
      <c r="AFP145" s="1785"/>
      <c r="AFQ145" s="1785"/>
      <c r="AFR145" s="1785"/>
      <c r="AFS145" s="1785"/>
      <c r="AFT145" s="1785"/>
      <c r="AFU145" s="1785"/>
      <c r="AFV145" s="1785"/>
      <c r="AFW145" s="1785"/>
      <c r="AFX145" s="1785"/>
      <c r="AFY145" s="1785"/>
      <c r="AFZ145" s="1785"/>
      <c r="AGA145" s="1785"/>
      <c r="AGB145" s="1785"/>
      <c r="AGC145" s="1785"/>
      <c r="AGD145" s="1785"/>
      <c r="AGE145" s="1785"/>
      <c r="AGF145" s="1785"/>
      <c r="AGG145" s="1785"/>
      <c r="AGH145" s="1785"/>
      <c r="AGI145" s="1785"/>
      <c r="AGJ145" s="1785"/>
      <c r="AGK145" s="1785"/>
      <c r="AGL145" s="1785"/>
      <c r="AGM145" s="1785"/>
      <c r="AGN145" s="1785"/>
      <c r="AGO145" s="1785"/>
      <c r="AGP145" s="1785"/>
      <c r="AGQ145" s="1785"/>
      <c r="AGR145" s="1785"/>
      <c r="AGS145" s="1785"/>
      <c r="AGT145" s="1785"/>
      <c r="AGU145" s="1785"/>
      <c r="AGV145" s="1785"/>
      <c r="AGW145" s="1785"/>
      <c r="AGX145" s="1785"/>
      <c r="AGY145" s="1785"/>
      <c r="AGZ145" s="1785"/>
      <c r="AHA145" s="1785"/>
      <c r="AHB145" s="1785"/>
      <c r="AHC145" s="1785"/>
      <c r="AHD145" s="1785"/>
      <c r="AHE145" s="1785"/>
      <c r="AHF145" s="1785"/>
      <c r="AHG145" s="1785"/>
      <c r="AHH145" s="1785"/>
      <c r="AHI145" s="1785"/>
      <c r="AHJ145" s="1785"/>
      <c r="AHK145" s="1785"/>
      <c r="AHL145" s="1785"/>
      <c r="AHM145" s="1785"/>
      <c r="AHN145" s="1785"/>
      <c r="AHO145" s="1785"/>
      <c r="AHP145" s="1785"/>
      <c r="AHQ145" s="1785"/>
      <c r="AHR145" s="1785"/>
      <c r="AHS145" s="1785"/>
      <c r="AHT145" s="1785"/>
      <c r="AHU145" s="1785"/>
      <c r="AHV145" s="1785"/>
      <c r="AHW145" s="1785"/>
      <c r="AHX145" s="1785"/>
      <c r="AHY145" s="1785"/>
      <c r="AHZ145" s="1785"/>
      <c r="AIA145" s="1785"/>
      <c r="AIB145" s="1785"/>
      <c r="AIC145" s="1785"/>
      <c r="AID145" s="1785"/>
      <c r="AIE145" s="1785"/>
      <c r="AIF145" s="1785"/>
      <c r="AIG145" s="1785"/>
      <c r="AIH145" s="1785"/>
      <c r="AII145" s="1785"/>
      <c r="AIJ145" s="1785"/>
      <c r="AIK145" s="1785"/>
      <c r="AIL145" s="1785"/>
      <c r="AIM145" s="1785"/>
      <c r="AIN145" s="1785"/>
      <c r="AIO145" s="1785"/>
      <c r="AIP145" s="1785"/>
      <c r="AIQ145" s="1785"/>
      <c r="AIR145" s="1785"/>
      <c r="AIS145" s="1785"/>
      <c r="AIT145" s="1785"/>
      <c r="AIU145" s="1785"/>
      <c r="AIV145" s="1785"/>
      <c r="AIW145" s="1785"/>
      <c r="AIX145" s="1785"/>
      <c r="AIY145" s="1785"/>
      <c r="AIZ145" s="1785"/>
      <c r="AJA145" s="1785"/>
      <c r="AJB145" s="1785"/>
      <c r="AJC145" s="1785"/>
      <c r="AJD145" s="1785"/>
      <c r="AJE145" s="1785"/>
      <c r="AJF145" s="1785"/>
      <c r="AJG145" s="1785"/>
      <c r="AJH145" s="1785"/>
      <c r="AJI145" s="1785"/>
      <c r="AJJ145" s="1785"/>
      <c r="AJK145" s="1785"/>
      <c r="AJL145" s="1785"/>
      <c r="AJM145" s="1785"/>
      <c r="AJN145" s="1785"/>
      <c r="AJO145" s="1785"/>
      <c r="AJP145" s="1785"/>
      <c r="AJQ145" s="1785"/>
      <c r="AJR145" s="1785"/>
      <c r="AJS145" s="1785"/>
      <c r="AJT145" s="1785"/>
      <c r="AJU145" s="1785"/>
      <c r="AJV145" s="1785"/>
      <c r="AJW145" s="1785"/>
      <c r="AJX145" s="1785"/>
      <c r="AJY145" s="1785"/>
      <c r="AJZ145" s="1785"/>
      <c r="AKA145" s="1785"/>
      <c r="AKB145" s="1785"/>
      <c r="AKC145" s="1785"/>
      <c r="AKD145" s="1785"/>
      <c r="AKE145" s="1785"/>
      <c r="AKF145" s="1785"/>
      <c r="AKG145" s="1785"/>
      <c r="AKH145" s="1785"/>
      <c r="AKI145" s="1785"/>
      <c r="AKJ145" s="1785"/>
      <c r="AKK145" s="1785"/>
      <c r="AKL145" s="1785"/>
      <c r="AKM145" s="1785"/>
      <c r="AKN145" s="1785"/>
      <c r="AKO145" s="1785"/>
      <c r="AKP145" s="1785"/>
      <c r="AKQ145" s="1785"/>
      <c r="AKR145" s="1785"/>
      <c r="AKS145" s="1785"/>
      <c r="AKT145" s="1785"/>
      <c r="AKU145" s="1785"/>
      <c r="AKV145" s="1785"/>
      <c r="AKW145" s="1785"/>
      <c r="AKX145" s="1785"/>
      <c r="AKY145" s="1785"/>
      <c r="AKZ145" s="1785"/>
      <c r="ALA145" s="1785"/>
      <c r="ALB145" s="1785"/>
      <c r="ALC145" s="1785"/>
      <c r="ALD145" s="1785"/>
      <c r="ALE145" s="1785"/>
      <c r="ALF145" s="1785"/>
      <c r="ALG145" s="1785"/>
      <c r="ALH145" s="1785"/>
      <c r="ALI145" s="1785"/>
      <c r="ALJ145" s="1785"/>
      <c r="ALK145" s="1785"/>
      <c r="ALL145" s="1785"/>
      <c r="ALM145" s="1785"/>
      <c r="ALN145" s="1785"/>
      <c r="ALO145" s="1785"/>
      <c r="ALP145" s="1785"/>
      <c r="ALQ145" s="1785"/>
      <c r="ALR145" s="1785"/>
      <c r="ALS145" s="1785"/>
      <c r="ALT145" s="1785"/>
      <c r="ALU145" s="1785"/>
      <c r="ALV145" s="1785"/>
      <c r="ALW145" s="1785"/>
      <c r="ALX145" s="1785"/>
      <c r="ALY145" s="1785"/>
      <c r="ALZ145" s="1785"/>
      <c r="AMA145" s="1785"/>
      <c r="AMB145" s="1785"/>
      <c r="AMC145" s="1785"/>
      <c r="AMD145" s="1785"/>
      <c r="AME145" s="1785"/>
      <c r="AMF145" s="1785"/>
      <c r="AMG145" s="1785"/>
      <c r="AMH145" s="1785"/>
      <c r="AMI145" s="1785"/>
      <c r="AMJ145" s="1785"/>
      <c r="AMK145" s="1785"/>
      <c r="AML145" s="1785"/>
      <c r="AMM145" s="1785"/>
      <c r="AMN145" s="1785"/>
      <c r="AMO145" s="1785"/>
      <c r="AMP145" s="1785"/>
      <c r="AMQ145" s="1785"/>
      <c r="AMR145" s="1785"/>
      <c r="AMS145" s="1785"/>
      <c r="AMT145" s="1785"/>
      <c r="AMU145" s="1785"/>
      <c r="AMV145" s="1785"/>
      <c r="AMW145" s="1785"/>
      <c r="AMX145" s="1785"/>
      <c r="AMY145" s="1785"/>
      <c r="AMZ145" s="1785"/>
      <c r="ANA145" s="1785"/>
      <c r="ANB145" s="1785"/>
      <c r="ANC145" s="1785"/>
      <c r="AND145" s="1785"/>
      <c r="ANE145" s="1785"/>
      <c r="ANF145" s="1785"/>
      <c r="ANG145" s="1785"/>
      <c r="ANH145" s="1785"/>
      <c r="ANI145" s="1785"/>
      <c r="ANJ145" s="1785"/>
      <c r="ANK145" s="1785"/>
      <c r="ANL145" s="1785"/>
      <c r="ANM145" s="1785"/>
      <c r="ANN145" s="1785"/>
      <c r="ANO145" s="1785"/>
      <c r="ANP145" s="1785"/>
      <c r="ANQ145" s="1785"/>
      <c r="ANR145" s="1785"/>
      <c r="ANS145" s="1785"/>
      <c r="ANT145" s="1785"/>
      <c r="ANU145" s="1785"/>
      <c r="ANV145" s="1785"/>
      <c r="ANW145" s="1785"/>
      <c r="ANX145" s="1785"/>
      <c r="ANY145" s="1785"/>
      <c r="ANZ145" s="1785"/>
      <c r="AOA145" s="1785"/>
      <c r="AOB145" s="1785"/>
      <c r="AOC145" s="1785"/>
      <c r="AOD145" s="1785"/>
      <c r="AOE145" s="1785"/>
      <c r="AOF145" s="1785"/>
      <c r="AOG145" s="1785"/>
      <c r="AOH145" s="1785"/>
      <c r="AOI145" s="1785"/>
      <c r="AOJ145" s="1785"/>
      <c r="AOK145" s="1785"/>
      <c r="AOL145" s="1785"/>
      <c r="AOM145" s="1785"/>
      <c r="AON145" s="1785"/>
      <c r="AOO145" s="1785"/>
      <c r="AOP145" s="1785"/>
      <c r="AOQ145" s="1785"/>
      <c r="AOR145" s="1785"/>
      <c r="AOS145" s="1785"/>
      <c r="AOT145" s="1785"/>
      <c r="AOU145" s="1785"/>
      <c r="AOV145" s="1785"/>
      <c r="AOW145" s="1785"/>
      <c r="AOX145" s="1785"/>
      <c r="AOY145" s="1785"/>
      <c r="AOZ145" s="1785"/>
      <c r="APA145" s="1785"/>
      <c r="APB145" s="1785"/>
      <c r="APC145" s="1785"/>
      <c r="APD145" s="1785"/>
      <c r="APE145" s="1785"/>
      <c r="APF145" s="1785"/>
      <c r="APG145" s="1785"/>
      <c r="APH145" s="1785"/>
      <c r="API145" s="1785"/>
      <c r="APJ145" s="1785"/>
      <c r="APK145" s="1785"/>
      <c r="APL145" s="1785"/>
      <c r="APM145" s="1785"/>
      <c r="APN145" s="1785"/>
      <c r="APO145" s="1785"/>
      <c r="APP145" s="1785"/>
      <c r="APQ145" s="1785"/>
      <c r="APR145" s="1785"/>
      <c r="APS145" s="1785"/>
      <c r="APT145" s="1785"/>
      <c r="APU145" s="1785"/>
      <c r="APV145" s="1785"/>
      <c r="APW145" s="1785"/>
      <c r="APX145" s="1785"/>
      <c r="APY145" s="1785"/>
      <c r="APZ145" s="1785"/>
      <c r="AQA145" s="1785"/>
      <c r="AQB145" s="1785"/>
      <c r="AQC145" s="1785"/>
      <c r="AQD145" s="1785"/>
      <c r="AQE145" s="1785"/>
      <c r="AQF145" s="1785"/>
      <c r="AQG145" s="1785"/>
      <c r="AQH145" s="1785"/>
      <c r="AQI145" s="1785"/>
      <c r="AQJ145" s="1785"/>
      <c r="AQK145" s="1785"/>
      <c r="AQL145" s="1785"/>
      <c r="AQM145" s="1785"/>
      <c r="AQN145" s="1785"/>
      <c r="AQO145" s="1785"/>
      <c r="AQP145" s="1785"/>
      <c r="AQQ145" s="1785"/>
      <c r="AQR145" s="1785"/>
      <c r="AQS145" s="1785"/>
      <c r="AQT145" s="1785"/>
      <c r="AQU145" s="1785"/>
      <c r="AQV145" s="1785"/>
      <c r="AQW145" s="1785"/>
      <c r="AQX145" s="1785"/>
      <c r="AQY145" s="1785"/>
      <c r="AQZ145" s="1785"/>
      <c r="ARA145" s="1785"/>
      <c r="ARB145" s="1785"/>
      <c r="ARC145" s="1785"/>
      <c r="ARD145" s="1785"/>
      <c r="ARE145" s="1785"/>
      <c r="ARF145" s="1785"/>
      <c r="ARG145" s="1785"/>
      <c r="ARH145" s="1785"/>
      <c r="ARI145" s="1785"/>
      <c r="ARJ145" s="1785"/>
      <c r="ARK145" s="1785"/>
      <c r="ARL145" s="1785"/>
      <c r="ARM145" s="1785"/>
      <c r="ARN145" s="1785"/>
      <c r="ARO145" s="1785"/>
      <c r="ARP145" s="1785"/>
      <c r="ARQ145" s="1785"/>
      <c r="ARR145" s="1785"/>
      <c r="ARS145" s="1785"/>
      <c r="ART145" s="1785"/>
      <c r="ARU145" s="1785"/>
      <c r="ARV145" s="1785"/>
      <c r="ARW145" s="1785"/>
      <c r="ARX145" s="1785"/>
      <c r="ARY145" s="1785"/>
      <c r="ARZ145" s="1785"/>
      <c r="ASA145" s="1785"/>
      <c r="ASB145" s="1785"/>
      <c r="ASC145" s="1785"/>
      <c r="ASD145" s="1785"/>
      <c r="ASE145" s="1785"/>
      <c r="ASF145" s="1785"/>
      <c r="ASG145" s="1785"/>
      <c r="ASH145" s="1785"/>
      <c r="ASI145" s="1785"/>
      <c r="ASJ145" s="1785"/>
      <c r="ASK145" s="1785"/>
      <c r="ASL145" s="1785"/>
      <c r="ASM145" s="1785"/>
      <c r="ASN145" s="1785"/>
      <c r="ASO145" s="1785"/>
      <c r="ASP145" s="1785"/>
      <c r="ASQ145" s="1785"/>
      <c r="ASR145" s="1785"/>
      <c r="ASS145" s="1785"/>
      <c r="AST145" s="1785"/>
      <c r="ASU145" s="1785"/>
      <c r="ASV145" s="1785"/>
      <c r="ASW145" s="1785"/>
      <c r="ASX145" s="1785"/>
      <c r="ASY145" s="1785"/>
      <c r="ASZ145" s="1785"/>
      <c r="ATA145" s="1785"/>
      <c r="ATB145" s="1785"/>
      <c r="ATC145" s="1785"/>
      <c r="ATD145" s="1785"/>
      <c r="ATE145" s="1785"/>
      <c r="ATF145" s="1785"/>
      <c r="ATG145" s="1785"/>
      <c r="ATH145" s="1785"/>
      <c r="ATI145" s="1785"/>
      <c r="ATJ145" s="1785"/>
      <c r="ATK145" s="1785"/>
      <c r="ATL145" s="1785"/>
      <c r="ATM145" s="1785"/>
      <c r="ATN145" s="1785"/>
      <c r="ATO145" s="1785"/>
      <c r="ATP145" s="1785"/>
      <c r="ATQ145" s="1785"/>
      <c r="ATR145" s="1785"/>
      <c r="ATS145" s="1785"/>
      <c r="ATT145" s="1785"/>
      <c r="ATU145" s="1785"/>
      <c r="ATV145" s="1785"/>
      <c r="ATW145" s="1785"/>
      <c r="ATX145" s="1785"/>
      <c r="ATY145" s="1785"/>
      <c r="ATZ145" s="1785"/>
      <c r="AUA145" s="1785"/>
      <c r="AUB145" s="1785"/>
      <c r="AUC145" s="1785"/>
      <c r="AUD145" s="1785"/>
      <c r="AUE145" s="1785"/>
      <c r="AUF145" s="1785"/>
      <c r="AUG145" s="1785"/>
      <c r="AUH145" s="1785"/>
      <c r="AUI145" s="1785"/>
      <c r="AUJ145" s="1785"/>
      <c r="AUK145" s="1785"/>
      <c r="AUL145" s="1785"/>
      <c r="AUM145" s="1785"/>
      <c r="AUN145" s="1785"/>
      <c r="AUO145" s="1785"/>
      <c r="AUP145" s="1785"/>
      <c r="AUQ145" s="1785"/>
      <c r="AUR145" s="1785"/>
      <c r="AUS145" s="1785"/>
      <c r="AUT145" s="1785"/>
      <c r="AUU145" s="1785"/>
      <c r="AUV145" s="1785"/>
      <c r="AUW145" s="1785"/>
      <c r="AUX145" s="1785"/>
      <c r="AUY145" s="1785"/>
      <c r="AUZ145" s="1785"/>
      <c r="AVA145" s="1785"/>
      <c r="AVB145" s="1785"/>
      <c r="AVC145" s="1785"/>
      <c r="AVD145" s="1785"/>
      <c r="AVE145" s="1785"/>
      <c r="AVF145" s="1785"/>
      <c r="AVG145" s="1785"/>
      <c r="AVH145" s="1785"/>
      <c r="AVI145" s="1785"/>
      <c r="AVJ145" s="1785"/>
      <c r="AVK145" s="1785"/>
      <c r="AVL145" s="1785"/>
      <c r="AVM145" s="1785"/>
      <c r="AVN145" s="1785"/>
      <c r="AVO145" s="1785"/>
      <c r="AVP145" s="1785"/>
      <c r="AVQ145" s="1785"/>
      <c r="AVR145" s="1785"/>
      <c r="AVS145" s="1785"/>
      <c r="AVT145" s="1785"/>
      <c r="AVU145" s="1785"/>
      <c r="AVV145" s="1785"/>
      <c r="AVW145" s="1785"/>
      <c r="AVX145" s="1785"/>
      <c r="AVY145" s="1785"/>
      <c r="AVZ145" s="1785"/>
      <c r="AWA145" s="1785"/>
      <c r="AWB145" s="1785"/>
      <c r="AWC145" s="1785"/>
      <c r="AWD145" s="1785"/>
      <c r="AWE145" s="1785"/>
      <c r="AWF145" s="1785"/>
      <c r="AWG145" s="1785"/>
      <c r="AWH145" s="1785"/>
      <c r="AWI145" s="1785"/>
      <c r="AWJ145" s="1785"/>
      <c r="AWK145" s="1785"/>
      <c r="AWL145" s="1785"/>
      <c r="AWM145" s="1785"/>
      <c r="AWN145" s="1785"/>
      <c r="AWO145" s="1785"/>
      <c r="AWP145" s="1785"/>
      <c r="AWQ145" s="1785"/>
      <c r="AWR145" s="1785"/>
      <c r="AWS145" s="1785"/>
      <c r="AWT145" s="1785"/>
      <c r="AWU145" s="1785"/>
      <c r="AWV145" s="1785"/>
      <c r="AWW145" s="1785"/>
      <c r="AWX145" s="1785"/>
      <c r="AWY145" s="1785"/>
      <c r="AWZ145" s="1785"/>
      <c r="AXA145" s="1785"/>
      <c r="AXB145" s="1785"/>
      <c r="AXC145" s="1785"/>
      <c r="AXD145" s="1785"/>
      <c r="AXE145" s="1785"/>
      <c r="AXF145" s="1785"/>
      <c r="AXG145" s="1785"/>
      <c r="AXH145" s="1785"/>
      <c r="AXI145" s="1785"/>
      <c r="AXJ145" s="1785"/>
      <c r="AXK145" s="1785"/>
      <c r="AXL145" s="1785"/>
      <c r="AXM145" s="1785"/>
      <c r="AXN145" s="1785"/>
      <c r="AXO145" s="1785"/>
      <c r="AXP145" s="1785"/>
      <c r="AXQ145" s="1785"/>
      <c r="AXR145" s="1785"/>
      <c r="AXS145" s="1785"/>
      <c r="AXT145" s="1785"/>
      <c r="AXU145" s="1785"/>
      <c r="AXV145" s="1785"/>
      <c r="AXW145" s="1785"/>
      <c r="AXX145" s="1785"/>
      <c r="AXY145" s="1785"/>
      <c r="AXZ145" s="1785"/>
      <c r="AYA145" s="1785"/>
      <c r="AYB145" s="1785"/>
      <c r="AYC145" s="1785"/>
      <c r="AYD145" s="1785"/>
      <c r="AYE145" s="1785"/>
      <c r="AYF145" s="1785"/>
      <c r="AYG145" s="1785"/>
      <c r="AYH145" s="1785"/>
      <c r="AYI145" s="1785"/>
      <c r="AYJ145" s="1785"/>
      <c r="AYK145" s="1785"/>
      <c r="AYL145" s="1785"/>
      <c r="AYM145" s="1785"/>
      <c r="AYN145" s="1785"/>
      <c r="AYO145" s="1785"/>
      <c r="AYP145" s="1785"/>
      <c r="AYQ145" s="1785"/>
      <c r="AYR145" s="1785"/>
      <c r="AYS145" s="1785"/>
      <c r="AYT145" s="1785"/>
      <c r="AYU145" s="1785"/>
      <c r="AYV145" s="1785"/>
      <c r="AYW145" s="1785"/>
      <c r="AYX145" s="1785"/>
      <c r="AYY145" s="1785"/>
      <c r="AYZ145" s="1785"/>
      <c r="AZA145" s="1785"/>
      <c r="AZB145" s="1785"/>
      <c r="AZC145" s="1785"/>
      <c r="AZD145" s="1785"/>
      <c r="AZE145" s="1785"/>
      <c r="AZF145" s="1785"/>
      <c r="AZG145" s="1785"/>
      <c r="AZH145" s="1785"/>
      <c r="AZI145" s="1785"/>
      <c r="AZJ145" s="1785"/>
      <c r="AZK145" s="1785"/>
      <c r="AZL145" s="1785"/>
      <c r="AZM145" s="1785"/>
      <c r="AZN145" s="1785"/>
      <c r="AZO145" s="1785"/>
      <c r="AZP145" s="1785"/>
      <c r="AZQ145" s="1785"/>
      <c r="AZR145" s="1785"/>
      <c r="AZS145" s="1785"/>
      <c r="AZT145" s="1785"/>
      <c r="AZU145" s="1785"/>
      <c r="AZV145" s="1785"/>
      <c r="AZW145" s="1785"/>
      <c r="AZX145" s="1785"/>
      <c r="AZY145" s="1785"/>
      <c r="AZZ145" s="1785"/>
      <c r="BAA145" s="1785"/>
      <c r="BAB145" s="1785"/>
      <c r="BAC145" s="1785"/>
      <c r="BAD145" s="1785"/>
      <c r="BAE145" s="1785"/>
      <c r="BAF145" s="1785"/>
      <c r="BAG145" s="1785"/>
      <c r="BAH145" s="1785"/>
      <c r="BAI145" s="1785"/>
      <c r="BAJ145" s="1785"/>
      <c r="BAK145" s="1785"/>
      <c r="BAL145" s="1785"/>
      <c r="BAM145" s="1785"/>
      <c r="BAN145" s="1785"/>
      <c r="BAO145" s="1785"/>
      <c r="BAP145" s="1785"/>
      <c r="BAQ145" s="1785"/>
      <c r="BAR145" s="1785"/>
      <c r="BAS145" s="1785"/>
      <c r="BAT145" s="1785"/>
      <c r="BAU145" s="1785"/>
      <c r="BAV145" s="1785"/>
      <c r="BAW145" s="1785"/>
      <c r="BAX145" s="1785"/>
      <c r="BAY145" s="1785"/>
      <c r="BAZ145" s="1785"/>
      <c r="BBA145" s="1785"/>
      <c r="BBB145" s="1785"/>
      <c r="BBC145" s="1785"/>
      <c r="BBD145" s="1785"/>
      <c r="BBE145" s="1785"/>
      <c r="BBF145" s="1785"/>
      <c r="BBG145" s="1785"/>
      <c r="BBH145" s="1785"/>
      <c r="BBI145" s="1785"/>
      <c r="BBJ145" s="1785"/>
      <c r="BBK145" s="1785"/>
      <c r="BBL145" s="1785"/>
      <c r="BBM145" s="1785"/>
      <c r="BBN145" s="1785"/>
      <c r="BBO145" s="1785"/>
      <c r="BBP145" s="1785"/>
      <c r="BBQ145" s="1785"/>
      <c r="BBR145" s="1785"/>
      <c r="BBS145" s="1785"/>
      <c r="BBT145" s="1785"/>
      <c r="BBU145" s="1785"/>
      <c r="BBV145" s="1785"/>
      <c r="BBW145" s="1785"/>
      <c r="BBX145" s="1785"/>
      <c r="BBY145" s="1785"/>
      <c r="BBZ145" s="1785"/>
      <c r="BCA145" s="1785"/>
      <c r="BCB145" s="1785"/>
      <c r="BCC145" s="1785"/>
      <c r="BCD145" s="1785"/>
      <c r="BCE145" s="1785"/>
      <c r="BCF145" s="1785"/>
      <c r="BCG145" s="1785"/>
      <c r="BCH145" s="1785"/>
      <c r="BCI145" s="1785"/>
      <c r="BCJ145" s="1785"/>
      <c r="BCK145" s="1785"/>
      <c r="BCL145" s="1785"/>
      <c r="BCM145" s="1785"/>
      <c r="BCN145" s="1785"/>
      <c r="BCO145" s="1785"/>
      <c r="BCP145" s="1785"/>
      <c r="BCQ145" s="1785"/>
      <c r="BCR145" s="1785"/>
      <c r="BCS145" s="1785"/>
      <c r="BCT145" s="1785"/>
      <c r="BCU145" s="1785"/>
      <c r="BCV145" s="1785"/>
      <c r="BCW145" s="1785"/>
      <c r="BCX145" s="1785"/>
      <c r="BCY145" s="1785"/>
      <c r="BCZ145" s="1785"/>
      <c r="BDA145" s="1785"/>
      <c r="BDB145" s="1785"/>
      <c r="BDC145" s="1785"/>
      <c r="BDD145" s="1785"/>
      <c r="BDE145" s="1785"/>
      <c r="BDF145" s="1785"/>
      <c r="BDG145" s="1785"/>
      <c r="BDH145" s="1785"/>
      <c r="BDI145" s="1785"/>
      <c r="BDJ145" s="1785"/>
      <c r="BDK145" s="1785"/>
      <c r="BDL145" s="1785"/>
      <c r="BDM145" s="1785"/>
      <c r="BDN145" s="1785"/>
      <c r="BDO145" s="1785"/>
      <c r="BDP145" s="1785"/>
      <c r="BDQ145" s="1785"/>
      <c r="BDR145" s="1785"/>
      <c r="BDS145" s="1785"/>
      <c r="BDT145" s="1785"/>
      <c r="BDU145" s="1785"/>
      <c r="BDV145" s="1785"/>
      <c r="BDW145" s="1785"/>
      <c r="BDX145" s="1785"/>
      <c r="BDY145" s="1785"/>
      <c r="BDZ145" s="1785"/>
      <c r="BEA145" s="1785"/>
      <c r="BEB145" s="1785"/>
      <c r="BEC145" s="1785"/>
      <c r="BED145" s="1785"/>
      <c r="BEE145" s="1785"/>
      <c r="BEF145" s="1785"/>
      <c r="BEG145" s="1785"/>
      <c r="BEH145" s="1785"/>
      <c r="BEI145" s="1785"/>
      <c r="BEJ145" s="1785"/>
      <c r="BEK145" s="1785"/>
      <c r="BEL145" s="1785"/>
      <c r="BEM145" s="1785"/>
      <c r="BEN145" s="1785"/>
      <c r="BEO145" s="1785"/>
      <c r="BEP145" s="1785"/>
      <c r="BEQ145" s="1785"/>
      <c r="BER145" s="1785"/>
      <c r="BES145" s="1785"/>
      <c r="BET145" s="1785"/>
      <c r="BEU145" s="1785"/>
      <c r="BEV145" s="1785"/>
      <c r="BEW145" s="1785"/>
      <c r="BEX145" s="1785"/>
      <c r="BEY145" s="1785"/>
      <c r="BEZ145" s="1785"/>
      <c r="BFA145" s="1785"/>
      <c r="BFB145" s="1785"/>
      <c r="BFC145" s="1785"/>
      <c r="BFD145" s="1785"/>
      <c r="BFE145" s="1785"/>
      <c r="BFF145" s="1785"/>
      <c r="BFG145" s="1785"/>
      <c r="BFH145" s="1785"/>
      <c r="BFI145" s="1785"/>
      <c r="BFJ145" s="1785"/>
      <c r="BFK145" s="1785"/>
      <c r="BFL145" s="1785"/>
      <c r="BFM145" s="1785"/>
      <c r="BFN145" s="1785"/>
      <c r="BFO145" s="1785"/>
      <c r="BFP145" s="1785"/>
      <c r="BFQ145" s="1785"/>
      <c r="BFR145" s="1785"/>
      <c r="BFS145" s="1785"/>
      <c r="BFT145" s="1785"/>
      <c r="BFU145" s="1785"/>
      <c r="BFV145" s="1785"/>
      <c r="BFW145" s="1785"/>
      <c r="BFX145" s="1785"/>
      <c r="BFY145" s="1785"/>
      <c r="BFZ145" s="1785"/>
      <c r="BGA145" s="1785"/>
      <c r="BGB145" s="1785"/>
      <c r="BGC145" s="1785"/>
      <c r="BGD145" s="1785"/>
      <c r="BGE145" s="1785"/>
      <c r="BGF145" s="1785"/>
      <c r="BGG145" s="1785"/>
      <c r="BGH145" s="1785"/>
      <c r="BGI145" s="1785"/>
      <c r="BGJ145" s="1785"/>
      <c r="BGK145" s="1785"/>
      <c r="BGL145" s="1785"/>
      <c r="BGM145" s="1785"/>
      <c r="BGN145" s="1785"/>
      <c r="BGO145" s="1785"/>
      <c r="BGP145" s="1785"/>
      <c r="BGQ145" s="1785"/>
      <c r="BGR145" s="1785"/>
      <c r="BGS145" s="1785"/>
      <c r="BGT145" s="1785"/>
      <c r="BGU145" s="1785"/>
      <c r="BGV145" s="1785"/>
      <c r="BGW145" s="1785"/>
      <c r="BGX145" s="1785"/>
      <c r="BGY145" s="1785"/>
      <c r="BGZ145" s="1785"/>
      <c r="BHA145" s="1785"/>
      <c r="BHB145" s="1785"/>
      <c r="BHC145" s="1785"/>
      <c r="BHD145" s="1785"/>
      <c r="BHE145" s="1785"/>
      <c r="BHF145" s="1785"/>
      <c r="BHG145" s="1785"/>
      <c r="BHH145" s="1785"/>
      <c r="BHI145" s="1785"/>
      <c r="BHJ145" s="1785"/>
      <c r="BHK145" s="1785"/>
      <c r="BHL145" s="1785"/>
      <c r="BHM145" s="1785"/>
      <c r="BHN145" s="1785"/>
      <c r="BHO145" s="1785"/>
      <c r="BHP145" s="1785"/>
      <c r="BHQ145" s="1785"/>
      <c r="BHR145" s="1785"/>
      <c r="BHS145" s="1785"/>
      <c r="BHT145" s="1785"/>
      <c r="BHU145" s="1785"/>
      <c r="BHV145" s="1785"/>
      <c r="BHW145" s="1785"/>
      <c r="BHX145" s="1785"/>
      <c r="BHY145" s="1785"/>
      <c r="BHZ145" s="1785"/>
      <c r="BIA145" s="1785"/>
      <c r="BIB145" s="1785"/>
      <c r="BIC145" s="1785"/>
      <c r="BID145" s="1785"/>
      <c r="BIE145" s="1785"/>
      <c r="BIF145" s="1785"/>
      <c r="BIG145" s="1785"/>
      <c r="BIH145" s="1785"/>
      <c r="BII145" s="1785"/>
      <c r="BIJ145" s="1785"/>
      <c r="BIK145" s="1785"/>
      <c r="BIL145" s="1785"/>
      <c r="BIM145" s="1785"/>
      <c r="BIN145" s="1785"/>
      <c r="BIO145" s="1785"/>
      <c r="BIP145" s="1785"/>
      <c r="BIQ145" s="1785"/>
      <c r="BIR145" s="1785"/>
      <c r="BIS145" s="1785"/>
      <c r="BIT145" s="1785"/>
      <c r="BIU145" s="1785"/>
      <c r="BIV145" s="1785"/>
      <c r="BIW145" s="1785"/>
      <c r="BIX145" s="1785"/>
      <c r="BIY145" s="1785"/>
      <c r="BIZ145" s="1785"/>
      <c r="BJA145" s="1785"/>
      <c r="BJB145" s="1785"/>
      <c r="BJC145" s="1785"/>
      <c r="BJD145" s="1785"/>
      <c r="BJE145" s="1785"/>
      <c r="BJF145" s="1785"/>
      <c r="BJG145" s="1785"/>
      <c r="BJH145" s="1785"/>
      <c r="BJI145" s="1785"/>
      <c r="BJJ145" s="1785"/>
      <c r="BJK145" s="1785"/>
      <c r="BJL145" s="1785"/>
      <c r="BJM145" s="1785"/>
      <c r="BJN145" s="1785"/>
      <c r="BJO145" s="1785"/>
      <c r="BJP145" s="1785"/>
      <c r="BJQ145" s="1785"/>
      <c r="BJR145" s="1785"/>
      <c r="BJS145" s="1785"/>
      <c r="BJT145" s="1785"/>
      <c r="BJU145" s="1785"/>
      <c r="BJV145" s="1785"/>
      <c r="BJW145" s="1785"/>
      <c r="BJX145" s="1785"/>
      <c r="BJY145" s="1785"/>
      <c r="BJZ145" s="1785"/>
      <c r="BKA145" s="1785"/>
      <c r="BKB145" s="1785"/>
      <c r="BKC145" s="1785"/>
      <c r="BKD145" s="1785"/>
      <c r="BKE145" s="1785"/>
      <c r="BKF145" s="1785"/>
      <c r="BKG145" s="1785"/>
      <c r="BKH145" s="1785"/>
      <c r="BKI145" s="1785"/>
      <c r="BKJ145" s="1785"/>
      <c r="BKK145" s="1785"/>
      <c r="BKL145" s="1785"/>
      <c r="BKM145" s="1785"/>
      <c r="BKN145" s="1785"/>
      <c r="BKO145" s="1785"/>
      <c r="BKP145" s="1785"/>
      <c r="BKQ145" s="1785"/>
      <c r="BKR145" s="1785"/>
      <c r="BKS145" s="1785"/>
      <c r="BKT145" s="1785"/>
      <c r="BKU145" s="1785"/>
      <c r="BKV145" s="1785"/>
      <c r="BKW145" s="1785"/>
      <c r="BKX145" s="1785"/>
      <c r="BKY145" s="1785"/>
      <c r="BKZ145" s="1785"/>
      <c r="BLA145" s="1785"/>
      <c r="BLB145" s="1785"/>
      <c r="BLC145" s="1785"/>
      <c r="BLD145" s="1785"/>
      <c r="BLE145" s="1785"/>
      <c r="BLF145" s="1785"/>
      <c r="BLG145" s="1785"/>
      <c r="BLH145" s="1785"/>
      <c r="BLI145" s="1785"/>
      <c r="BLJ145" s="1785"/>
      <c r="BLK145" s="1785"/>
      <c r="BLL145" s="1785"/>
      <c r="BLM145" s="1785"/>
      <c r="BLN145" s="1785"/>
      <c r="BLO145" s="1785"/>
      <c r="BLP145" s="1785"/>
      <c r="BLQ145" s="1785"/>
      <c r="BLR145" s="1785"/>
      <c r="BLS145" s="1785"/>
      <c r="BLT145" s="1785"/>
      <c r="BLU145" s="1785"/>
      <c r="BLV145" s="1785"/>
      <c r="BLW145" s="1785"/>
      <c r="BLX145" s="1785"/>
      <c r="BLY145" s="1785"/>
      <c r="BLZ145" s="1785"/>
      <c r="BMA145" s="1785"/>
      <c r="BMB145" s="1785"/>
      <c r="BMC145" s="1785"/>
      <c r="BMD145" s="1785"/>
      <c r="BME145" s="1785"/>
      <c r="BMF145" s="1785"/>
      <c r="BMG145" s="1785"/>
      <c r="BMH145" s="1785"/>
      <c r="BMI145" s="1785"/>
      <c r="BMJ145" s="1785"/>
      <c r="BMK145" s="1785"/>
      <c r="BML145" s="1785"/>
      <c r="BMM145" s="1785"/>
      <c r="BMN145" s="1785"/>
      <c r="BMO145" s="1785"/>
      <c r="BMP145" s="1785"/>
      <c r="BMQ145" s="1785"/>
      <c r="BMR145" s="1785"/>
      <c r="BMS145" s="1785"/>
      <c r="BMT145" s="1785"/>
      <c r="BMU145" s="1785"/>
      <c r="BMV145" s="1785"/>
      <c r="BMW145" s="1785"/>
      <c r="BMX145" s="1785"/>
      <c r="BMY145" s="1785"/>
      <c r="BMZ145" s="1785"/>
      <c r="BNA145" s="1785"/>
      <c r="BNB145" s="1785"/>
      <c r="BNC145" s="1785"/>
      <c r="BND145" s="1785"/>
      <c r="BNE145" s="1785"/>
      <c r="BNF145" s="1785"/>
      <c r="BNG145" s="1785"/>
      <c r="BNH145" s="1785"/>
      <c r="BNI145" s="1785"/>
      <c r="BNJ145" s="1785"/>
      <c r="BNK145" s="1785"/>
      <c r="BNL145" s="1785"/>
      <c r="BNM145" s="1785"/>
      <c r="BNN145" s="1785"/>
      <c r="BNO145" s="1785"/>
      <c r="BNP145" s="1785"/>
      <c r="BNQ145" s="1785"/>
      <c r="BNR145" s="1785"/>
      <c r="BNS145" s="1785"/>
      <c r="BNT145" s="1785"/>
      <c r="BNU145" s="1785"/>
      <c r="BNV145" s="1785"/>
      <c r="BNW145" s="1785"/>
      <c r="BNX145" s="1785"/>
      <c r="BNY145" s="1785"/>
      <c r="BNZ145" s="1785"/>
      <c r="BOA145" s="1785"/>
      <c r="BOB145" s="1785"/>
      <c r="BOC145" s="1785"/>
      <c r="BOD145" s="1785"/>
      <c r="BOE145" s="1785"/>
      <c r="BOF145" s="1785"/>
      <c r="BOG145" s="1785"/>
      <c r="BOH145" s="1785"/>
      <c r="BOI145" s="1785"/>
      <c r="BOJ145" s="1785"/>
      <c r="BOK145" s="1785"/>
      <c r="BOL145" s="1785"/>
      <c r="BOM145" s="1785"/>
      <c r="BON145" s="1785"/>
      <c r="BOO145" s="1785"/>
      <c r="BOP145" s="1785"/>
      <c r="BOQ145" s="1785"/>
      <c r="BOR145" s="1785"/>
      <c r="BOS145" s="1785"/>
      <c r="BOT145" s="1785"/>
      <c r="BOU145" s="1785"/>
      <c r="BOV145" s="1785"/>
      <c r="BOW145" s="1785"/>
      <c r="BOX145" s="1785"/>
      <c r="BOY145" s="1785"/>
      <c r="BOZ145" s="1785"/>
      <c r="BPA145" s="1785"/>
      <c r="BPB145" s="1785"/>
      <c r="BPC145" s="1785"/>
      <c r="BPD145" s="1785"/>
      <c r="BPE145" s="1785"/>
      <c r="BPF145" s="1785"/>
      <c r="BPG145" s="1785"/>
      <c r="BPH145" s="1785"/>
      <c r="BPI145" s="1785"/>
      <c r="BPJ145" s="1785"/>
      <c r="BPK145" s="1785"/>
      <c r="BPL145" s="1785"/>
      <c r="BPM145" s="1785"/>
      <c r="BPN145" s="1785"/>
      <c r="BPO145" s="1785"/>
      <c r="BPP145" s="1785"/>
      <c r="BPQ145" s="1785"/>
      <c r="BPR145" s="1785"/>
      <c r="BPS145" s="1785"/>
      <c r="BPT145" s="1785"/>
      <c r="BPU145" s="1785"/>
      <c r="BPV145" s="1785"/>
      <c r="BPW145" s="1785"/>
      <c r="BPX145" s="1785"/>
      <c r="BPY145" s="1785"/>
      <c r="BPZ145" s="1785"/>
      <c r="BQA145" s="1785"/>
      <c r="BQB145" s="1785"/>
      <c r="BQC145" s="1785"/>
      <c r="BQD145" s="1785"/>
      <c r="BQE145" s="1785"/>
      <c r="BQF145" s="1785"/>
      <c r="BQG145" s="1785"/>
      <c r="BQH145" s="1785"/>
      <c r="BQI145" s="1785"/>
      <c r="BQJ145" s="1785"/>
      <c r="BQK145" s="1785"/>
      <c r="BQL145" s="1785"/>
      <c r="BQM145" s="1785"/>
      <c r="BQN145" s="1785"/>
      <c r="BQO145" s="1785"/>
      <c r="BQP145" s="1785"/>
      <c r="BQQ145" s="1785"/>
      <c r="BQR145" s="1785"/>
      <c r="BQS145" s="1785"/>
      <c r="BQT145" s="1785"/>
      <c r="BQU145" s="1785"/>
      <c r="BQV145" s="1785"/>
      <c r="BQW145" s="1785"/>
      <c r="BQX145" s="1785"/>
      <c r="BQY145" s="1785"/>
      <c r="BQZ145" s="1785"/>
      <c r="BRA145" s="1785"/>
      <c r="BRB145" s="1785"/>
      <c r="BRC145" s="1785"/>
      <c r="BRD145" s="1785"/>
      <c r="BRE145" s="1785"/>
      <c r="BRF145" s="1785"/>
      <c r="BRG145" s="1785"/>
      <c r="BRH145" s="1785"/>
      <c r="BRI145" s="1785"/>
      <c r="BRJ145" s="1785"/>
      <c r="BRK145" s="1785"/>
      <c r="BRL145" s="1785"/>
      <c r="BRM145" s="1785"/>
      <c r="BRN145" s="1785"/>
      <c r="BRO145" s="1785"/>
      <c r="BRP145" s="1785"/>
      <c r="BRQ145" s="1785"/>
      <c r="BRR145" s="1785"/>
      <c r="BRS145" s="1785"/>
      <c r="BRT145" s="1785"/>
      <c r="BRU145" s="1785"/>
      <c r="BRV145" s="1785"/>
      <c r="BRW145" s="1785"/>
      <c r="BRX145" s="1785"/>
      <c r="BRY145" s="1785"/>
      <c r="BRZ145" s="1785"/>
      <c r="BSA145" s="1785"/>
      <c r="BSB145" s="1785"/>
      <c r="BSC145" s="1785"/>
      <c r="BSD145" s="1785"/>
      <c r="BSE145" s="1785"/>
      <c r="BSF145" s="1785"/>
      <c r="BSG145" s="1785"/>
      <c r="BSH145" s="1785"/>
      <c r="BSI145" s="1785"/>
      <c r="BSJ145" s="1785"/>
      <c r="BSK145" s="1785"/>
      <c r="BSL145" s="1785"/>
      <c r="BSM145" s="1785"/>
      <c r="BSN145" s="1785"/>
      <c r="BSO145" s="1785"/>
      <c r="BSP145" s="1785"/>
      <c r="BSQ145" s="1785"/>
      <c r="BSR145" s="1785"/>
      <c r="BSS145" s="1785"/>
      <c r="BST145" s="1785"/>
      <c r="BSU145" s="1785"/>
      <c r="BSV145" s="1785"/>
      <c r="BSW145" s="1785"/>
      <c r="BSX145" s="1785"/>
      <c r="BSY145" s="1785"/>
      <c r="BSZ145" s="1785"/>
      <c r="BTA145" s="1785"/>
      <c r="BTB145" s="1785"/>
      <c r="BTC145" s="1785"/>
      <c r="BTD145" s="1785"/>
      <c r="BTE145" s="1785"/>
      <c r="BTF145" s="1785"/>
      <c r="BTG145" s="1785"/>
      <c r="BTH145" s="1785"/>
      <c r="BTI145" s="1785"/>
      <c r="BTJ145" s="1785"/>
      <c r="BTK145" s="1785"/>
      <c r="BTL145" s="1785"/>
      <c r="BTM145" s="1785"/>
      <c r="BTN145" s="1785"/>
      <c r="BTO145" s="1785"/>
      <c r="BTP145" s="1785"/>
      <c r="BTQ145" s="1785"/>
      <c r="BTR145" s="1785"/>
      <c r="BTS145" s="1785"/>
      <c r="BTT145" s="1785"/>
      <c r="BTU145" s="1785"/>
      <c r="BTV145" s="1785"/>
      <c r="BTW145" s="1785"/>
      <c r="BTX145" s="1785"/>
      <c r="BTY145" s="1785"/>
      <c r="BTZ145" s="1785"/>
      <c r="BUA145" s="1785"/>
      <c r="BUB145" s="1785"/>
      <c r="BUC145" s="1785"/>
      <c r="BUD145" s="1785"/>
      <c r="BUE145" s="1785"/>
      <c r="BUF145" s="1785"/>
      <c r="BUG145" s="1785"/>
      <c r="BUH145" s="1785"/>
      <c r="BUI145" s="1785"/>
      <c r="BUJ145" s="1785"/>
      <c r="BUK145" s="1785"/>
      <c r="BUL145" s="1785"/>
      <c r="BUM145" s="1785"/>
      <c r="BUN145" s="1785"/>
      <c r="BUO145" s="1785"/>
      <c r="BUP145" s="1785"/>
      <c r="BUQ145" s="1785"/>
      <c r="BUR145" s="1785"/>
      <c r="BUS145" s="1785"/>
      <c r="BUT145" s="1785"/>
      <c r="BUU145" s="1785"/>
      <c r="BUV145" s="1785"/>
      <c r="BUW145" s="1785"/>
      <c r="BUX145" s="1785"/>
      <c r="BUY145" s="1785"/>
      <c r="BUZ145" s="1785"/>
      <c r="BVA145" s="1785"/>
      <c r="BVB145" s="1785"/>
      <c r="BVC145" s="1785"/>
      <c r="BVD145" s="1785"/>
      <c r="BVE145" s="1785"/>
      <c r="BVF145" s="1785"/>
      <c r="BVG145" s="1785"/>
      <c r="BVH145" s="1785"/>
      <c r="BVI145" s="1785"/>
      <c r="BVJ145" s="1785"/>
      <c r="BVK145" s="1785"/>
      <c r="BVL145" s="1785"/>
      <c r="BVM145" s="1785"/>
      <c r="BVN145" s="1785"/>
      <c r="BVO145" s="1785"/>
      <c r="BVP145" s="1785"/>
      <c r="BVQ145" s="1785"/>
      <c r="BVR145" s="1785"/>
      <c r="BVS145" s="1785"/>
      <c r="BVT145" s="1785"/>
      <c r="BVU145" s="1785"/>
      <c r="BVV145" s="1785"/>
      <c r="BVW145" s="1785"/>
      <c r="BVX145" s="1785"/>
      <c r="BVY145" s="1785"/>
      <c r="BVZ145" s="1785"/>
      <c r="BWA145" s="1785"/>
      <c r="BWB145" s="1785"/>
      <c r="BWC145" s="1785"/>
      <c r="BWD145" s="1785"/>
      <c r="BWE145" s="1785"/>
      <c r="BWF145" s="1785"/>
      <c r="BWG145" s="1785"/>
      <c r="BWH145" s="1785"/>
      <c r="BWI145" s="1785"/>
      <c r="BWJ145" s="1785"/>
      <c r="BWK145" s="1785"/>
      <c r="BWL145" s="1785"/>
      <c r="BWM145" s="1785"/>
      <c r="BWN145" s="1785"/>
      <c r="BWO145" s="1785"/>
      <c r="BWP145" s="1785"/>
      <c r="BWQ145" s="1785"/>
      <c r="BWR145" s="1785"/>
      <c r="BWS145" s="1785"/>
      <c r="BWT145" s="1785"/>
      <c r="BWU145" s="1785"/>
      <c r="BWV145" s="1785"/>
      <c r="BWW145" s="1785"/>
      <c r="BWX145" s="1785"/>
      <c r="BWY145" s="1785"/>
      <c r="BWZ145" s="1785"/>
      <c r="BXA145" s="1785"/>
      <c r="BXB145" s="1785"/>
      <c r="BXC145" s="1785"/>
      <c r="BXD145" s="1785"/>
      <c r="BXE145" s="1785"/>
      <c r="BXF145" s="1785"/>
      <c r="BXG145" s="1785"/>
      <c r="BXH145" s="1785"/>
      <c r="BXI145" s="1785"/>
      <c r="BXJ145" s="1785"/>
      <c r="BXK145" s="1785"/>
      <c r="BXL145" s="1785"/>
      <c r="BXM145" s="1785"/>
      <c r="BXN145" s="1785"/>
      <c r="BXO145" s="1785"/>
      <c r="BXP145" s="1785"/>
      <c r="BXQ145" s="1785"/>
      <c r="BXR145" s="1785"/>
      <c r="BXS145" s="1785"/>
      <c r="BXT145" s="1785"/>
      <c r="BXU145" s="1785"/>
      <c r="BXV145" s="1785"/>
      <c r="BXW145" s="1785"/>
      <c r="BXX145" s="1785"/>
      <c r="BXY145" s="1785"/>
      <c r="BXZ145" s="1785"/>
      <c r="BYA145" s="1785"/>
      <c r="BYB145" s="1785"/>
      <c r="BYC145" s="1785"/>
      <c r="BYD145" s="1785"/>
      <c r="BYE145" s="1785"/>
      <c r="BYF145" s="1785"/>
      <c r="BYG145" s="1785"/>
      <c r="BYH145" s="1785"/>
      <c r="BYI145" s="1785"/>
      <c r="BYJ145" s="1785"/>
      <c r="BYK145" s="1785"/>
      <c r="BYL145" s="1785"/>
      <c r="BYM145" s="1785"/>
      <c r="BYN145" s="1785"/>
      <c r="BYO145" s="1785"/>
      <c r="BYP145" s="1785"/>
      <c r="BYQ145" s="1785"/>
      <c r="BYR145" s="1785"/>
      <c r="BYS145" s="1785"/>
      <c r="BYT145" s="1785"/>
      <c r="BYU145" s="1785"/>
      <c r="BYV145" s="1785"/>
      <c r="BYW145" s="1785"/>
      <c r="BYX145" s="1785"/>
      <c r="BYY145" s="1785"/>
      <c r="BYZ145" s="1785"/>
      <c r="BZA145" s="1785"/>
      <c r="BZB145" s="1785"/>
      <c r="BZC145" s="1785"/>
      <c r="BZD145" s="1785"/>
      <c r="BZE145" s="1785"/>
      <c r="BZF145" s="1785"/>
      <c r="BZG145" s="1785"/>
      <c r="BZH145" s="1785"/>
      <c r="BZI145" s="1785"/>
      <c r="BZJ145" s="1785"/>
      <c r="BZK145" s="1785"/>
      <c r="BZL145" s="1785"/>
      <c r="BZM145" s="1785"/>
      <c r="BZN145" s="1785"/>
      <c r="BZO145" s="1785"/>
      <c r="BZP145" s="1785"/>
      <c r="BZQ145" s="1785"/>
      <c r="BZR145" s="1785"/>
      <c r="BZS145" s="1785"/>
      <c r="BZT145" s="1785"/>
      <c r="BZU145" s="1785"/>
      <c r="BZV145" s="1785"/>
      <c r="BZW145" s="1785"/>
      <c r="BZX145" s="1785"/>
      <c r="BZY145" s="1785"/>
      <c r="BZZ145" s="1785"/>
      <c r="CAA145" s="1785"/>
      <c r="CAB145" s="1785"/>
      <c r="CAC145" s="1785"/>
      <c r="CAD145" s="1785"/>
      <c r="CAE145" s="1785"/>
      <c r="CAF145" s="1785"/>
      <c r="CAG145" s="1785"/>
      <c r="CAH145" s="1785"/>
      <c r="CAI145" s="1785"/>
      <c r="CAJ145" s="1785"/>
      <c r="CAK145" s="1785"/>
      <c r="CAL145" s="1785"/>
      <c r="CAM145" s="1785"/>
      <c r="CAN145" s="1785"/>
      <c r="CAO145" s="1785"/>
      <c r="CAP145" s="1785"/>
      <c r="CAQ145" s="1785"/>
      <c r="CAR145" s="1785"/>
      <c r="CAS145" s="1785"/>
      <c r="CAT145" s="1785"/>
      <c r="CAU145" s="1785"/>
      <c r="CAV145" s="1785"/>
      <c r="CAW145" s="1785"/>
      <c r="CAX145" s="1785"/>
      <c r="CAY145" s="1785"/>
      <c r="CAZ145" s="1785"/>
      <c r="CBA145" s="1785"/>
      <c r="CBB145" s="1785"/>
      <c r="CBC145" s="1785"/>
      <c r="CBD145" s="1785"/>
      <c r="CBE145" s="1785"/>
      <c r="CBF145" s="1785"/>
      <c r="CBG145" s="1785"/>
      <c r="CBH145" s="1785"/>
      <c r="CBI145" s="1785"/>
      <c r="CBJ145" s="1785"/>
      <c r="CBK145" s="1785"/>
      <c r="CBL145" s="1785"/>
      <c r="CBM145" s="1785"/>
      <c r="CBN145" s="1785"/>
      <c r="CBO145" s="1785"/>
      <c r="CBP145" s="1785"/>
      <c r="CBQ145" s="1785"/>
      <c r="CBR145" s="1785"/>
      <c r="CBS145" s="1785"/>
      <c r="CBT145" s="1785"/>
      <c r="CBU145" s="1785"/>
      <c r="CBV145" s="1785"/>
      <c r="CBW145" s="1785"/>
      <c r="CBX145" s="1785"/>
      <c r="CBY145" s="1785"/>
      <c r="CBZ145" s="1785"/>
      <c r="CCA145" s="1785"/>
      <c r="CCB145" s="1785"/>
      <c r="CCC145" s="1785"/>
      <c r="CCD145" s="1785"/>
      <c r="CCE145" s="1785"/>
      <c r="CCF145" s="1785"/>
      <c r="CCG145" s="1785"/>
      <c r="CCH145" s="1785"/>
      <c r="CCI145" s="1785"/>
      <c r="CCJ145" s="1785"/>
      <c r="CCK145" s="1785"/>
      <c r="CCL145" s="1785"/>
      <c r="CCM145" s="1785"/>
      <c r="CCN145" s="1785"/>
      <c r="CCO145" s="1785"/>
      <c r="CCP145" s="1785"/>
      <c r="CCQ145" s="1785"/>
      <c r="CCR145" s="1785"/>
      <c r="CCS145" s="1785"/>
      <c r="CCT145" s="1785"/>
      <c r="CCU145" s="1785"/>
      <c r="CCV145" s="1785"/>
      <c r="CCW145" s="1785"/>
      <c r="CCX145" s="1785"/>
      <c r="CCY145" s="1785"/>
      <c r="CCZ145" s="1785"/>
      <c r="CDA145" s="1785"/>
      <c r="CDB145" s="1785"/>
      <c r="CDC145" s="1785"/>
      <c r="CDD145" s="1785"/>
      <c r="CDE145" s="1785"/>
      <c r="CDF145" s="1785"/>
      <c r="CDG145" s="1785"/>
      <c r="CDH145" s="1785"/>
      <c r="CDI145" s="1785"/>
      <c r="CDJ145" s="1785"/>
      <c r="CDK145" s="1785"/>
      <c r="CDL145" s="1785"/>
      <c r="CDM145" s="1785"/>
      <c r="CDN145" s="1785"/>
      <c r="CDO145" s="1785"/>
      <c r="CDP145" s="1785"/>
      <c r="CDQ145" s="1785"/>
      <c r="CDR145" s="1785"/>
      <c r="CDS145" s="1785"/>
      <c r="CDT145" s="1785"/>
      <c r="CDU145" s="1785"/>
      <c r="CDV145" s="1785"/>
      <c r="CDW145" s="1785"/>
      <c r="CDX145" s="1785"/>
      <c r="CDY145" s="1785"/>
      <c r="CDZ145" s="1785"/>
      <c r="CEA145" s="1785"/>
      <c r="CEB145" s="1785"/>
      <c r="CEC145" s="1785"/>
      <c r="CED145" s="1785"/>
      <c r="CEE145" s="1785"/>
      <c r="CEF145" s="1785"/>
      <c r="CEG145" s="1785"/>
      <c r="CEH145" s="1785"/>
      <c r="CEI145" s="1785"/>
      <c r="CEJ145" s="1785"/>
      <c r="CEK145" s="1785"/>
      <c r="CEL145" s="1785"/>
      <c r="CEM145" s="1785"/>
      <c r="CEN145" s="1785"/>
      <c r="CEO145" s="1785"/>
      <c r="CEP145" s="1785"/>
      <c r="CEQ145" s="1785"/>
      <c r="CER145" s="1785"/>
      <c r="CES145" s="1785"/>
      <c r="CET145" s="1785"/>
      <c r="CEU145" s="1785"/>
      <c r="CEV145" s="1785"/>
      <c r="CEW145" s="1785"/>
      <c r="CEX145" s="1785"/>
      <c r="CEY145" s="1785"/>
      <c r="CEZ145" s="1785"/>
      <c r="CFA145" s="1785"/>
      <c r="CFB145" s="1785"/>
      <c r="CFC145" s="1785"/>
      <c r="CFD145" s="1785"/>
      <c r="CFE145" s="1785"/>
      <c r="CFF145" s="1785"/>
      <c r="CFG145" s="1785"/>
      <c r="CFH145" s="1785"/>
      <c r="CFI145" s="1785"/>
      <c r="CFJ145" s="1785"/>
      <c r="CFK145" s="1785"/>
      <c r="CFL145" s="1785"/>
      <c r="CFM145" s="1785"/>
      <c r="CFN145" s="1785"/>
      <c r="CFO145" s="1785"/>
      <c r="CFP145" s="1785"/>
      <c r="CFQ145" s="1785"/>
      <c r="CFR145" s="1785"/>
      <c r="CFS145" s="1785"/>
      <c r="CFT145" s="1785"/>
      <c r="CFU145" s="1785"/>
      <c r="CFV145" s="1785"/>
      <c r="CFW145" s="1785"/>
      <c r="CFX145" s="1785"/>
      <c r="CFY145" s="1785"/>
      <c r="CFZ145" s="1785"/>
      <c r="CGA145" s="1785"/>
      <c r="CGB145" s="1785"/>
      <c r="CGC145" s="1785"/>
      <c r="CGD145" s="1785"/>
      <c r="CGE145" s="1785"/>
      <c r="CGF145" s="1785"/>
      <c r="CGG145" s="1785"/>
      <c r="CGH145" s="1785"/>
      <c r="CGI145" s="1785"/>
      <c r="CGJ145" s="1785"/>
      <c r="CGK145" s="1785"/>
      <c r="CGL145" s="1785"/>
      <c r="CGM145" s="1785"/>
      <c r="CGN145" s="1785"/>
      <c r="CGO145" s="1785"/>
      <c r="CGP145" s="1785"/>
      <c r="CGQ145" s="1785"/>
      <c r="CGR145" s="1785"/>
      <c r="CGS145" s="1785"/>
      <c r="CGT145" s="1785"/>
      <c r="CGU145" s="1785"/>
      <c r="CGV145" s="1785"/>
      <c r="CGW145" s="1785"/>
      <c r="CGX145" s="1785"/>
      <c r="CGY145" s="1785"/>
      <c r="CGZ145" s="1785"/>
      <c r="CHA145" s="1785"/>
      <c r="CHB145" s="1785"/>
      <c r="CHC145" s="1785"/>
      <c r="CHD145" s="1785"/>
      <c r="CHE145" s="1785"/>
      <c r="CHF145" s="1785"/>
      <c r="CHG145" s="1785"/>
      <c r="CHH145" s="1785"/>
      <c r="CHI145" s="1785"/>
      <c r="CHJ145" s="1785"/>
      <c r="CHK145" s="1785"/>
      <c r="CHL145" s="1785"/>
      <c r="CHM145" s="1785"/>
      <c r="CHN145" s="1785"/>
      <c r="CHO145" s="1785"/>
      <c r="CHP145" s="1785"/>
      <c r="CHQ145" s="1785"/>
      <c r="CHR145" s="1785"/>
      <c r="CHS145" s="1785"/>
      <c r="CHT145" s="1785"/>
      <c r="CHU145" s="1785"/>
      <c r="CHV145" s="1785"/>
      <c r="CHW145" s="1785"/>
      <c r="CHX145" s="1785"/>
      <c r="CHY145" s="1785"/>
      <c r="CHZ145" s="1785"/>
      <c r="CIA145" s="1785"/>
      <c r="CIB145" s="1785"/>
      <c r="CIC145" s="1785"/>
      <c r="CID145" s="1785"/>
      <c r="CIE145" s="1785"/>
      <c r="CIF145" s="1785"/>
      <c r="CIG145" s="1785"/>
      <c r="CIH145" s="1785"/>
      <c r="CII145" s="1785"/>
      <c r="CIJ145" s="1785"/>
      <c r="CIK145" s="1785"/>
      <c r="CIL145" s="1785"/>
      <c r="CIM145" s="1785"/>
      <c r="CIN145" s="1785"/>
      <c r="CIO145" s="1785"/>
      <c r="CIP145" s="1785"/>
      <c r="CIQ145" s="1785"/>
      <c r="CIR145" s="1785"/>
      <c r="CIS145" s="1785"/>
      <c r="CIT145" s="1785"/>
      <c r="CIU145" s="1785"/>
      <c r="CIV145" s="1785"/>
      <c r="CIW145" s="1785"/>
      <c r="CIX145" s="1785"/>
      <c r="CIY145" s="1785"/>
      <c r="CIZ145" s="1785"/>
      <c r="CJA145" s="1785"/>
      <c r="CJB145" s="1785"/>
      <c r="CJC145" s="1785"/>
      <c r="CJD145" s="1785"/>
      <c r="CJE145" s="1785"/>
      <c r="CJF145" s="1785"/>
      <c r="CJG145" s="1785"/>
      <c r="CJH145" s="1785"/>
      <c r="CJI145" s="1785"/>
      <c r="CJJ145" s="1785"/>
      <c r="CJK145" s="1785"/>
      <c r="CJL145" s="1785"/>
      <c r="CJM145" s="1785"/>
      <c r="CJN145" s="1785"/>
      <c r="CJO145" s="1785"/>
      <c r="CJP145" s="1785"/>
      <c r="CJQ145" s="1785"/>
      <c r="CJR145" s="1785"/>
      <c r="CJS145" s="1785"/>
      <c r="CJT145" s="1785"/>
      <c r="CJU145" s="1785"/>
      <c r="CJV145" s="1785"/>
      <c r="CJW145" s="1785"/>
      <c r="CJX145" s="1785"/>
      <c r="CJY145" s="1785"/>
      <c r="CJZ145" s="1785"/>
      <c r="CKA145" s="1785"/>
      <c r="CKB145" s="1785"/>
      <c r="CKC145" s="1785"/>
      <c r="CKD145" s="1785"/>
      <c r="CKE145" s="1785"/>
      <c r="CKF145" s="1785"/>
      <c r="CKG145" s="1785"/>
      <c r="CKH145" s="1785"/>
      <c r="CKI145" s="1785"/>
      <c r="CKJ145" s="1785"/>
      <c r="CKK145" s="1785"/>
      <c r="CKL145" s="1785"/>
      <c r="CKM145" s="1785"/>
      <c r="CKN145" s="1785"/>
      <c r="CKO145" s="1785"/>
      <c r="CKP145" s="1785"/>
      <c r="CKQ145" s="1785"/>
      <c r="CKR145" s="1785"/>
      <c r="CKS145" s="1785"/>
      <c r="CKT145" s="1785"/>
      <c r="CKU145" s="1785"/>
      <c r="CKV145" s="1785"/>
      <c r="CKW145" s="1785"/>
      <c r="CKX145" s="1785"/>
      <c r="CKY145" s="1785"/>
      <c r="CKZ145" s="1785"/>
      <c r="CLA145" s="1785"/>
      <c r="CLB145" s="1785"/>
      <c r="CLC145" s="1785"/>
      <c r="CLD145" s="1785"/>
      <c r="CLE145" s="1785"/>
      <c r="CLF145" s="1785"/>
      <c r="CLG145" s="1785"/>
      <c r="CLH145" s="1785"/>
      <c r="CLI145" s="1785"/>
      <c r="CLJ145" s="1785"/>
      <c r="CLK145" s="1785"/>
      <c r="CLL145" s="1785"/>
      <c r="CLM145" s="1785"/>
      <c r="CLN145" s="1785"/>
      <c r="CLO145" s="1785"/>
      <c r="CLP145" s="1785"/>
      <c r="CLQ145" s="1785"/>
      <c r="CLR145" s="1785"/>
      <c r="CLS145" s="1785"/>
      <c r="CLT145" s="1785"/>
      <c r="CLU145" s="1785"/>
      <c r="CLV145" s="1785"/>
      <c r="CLW145" s="1785"/>
      <c r="CLX145" s="1785"/>
      <c r="CLY145" s="1785"/>
      <c r="CLZ145" s="1785"/>
      <c r="CMA145" s="1785"/>
      <c r="CMB145" s="1785"/>
      <c r="CMC145" s="1785"/>
      <c r="CMD145" s="1785"/>
      <c r="CME145" s="1785"/>
      <c r="CMF145" s="1785"/>
      <c r="CMG145" s="1785"/>
      <c r="CMH145" s="1785"/>
      <c r="CMI145" s="1785"/>
      <c r="CMJ145" s="1785"/>
      <c r="CMK145" s="1785"/>
      <c r="CML145" s="1785"/>
      <c r="CMM145" s="1785"/>
      <c r="CMN145" s="1785"/>
      <c r="CMO145" s="1785"/>
      <c r="CMP145" s="1785"/>
      <c r="CMQ145" s="1785"/>
      <c r="CMR145" s="1785"/>
      <c r="CMS145" s="1785"/>
      <c r="CMT145" s="1785"/>
      <c r="CMU145" s="1785"/>
      <c r="CMV145" s="1785"/>
      <c r="CMW145" s="1785"/>
      <c r="CMX145" s="1785"/>
      <c r="CMY145" s="1785"/>
      <c r="CMZ145" s="1785"/>
      <c r="CNA145" s="1785"/>
      <c r="CNB145" s="1785"/>
      <c r="CNC145" s="1785"/>
      <c r="CND145" s="1785"/>
      <c r="CNE145" s="1785"/>
      <c r="CNF145" s="1785"/>
      <c r="CNG145" s="1785"/>
      <c r="CNH145" s="1785"/>
      <c r="CNI145" s="1785"/>
      <c r="CNJ145" s="1785"/>
      <c r="CNK145" s="1785"/>
      <c r="CNL145" s="1785"/>
      <c r="CNM145" s="1785"/>
      <c r="CNN145" s="1785"/>
      <c r="CNO145" s="1785"/>
      <c r="CNP145" s="1785"/>
      <c r="CNQ145" s="1785"/>
      <c r="CNR145" s="1785"/>
      <c r="CNS145" s="1785"/>
      <c r="CNT145" s="1785"/>
      <c r="CNU145" s="1785"/>
      <c r="CNV145" s="1785"/>
      <c r="CNW145" s="1785"/>
      <c r="CNX145" s="1785"/>
      <c r="CNY145" s="1785"/>
      <c r="CNZ145" s="1785"/>
      <c r="COA145" s="1785"/>
      <c r="COB145" s="1785"/>
      <c r="COC145" s="1785"/>
      <c r="COD145" s="1785"/>
      <c r="COE145" s="1785"/>
      <c r="COF145" s="1785"/>
      <c r="COG145" s="1785"/>
      <c r="COH145" s="1785"/>
      <c r="COI145" s="1785"/>
      <c r="COJ145" s="1785"/>
      <c r="COK145" s="1785"/>
      <c r="COL145" s="1785"/>
      <c r="COM145" s="1785"/>
      <c r="CON145" s="1785"/>
      <c r="COO145" s="1785"/>
      <c r="COP145" s="1785"/>
      <c r="COQ145" s="1785"/>
      <c r="COR145" s="1785"/>
      <c r="COS145" s="1785"/>
      <c r="COT145" s="1785"/>
      <c r="COU145" s="1785"/>
      <c r="COV145" s="1785"/>
      <c r="COW145" s="1785"/>
      <c r="COX145" s="1785"/>
      <c r="COY145" s="1785"/>
      <c r="COZ145" s="1785"/>
      <c r="CPA145" s="1785"/>
      <c r="CPB145" s="1785"/>
      <c r="CPC145" s="1785"/>
      <c r="CPD145" s="1785"/>
      <c r="CPE145" s="1785"/>
      <c r="CPF145" s="1785"/>
      <c r="CPG145" s="1785"/>
      <c r="CPH145" s="1785"/>
      <c r="CPI145" s="1785"/>
      <c r="CPJ145" s="1785"/>
      <c r="CPK145" s="1785"/>
      <c r="CPL145" s="1785"/>
      <c r="CPM145" s="1785"/>
      <c r="CPN145" s="1785"/>
      <c r="CPO145" s="1785"/>
      <c r="CPP145" s="1785"/>
      <c r="CPQ145" s="1785"/>
      <c r="CPR145" s="1785"/>
      <c r="CPS145" s="1785"/>
      <c r="CPT145" s="1785"/>
      <c r="CPU145" s="1785"/>
      <c r="CPV145" s="1785"/>
      <c r="CPW145" s="1785"/>
      <c r="CPX145" s="1785"/>
      <c r="CPY145" s="1785"/>
      <c r="CPZ145" s="1785"/>
      <c r="CQA145" s="1785"/>
      <c r="CQB145" s="1785"/>
      <c r="CQC145" s="1785"/>
      <c r="CQD145" s="1785"/>
      <c r="CQE145" s="1785"/>
      <c r="CQF145" s="1785"/>
      <c r="CQG145" s="1785"/>
      <c r="CQH145" s="1785"/>
      <c r="CQI145" s="1785"/>
      <c r="CQJ145" s="1785"/>
      <c r="CQK145" s="1785"/>
      <c r="CQL145" s="1785"/>
      <c r="CQM145" s="1785"/>
      <c r="CQN145" s="1785"/>
      <c r="CQO145" s="1785"/>
      <c r="CQP145" s="1785"/>
      <c r="CQQ145" s="1785"/>
      <c r="CQR145" s="1785"/>
      <c r="CQS145" s="1785"/>
      <c r="CQT145" s="1785"/>
      <c r="CQU145" s="1785"/>
      <c r="CQV145" s="1785"/>
      <c r="CQW145" s="1785"/>
      <c r="CQX145" s="1785"/>
      <c r="CQY145" s="1785"/>
      <c r="CQZ145" s="1785"/>
      <c r="CRA145" s="1785"/>
      <c r="CRB145" s="1785"/>
      <c r="CRC145" s="1785"/>
      <c r="CRD145" s="1785"/>
      <c r="CRE145" s="1785"/>
      <c r="CRF145" s="1785"/>
      <c r="CRG145" s="1785"/>
      <c r="CRH145" s="1785"/>
      <c r="CRI145" s="1785"/>
      <c r="CRJ145" s="1785"/>
      <c r="CRK145" s="1785"/>
      <c r="CRL145" s="1785"/>
      <c r="CRM145" s="1785"/>
      <c r="CRN145" s="1785"/>
      <c r="CRO145" s="1785"/>
      <c r="CRP145" s="1785"/>
      <c r="CRQ145" s="1785"/>
      <c r="CRR145" s="1785"/>
      <c r="CRS145" s="1785"/>
      <c r="CRT145" s="1785"/>
      <c r="CRU145" s="1785"/>
      <c r="CRV145" s="1785"/>
      <c r="CRW145" s="1785"/>
      <c r="CRX145" s="1785"/>
      <c r="CRY145" s="1785"/>
      <c r="CRZ145" s="1785"/>
      <c r="CSA145" s="1785"/>
      <c r="CSB145" s="1785"/>
      <c r="CSC145" s="1785"/>
      <c r="CSD145" s="1785"/>
      <c r="CSE145" s="1785"/>
      <c r="CSF145" s="1785"/>
      <c r="CSG145" s="1785"/>
      <c r="CSH145" s="1785"/>
      <c r="CSI145" s="1785"/>
      <c r="CSJ145" s="1785"/>
      <c r="CSK145" s="1785"/>
      <c r="CSL145" s="1785"/>
      <c r="CSM145" s="1785"/>
      <c r="CSN145" s="1785"/>
      <c r="CSO145" s="1785"/>
      <c r="CSP145" s="1785"/>
      <c r="CSQ145" s="1785"/>
      <c r="CSR145" s="1785"/>
      <c r="CSS145" s="1785"/>
      <c r="CST145" s="1785"/>
      <c r="CSU145" s="1785"/>
      <c r="CSV145" s="1785"/>
      <c r="CSW145" s="1785"/>
      <c r="CSX145" s="1785"/>
      <c r="CSY145" s="1785"/>
      <c r="CSZ145" s="1785"/>
      <c r="CTA145" s="1785"/>
      <c r="CTB145" s="1785"/>
      <c r="CTC145" s="1785"/>
      <c r="CTD145" s="1785"/>
      <c r="CTE145" s="1785"/>
      <c r="CTF145" s="1785"/>
      <c r="CTG145" s="1785"/>
      <c r="CTH145" s="1785"/>
      <c r="CTI145" s="1785"/>
      <c r="CTJ145" s="1785"/>
      <c r="CTK145" s="1785"/>
      <c r="CTL145" s="1785"/>
      <c r="CTM145" s="1785"/>
      <c r="CTN145" s="1785"/>
      <c r="CTO145" s="1785"/>
      <c r="CTP145" s="1785"/>
      <c r="CTQ145" s="1785"/>
      <c r="CTR145" s="1785"/>
      <c r="CTS145" s="1785"/>
      <c r="CTT145" s="1785"/>
      <c r="CTU145" s="1785"/>
      <c r="CTV145" s="1785"/>
      <c r="CTW145" s="1785"/>
      <c r="CTX145" s="1785"/>
      <c r="CTY145" s="1785"/>
      <c r="CTZ145" s="1785"/>
      <c r="CUA145" s="1785"/>
      <c r="CUB145" s="1785"/>
      <c r="CUC145" s="1785"/>
      <c r="CUD145" s="1785"/>
      <c r="CUE145" s="1785"/>
      <c r="CUF145" s="1785"/>
      <c r="CUG145" s="1785"/>
      <c r="CUH145" s="1785"/>
      <c r="CUI145" s="1785"/>
      <c r="CUJ145" s="1785"/>
      <c r="CUK145" s="1785"/>
      <c r="CUL145" s="1785"/>
      <c r="CUM145" s="1785"/>
      <c r="CUN145" s="1785"/>
      <c r="CUO145" s="1785"/>
      <c r="CUP145" s="1785"/>
      <c r="CUQ145" s="1785"/>
      <c r="CUR145" s="1785"/>
      <c r="CUS145" s="1785"/>
      <c r="CUT145" s="1785"/>
      <c r="CUU145" s="1785"/>
      <c r="CUV145" s="1785"/>
      <c r="CUW145" s="1785"/>
      <c r="CUX145" s="1785"/>
      <c r="CUY145" s="1785"/>
      <c r="CUZ145" s="1785"/>
      <c r="CVA145" s="1785"/>
      <c r="CVB145" s="1785"/>
      <c r="CVC145" s="1785"/>
      <c r="CVD145" s="1785"/>
      <c r="CVE145" s="1785"/>
      <c r="CVF145" s="1785"/>
      <c r="CVG145" s="1785"/>
      <c r="CVH145" s="1785"/>
      <c r="CVI145" s="1785"/>
      <c r="CVJ145" s="1785"/>
      <c r="CVK145" s="1785"/>
      <c r="CVL145" s="1785"/>
      <c r="CVM145" s="1785"/>
      <c r="CVN145" s="1785"/>
      <c r="CVO145" s="1785"/>
      <c r="CVP145" s="1785"/>
      <c r="CVQ145" s="1785"/>
      <c r="CVR145" s="1785"/>
      <c r="CVS145" s="1785"/>
      <c r="CVT145" s="1785"/>
      <c r="CVU145" s="1785"/>
      <c r="CVV145" s="1785"/>
      <c r="CVW145" s="1785"/>
      <c r="CVX145" s="1785"/>
      <c r="CVY145" s="1785"/>
      <c r="CVZ145" s="1785"/>
      <c r="CWA145" s="1785"/>
      <c r="CWB145" s="1785"/>
      <c r="CWC145" s="1785"/>
      <c r="CWD145" s="1785"/>
      <c r="CWE145" s="1785"/>
      <c r="CWF145" s="1785"/>
      <c r="CWG145" s="1785"/>
      <c r="CWH145" s="1785"/>
      <c r="CWI145" s="1785"/>
      <c r="CWJ145" s="1785"/>
      <c r="CWK145" s="1785"/>
      <c r="CWL145" s="1785"/>
      <c r="CWM145" s="1785"/>
      <c r="CWN145" s="1785"/>
      <c r="CWO145" s="1785"/>
      <c r="CWP145" s="1785"/>
      <c r="CWQ145" s="1785"/>
      <c r="CWR145" s="1785"/>
      <c r="CWS145" s="1785"/>
      <c r="CWT145" s="1785"/>
      <c r="CWU145" s="1785"/>
      <c r="CWV145" s="1785"/>
      <c r="CWW145" s="1785"/>
      <c r="CWX145" s="1785"/>
      <c r="CWY145" s="1785"/>
      <c r="CWZ145" s="1785"/>
      <c r="CXA145" s="1785"/>
      <c r="CXB145" s="1785"/>
      <c r="CXC145" s="1785"/>
      <c r="CXD145" s="1785"/>
      <c r="CXE145" s="1785"/>
      <c r="CXF145" s="1785"/>
      <c r="CXG145" s="1785"/>
      <c r="CXH145" s="1785"/>
      <c r="CXI145" s="1785"/>
      <c r="CXJ145" s="1785"/>
      <c r="CXK145" s="1785"/>
      <c r="CXL145" s="1785"/>
      <c r="CXM145" s="1785"/>
      <c r="CXN145" s="1785"/>
      <c r="CXO145" s="1785"/>
      <c r="CXP145" s="1785"/>
      <c r="CXQ145" s="1785"/>
      <c r="CXR145" s="1785"/>
      <c r="CXS145" s="1785"/>
      <c r="CXT145" s="1785"/>
      <c r="CXU145" s="1785"/>
      <c r="CXV145" s="1785"/>
      <c r="CXW145" s="1785"/>
      <c r="CXX145" s="1785"/>
      <c r="CXY145" s="1785"/>
      <c r="CXZ145" s="1785"/>
      <c r="CYA145" s="1785"/>
      <c r="CYB145" s="1785"/>
      <c r="CYC145" s="1785"/>
      <c r="CYD145" s="1785"/>
      <c r="CYE145" s="1785"/>
      <c r="CYF145" s="1785"/>
      <c r="CYG145" s="1785"/>
      <c r="CYH145" s="1785"/>
      <c r="CYI145" s="1785"/>
      <c r="CYJ145" s="1785"/>
      <c r="CYK145" s="1785"/>
      <c r="CYL145" s="1785"/>
      <c r="CYM145" s="1785"/>
      <c r="CYN145" s="1785"/>
      <c r="CYO145" s="1785"/>
      <c r="CYP145" s="1785"/>
      <c r="CYQ145" s="1785"/>
      <c r="CYR145" s="1785"/>
      <c r="CYS145" s="1785"/>
      <c r="CYT145" s="1785"/>
      <c r="CYU145" s="1785"/>
      <c r="CYV145" s="1785"/>
      <c r="CYW145" s="1785"/>
      <c r="CYX145" s="1785"/>
      <c r="CYY145" s="1785"/>
      <c r="CYZ145" s="1785"/>
      <c r="CZA145" s="1785"/>
      <c r="CZB145" s="1785"/>
      <c r="CZC145" s="1785"/>
      <c r="CZD145" s="1785"/>
      <c r="CZE145" s="1785"/>
      <c r="CZF145" s="1785"/>
      <c r="CZG145" s="1785"/>
      <c r="CZH145" s="1785"/>
      <c r="CZI145" s="1785"/>
      <c r="CZJ145" s="1785"/>
      <c r="CZK145" s="1785"/>
      <c r="CZL145" s="1785"/>
      <c r="CZM145" s="1785"/>
      <c r="CZN145" s="1785"/>
      <c r="CZO145" s="1785"/>
      <c r="CZP145" s="1785"/>
      <c r="CZQ145" s="1785"/>
      <c r="CZR145" s="1785"/>
      <c r="CZS145" s="1785"/>
      <c r="CZT145" s="1785"/>
      <c r="CZU145" s="1785"/>
      <c r="CZV145" s="1785"/>
      <c r="CZW145" s="1785"/>
      <c r="CZX145" s="1785"/>
      <c r="CZY145" s="1785"/>
      <c r="CZZ145" s="1785"/>
      <c r="DAA145" s="1785"/>
      <c r="DAB145" s="1785"/>
      <c r="DAC145" s="1785"/>
      <c r="DAD145" s="1785"/>
      <c r="DAE145" s="1785"/>
      <c r="DAF145" s="1785"/>
      <c r="DAG145" s="1785"/>
      <c r="DAH145" s="1785"/>
      <c r="DAI145" s="1785"/>
      <c r="DAJ145" s="1785"/>
      <c r="DAK145" s="1785"/>
      <c r="DAL145" s="1785"/>
      <c r="DAM145" s="1785"/>
      <c r="DAN145" s="1785"/>
      <c r="DAO145" s="1785"/>
    </row>
    <row r="146" spans="1:2745" s="1887" customFormat="1" ht="56.25" customHeight="1" x14ac:dyDescent="0.2">
      <c r="A146" s="1869"/>
      <c r="B146" s="1870"/>
      <c r="C146" s="1871"/>
      <c r="D146" s="1872"/>
      <c r="E146" s="1872"/>
      <c r="F146" s="1871"/>
      <c r="G146" s="1872"/>
      <c r="H146" s="1872"/>
      <c r="I146" s="1871"/>
      <c r="J146" s="4261"/>
      <c r="K146" s="4262"/>
      <c r="L146" s="4254"/>
      <c r="M146" s="4245"/>
      <c r="N146" s="4245"/>
      <c r="O146" s="4245"/>
      <c r="P146" s="4245"/>
      <c r="Q146" s="1883">
        <f>V146/R144</f>
        <v>0.16382240023326081</v>
      </c>
      <c r="R146" s="4251"/>
      <c r="S146" s="4254"/>
      <c r="T146" s="4254"/>
      <c r="U146" s="1888" t="s">
        <v>1633</v>
      </c>
      <c r="V146" s="1893">
        <v>479978457</v>
      </c>
      <c r="W146" s="1893"/>
      <c r="X146" s="1894">
        <v>0</v>
      </c>
      <c r="Y146" s="1895">
        <v>20</v>
      </c>
      <c r="Z146" s="1875" t="s">
        <v>70</v>
      </c>
      <c r="AA146" s="2858"/>
      <c r="AB146" s="2858"/>
      <c r="AC146" s="2858"/>
      <c r="AD146" s="2858"/>
      <c r="AE146" s="2858"/>
      <c r="AF146" s="2858"/>
      <c r="AG146" s="2858"/>
      <c r="AH146" s="2858"/>
      <c r="AI146" s="2858"/>
      <c r="AJ146" s="2858"/>
      <c r="AK146" s="2858"/>
      <c r="AL146" s="2858"/>
      <c r="AM146" s="2858"/>
      <c r="AN146" s="2858"/>
      <c r="AO146" s="2858"/>
      <c r="AP146" s="2858"/>
      <c r="AQ146" s="2858"/>
      <c r="AR146" s="2858"/>
      <c r="AS146" s="2858"/>
      <c r="AT146" s="2858"/>
      <c r="AU146" s="2858"/>
      <c r="AV146" s="2858"/>
      <c r="AW146" s="2858"/>
      <c r="AX146" s="2858"/>
      <c r="AY146" s="2858"/>
      <c r="AZ146" s="2858"/>
      <c r="BA146" s="2858"/>
      <c r="BB146" s="2858"/>
      <c r="BC146" s="2858"/>
      <c r="BD146" s="2858"/>
      <c r="BE146" s="2858"/>
      <c r="BF146" s="2858"/>
      <c r="BG146" s="4236"/>
      <c r="BH146" s="2856"/>
      <c r="BI146" s="4239"/>
      <c r="BJ146" s="4242"/>
      <c r="BK146" s="4245"/>
      <c r="BL146" s="4234"/>
      <c r="BM146" s="4230"/>
      <c r="BN146" s="4230"/>
      <c r="BO146" s="4230"/>
      <c r="BP146" s="4230"/>
      <c r="BQ146" s="4234"/>
      <c r="BR146" s="1785"/>
      <c r="BS146" s="1785"/>
      <c r="BT146" s="1785"/>
      <c r="BU146" s="1785"/>
      <c r="BV146" s="1785"/>
      <c r="BW146" s="1785"/>
      <c r="BX146" s="1785"/>
      <c r="BY146" s="1785"/>
      <c r="BZ146" s="1785"/>
      <c r="CA146" s="1785"/>
      <c r="CB146" s="1785"/>
      <c r="CC146" s="1785"/>
      <c r="CD146" s="1785"/>
      <c r="CE146" s="1785"/>
      <c r="CF146" s="1785"/>
      <c r="CG146" s="1785"/>
      <c r="CH146" s="1785"/>
      <c r="CI146" s="1785"/>
      <c r="CJ146" s="1785"/>
      <c r="CK146" s="1785"/>
      <c r="CL146" s="1785"/>
      <c r="CM146" s="1785"/>
      <c r="CN146" s="1785"/>
      <c r="CO146" s="1785"/>
      <c r="CP146" s="1785"/>
      <c r="CQ146" s="1785"/>
      <c r="CR146" s="1785"/>
      <c r="CS146" s="1785"/>
      <c r="CT146" s="1785"/>
      <c r="CU146" s="1785"/>
      <c r="CV146" s="1785"/>
      <c r="CW146" s="1785"/>
      <c r="CX146" s="1785"/>
      <c r="CY146" s="1785"/>
      <c r="CZ146" s="1785"/>
      <c r="DA146" s="1785"/>
      <c r="DB146" s="1785"/>
      <c r="DC146" s="1785"/>
      <c r="DD146" s="1785"/>
      <c r="DE146" s="1785"/>
      <c r="DF146" s="1785"/>
      <c r="DG146" s="1785"/>
      <c r="DH146" s="1785"/>
      <c r="DI146" s="1785"/>
      <c r="DJ146" s="1785"/>
      <c r="DK146" s="1785"/>
      <c r="DL146" s="1785"/>
      <c r="DM146" s="1785"/>
      <c r="DN146" s="1785"/>
      <c r="DO146" s="1785"/>
      <c r="DP146" s="1785"/>
      <c r="DQ146" s="1785"/>
      <c r="DR146" s="1785"/>
      <c r="DS146" s="1785"/>
      <c r="DT146" s="1785"/>
      <c r="DU146" s="1785"/>
      <c r="FB146" s="1785"/>
      <c r="FC146" s="1785"/>
      <c r="FD146" s="1785"/>
      <c r="FE146" s="1785"/>
      <c r="FF146" s="1785"/>
      <c r="FG146" s="1785"/>
      <c r="FH146" s="1785"/>
      <c r="FI146" s="1785"/>
      <c r="FJ146" s="1785"/>
      <c r="FK146" s="1785"/>
      <c r="FL146" s="1785"/>
      <c r="FM146" s="1785"/>
      <c r="FN146" s="1785"/>
      <c r="FO146" s="1785"/>
      <c r="FP146" s="1785"/>
      <c r="FQ146" s="1785"/>
      <c r="FR146" s="1785"/>
      <c r="FS146" s="1785"/>
      <c r="FT146" s="1785"/>
      <c r="FU146" s="1785"/>
      <c r="FV146" s="1785"/>
      <c r="FW146" s="1785"/>
      <c r="FX146" s="1785"/>
      <c r="FY146" s="1785"/>
      <c r="FZ146" s="1785"/>
      <c r="GA146" s="1785"/>
      <c r="GB146" s="1785"/>
      <c r="GC146" s="1785"/>
      <c r="GD146" s="1785"/>
      <c r="GE146" s="1785"/>
      <c r="GF146" s="1785"/>
      <c r="GG146" s="1785"/>
      <c r="GH146" s="1785"/>
      <c r="GI146" s="1785"/>
      <c r="GJ146" s="1785"/>
      <c r="GK146" s="1785"/>
      <c r="GL146" s="1785"/>
      <c r="GM146" s="1785"/>
      <c r="GN146" s="1785"/>
      <c r="GO146" s="1785"/>
      <c r="GP146" s="1785"/>
      <c r="GQ146" s="1785"/>
      <c r="GR146" s="1785"/>
      <c r="GS146" s="1785"/>
      <c r="GT146" s="1785"/>
      <c r="GU146" s="1785"/>
      <c r="GV146" s="1785"/>
      <c r="GW146" s="1785"/>
      <c r="GX146" s="1785"/>
      <c r="GY146" s="1785"/>
      <c r="GZ146" s="1785"/>
      <c r="HA146" s="1785"/>
      <c r="HB146" s="1785"/>
      <c r="HC146" s="1785"/>
      <c r="HD146" s="1785"/>
      <c r="HE146" s="1785"/>
      <c r="HF146" s="1785"/>
      <c r="HG146" s="1785"/>
      <c r="HH146" s="1785"/>
      <c r="HI146" s="1785"/>
      <c r="HJ146" s="1785"/>
      <c r="HK146" s="1785"/>
      <c r="HL146" s="1785"/>
      <c r="HM146" s="1785"/>
      <c r="HN146" s="1785"/>
      <c r="HO146" s="1785"/>
      <c r="HP146" s="1785"/>
      <c r="HQ146" s="1785"/>
      <c r="HR146" s="1785"/>
      <c r="HS146" s="1785"/>
      <c r="HT146" s="1785"/>
      <c r="HU146" s="1785"/>
      <c r="HV146" s="1785"/>
      <c r="HW146" s="1785"/>
      <c r="HX146" s="1785"/>
      <c r="HY146" s="1785"/>
      <c r="HZ146" s="1785"/>
      <c r="IA146" s="1785"/>
      <c r="IB146" s="1785"/>
      <c r="IC146" s="1785"/>
      <c r="ID146" s="1785"/>
      <c r="IE146" s="1785"/>
      <c r="IF146" s="1785"/>
      <c r="IG146" s="1785"/>
      <c r="IH146" s="1785"/>
      <c r="II146" s="1785"/>
      <c r="IJ146" s="1785"/>
      <c r="IK146" s="1785"/>
      <c r="IL146" s="1785"/>
      <c r="IM146" s="1785"/>
      <c r="IN146" s="1785"/>
      <c r="IO146" s="1785"/>
      <c r="IP146" s="1785"/>
      <c r="IQ146" s="1785"/>
      <c r="IR146" s="1785"/>
      <c r="IS146" s="1785"/>
      <c r="IT146" s="1785"/>
      <c r="IU146" s="1785"/>
      <c r="IV146" s="1785"/>
      <c r="IW146" s="1785"/>
      <c r="IX146" s="1785"/>
      <c r="IY146" s="1785"/>
      <c r="IZ146" s="1785"/>
      <c r="JA146" s="1785"/>
      <c r="JB146" s="1785"/>
      <c r="JC146" s="1785"/>
      <c r="JD146" s="1785"/>
      <c r="JE146" s="1785"/>
      <c r="JF146" s="1785"/>
      <c r="JG146" s="1785"/>
      <c r="JH146" s="1785"/>
      <c r="JI146" s="1785"/>
      <c r="JJ146" s="1785"/>
      <c r="JK146" s="1785"/>
      <c r="JL146" s="1785"/>
      <c r="JM146" s="1785"/>
      <c r="JN146" s="1785"/>
      <c r="JO146" s="1785"/>
      <c r="JP146" s="1785"/>
      <c r="JQ146" s="1785"/>
      <c r="JR146" s="1785"/>
      <c r="JS146" s="1785"/>
      <c r="JT146" s="1785"/>
      <c r="JU146" s="1785"/>
      <c r="JV146" s="1785"/>
      <c r="JW146" s="1785"/>
      <c r="JX146" s="1785"/>
      <c r="JY146" s="1785"/>
      <c r="JZ146" s="1785"/>
      <c r="KA146" s="1785"/>
      <c r="KB146" s="1785"/>
      <c r="KC146" s="1785"/>
      <c r="KD146" s="1785"/>
      <c r="KE146" s="1785"/>
      <c r="KF146" s="1785"/>
      <c r="KG146" s="1785"/>
      <c r="KH146" s="1785"/>
      <c r="KI146" s="1785"/>
      <c r="KJ146" s="1785"/>
      <c r="KK146" s="1785"/>
      <c r="KL146" s="1785"/>
      <c r="KM146" s="1785"/>
      <c r="KN146" s="1785"/>
      <c r="KO146" s="1785"/>
      <c r="KP146" s="1785"/>
      <c r="KQ146" s="1785"/>
      <c r="KR146" s="1785"/>
      <c r="LM146" s="1785"/>
      <c r="LN146" s="1785"/>
      <c r="LO146" s="1785"/>
      <c r="LP146" s="1785"/>
      <c r="LQ146" s="1785"/>
      <c r="LR146" s="1785"/>
      <c r="LS146" s="1785"/>
      <c r="LT146" s="1785"/>
      <c r="LU146" s="1785"/>
      <c r="LV146" s="1785"/>
      <c r="LW146" s="1785"/>
      <c r="LX146" s="1785"/>
      <c r="LY146" s="1785"/>
      <c r="LZ146" s="1785"/>
      <c r="MA146" s="1785"/>
      <c r="MB146" s="1785"/>
      <c r="MC146" s="1785"/>
      <c r="MD146" s="1785"/>
      <c r="ME146" s="1785"/>
      <c r="MF146" s="1785"/>
      <c r="MG146" s="1785"/>
      <c r="MH146" s="1785"/>
      <c r="MI146" s="1785"/>
      <c r="MJ146" s="1785"/>
      <c r="MK146" s="1785"/>
      <c r="ML146" s="1785"/>
      <c r="MM146" s="1785"/>
      <c r="MN146" s="1785"/>
      <c r="MO146" s="1785"/>
      <c r="MP146" s="1785"/>
      <c r="MQ146" s="1785"/>
      <c r="MR146" s="1785"/>
      <c r="MS146" s="1785"/>
      <c r="MT146" s="1785"/>
      <c r="MU146" s="1785"/>
      <c r="MV146" s="1785"/>
      <c r="MW146" s="1785"/>
      <c r="MX146" s="1785"/>
      <c r="MY146" s="1785"/>
      <c r="MZ146" s="1785"/>
      <c r="NA146" s="1785"/>
      <c r="NB146" s="1785"/>
      <c r="NC146" s="1785"/>
      <c r="ND146" s="1785"/>
      <c r="NE146" s="1785"/>
      <c r="NF146" s="1785"/>
      <c r="NG146" s="1785"/>
      <c r="NH146" s="1785"/>
      <c r="NI146" s="1785"/>
      <c r="NJ146" s="1785"/>
      <c r="NK146" s="1785"/>
      <c r="NL146" s="1785"/>
      <c r="NM146" s="1785"/>
      <c r="NN146" s="1785"/>
      <c r="NO146" s="1785"/>
      <c r="NP146" s="1785"/>
      <c r="NQ146" s="1785"/>
      <c r="NR146" s="1785"/>
      <c r="NS146" s="1785"/>
      <c r="NT146" s="1785"/>
      <c r="NU146" s="1785"/>
      <c r="NV146" s="1785"/>
      <c r="NW146" s="1785"/>
      <c r="NX146" s="1785"/>
      <c r="NY146" s="1785"/>
      <c r="NZ146" s="1785"/>
      <c r="OA146" s="1785"/>
      <c r="OB146" s="1785"/>
      <c r="OC146" s="1785"/>
      <c r="OD146" s="1785"/>
      <c r="OE146" s="1785"/>
      <c r="OF146" s="1785"/>
      <c r="OG146" s="1785"/>
      <c r="OH146" s="1785"/>
      <c r="OI146" s="1785"/>
      <c r="OJ146" s="1785"/>
      <c r="OK146" s="1785"/>
      <c r="OL146" s="1785"/>
      <c r="OM146" s="1785"/>
      <c r="ON146" s="1785"/>
      <c r="OO146" s="1785"/>
      <c r="OP146" s="1785"/>
      <c r="OQ146" s="1785"/>
      <c r="OR146" s="1785"/>
      <c r="OS146" s="1785"/>
      <c r="OT146" s="1785"/>
      <c r="OU146" s="1785"/>
      <c r="OV146" s="1785"/>
      <c r="OW146" s="1785"/>
      <c r="OX146" s="1785"/>
      <c r="OY146" s="1785"/>
      <c r="OZ146" s="1785"/>
      <c r="PA146" s="1785"/>
      <c r="PB146" s="1785"/>
      <c r="PC146" s="1785"/>
      <c r="PD146" s="1785"/>
      <c r="PE146" s="1785"/>
      <c r="PF146" s="1785"/>
      <c r="PG146" s="1785"/>
      <c r="PH146" s="1785"/>
      <c r="PI146" s="1785"/>
      <c r="PJ146" s="1785"/>
      <c r="PK146" s="1785"/>
      <c r="PL146" s="1785"/>
      <c r="PM146" s="1785"/>
      <c r="PN146" s="1785"/>
      <c r="PO146" s="1785"/>
      <c r="PP146" s="1785"/>
      <c r="PQ146" s="1785"/>
      <c r="PR146" s="1785"/>
      <c r="PS146" s="1785"/>
      <c r="PT146" s="1785"/>
      <c r="PU146" s="1785"/>
      <c r="PV146" s="1785"/>
      <c r="PW146" s="1785"/>
      <c r="PX146" s="1785"/>
      <c r="PY146" s="1785"/>
      <c r="PZ146" s="1785"/>
      <c r="QA146" s="1785"/>
      <c r="QB146" s="1785"/>
      <c r="QC146" s="1785"/>
      <c r="QD146" s="1785"/>
      <c r="QE146" s="1785"/>
      <c r="QF146" s="1785"/>
      <c r="QG146" s="1785"/>
      <c r="QH146" s="1785"/>
      <c r="QI146" s="1785"/>
      <c r="QJ146" s="1785"/>
      <c r="QK146" s="1785"/>
      <c r="QL146" s="1785"/>
      <c r="QM146" s="1785"/>
      <c r="QN146" s="1785"/>
      <c r="QO146" s="1785"/>
      <c r="QP146" s="1785"/>
      <c r="QQ146" s="1785"/>
      <c r="QR146" s="1785"/>
      <c r="QS146" s="1785"/>
      <c r="QT146" s="1785"/>
      <c r="QU146" s="1785"/>
      <c r="QV146" s="1785"/>
      <c r="QW146" s="1785"/>
      <c r="QX146" s="1785"/>
      <c r="QY146" s="1785"/>
      <c r="QZ146" s="1785"/>
      <c r="RA146" s="1785"/>
      <c r="RB146" s="1785"/>
      <c r="RC146" s="1785"/>
      <c r="RD146" s="1785"/>
      <c r="RE146" s="1785"/>
      <c r="RF146" s="1785"/>
      <c r="RG146" s="1785"/>
      <c r="RH146" s="1785"/>
      <c r="RI146" s="1785"/>
      <c r="RJ146" s="1785"/>
      <c r="RK146" s="1785"/>
      <c r="RL146" s="1785"/>
      <c r="RM146" s="1785"/>
      <c r="RN146" s="1785"/>
      <c r="RO146" s="1785"/>
      <c r="RP146" s="1785"/>
      <c r="RQ146" s="1785"/>
      <c r="RR146" s="1785"/>
      <c r="RS146" s="1785"/>
      <c r="RT146" s="1785"/>
      <c r="RU146" s="1785"/>
      <c r="RV146" s="1785"/>
      <c r="RW146" s="1785"/>
      <c r="RX146" s="1785"/>
      <c r="RY146" s="1785"/>
      <c r="RZ146" s="1785"/>
      <c r="SA146" s="1785"/>
      <c r="SB146" s="1785"/>
      <c r="SC146" s="1785"/>
      <c r="SD146" s="1785"/>
      <c r="SE146" s="1785"/>
      <c r="SF146" s="1785"/>
      <c r="SG146" s="1785"/>
      <c r="SH146" s="1785"/>
      <c r="SI146" s="1785"/>
      <c r="SJ146" s="1785"/>
      <c r="SK146" s="1785"/>
      <c r="SL146" s="1785"/>
      <c r="SM146" s="1785"/>
      <c r="SN146" s="1785"/>
      <c r="SO146" s="1785"/>
      <c r="SP146" s="1785"/>
      <c r="SQ146" s="1785"/>
      <c r="SR146" s="1785"/>
      <c r="SS146" s="1785"/>
      <c r="ST146" s="1785"/>
      <c r="SU146" s="1785"/>
      <c r="SV146" s="1785"/>
      <c r="SW146" s="1785"/>
      <c r="SX146" s="1785"/>
      <c r="SY146" s="1785"/>
      <c r="SZ146" s="1785"/>
      <c r="TA146" s="1785"/>
      <c r="TB146" s="1785"/>
      <c r="TC146" s="1785"/>
      <c r="TD146" s="1785"/>
      <c r="TE146" s="1785"/>
      <c r="TF146" s="1785"/>
      <c r="TG146" s="1785"/>
      <c r="TH146" s="1785"/>
      <c r="TI146" s="1785"/>
      <c r="TJ146" s="1785"/>
      <c r="TK146" s="1785"/>
      <c r="TL146" s="1785"/>
      <c r="TM146" s="1785"/>
      <c r="TN146" s="1785"/>
      <c r="TO146" s="1785"/>
      <c r="TP146" s="1785"/>
      <c r="TQ146" s="1785"/>
      <c r="TR146" s="1785"/>
      <c r="TS146" s="1785"/>
      <c r="TT146" s="1785"/>
      <c r="TU146" s="1785"/>
      <c r="TV146" s="1785"/>
      <c r="TW146" s="1785"/>
      <c r="TX146" s="1785"/>
      <c r="TY146" s="1785"/>
      <c r="TZ146" s="1785"/>
      <c r="UA146" s="1785"/>
      <c r="UB146" s="1785"/>
      <c r="UC146" s="1785"/>
      <c r="UD146" s="1785"/>
      <c r="UE146" s="1785"/>
      <c r="UF146" s="1785"/>
      <c r="UG146" s="1785"/>
      <c r="UH146" s="1785"/>
      <c r="UI146" s="1785"/>
      <c r="UJ146" s="1785"/>
      <c r="UK146" s="1785"/>
      <c r="UL146" s="1785"/>
      <c r="UM146" s="1785"/>
      <c r="UN146" s="1785"/>
      <c r="UO146" s="1785"/>
      <c r="UP146" s="1785"/>
      <c r="UQ146" s="1785"/>
      <c r="UR146" s="1785"/>
      <c r="US146" s="1785"/>
      <c r="UT146" s="1785"/>
      <c r="UU146" s="1785"/>
      <c r="UV146" s="1785"/>
      <c r="UW146" s="1785"/>
      <c r="UX146" s="1785"/>
      <c r="UY146" s="1785"/>
      <c r="UZ146" s="1785"/>
      <c r="VA146" s="1785"/>
      <c r="VB146" s="1785"/>
      <c r="VC146" s="1785"/>
      <c r="VD146" s="1785"/>
      <c r="VE146" s="1785"/>
      <c r="VF146" s="1785"/>
      <c r="VG146" s="1785"/>
      <c r="VH146" s="1785"/>
      <c r="VI146" s="1785"/>
      <c r="VJ146" s="1785"/>
      <c r="VK146" s="1785"/>
      <c r="VL146" s="1785"/>
      <c r="VM146" s="1785"/>
      <c r="VN146" s="1785"/>
      <c r="VO146" s="1785"/>
      <c r="VP146" s="1785"/>
      <c r="VQ146" s="1785"/>
      <c r="VR146" s="1785"/>
      <c r="VS146" s="1785"/>
      <c r="VT146" s="1785"/>
      <c r="VU146" s="1785"/>
      <c r="VV146" s="1785"/>
      <c r="VW146" s="1785"/>
      <c r="VX146" s="1785"/>
      <c r="VY146" s="1785"/>
      <c r="VZ146" s="1785"/>
      <c r="WA146" s="1785"/>
      <c r="WB146" s="1785"/>
      <c r="WC146" s="1785"/>
      <c r="WD146" s="1785"/>
      <c r="WE146" s="1785"/>
      <c r="WF146" s="1785"/>
      <c r="WG146" s="1785"/>
      <c r="WH146" s="1785"/>
      <c r="WI146" s="1785"/>
      <c r="WJ146" s="1785"/>
      <c r="WK146" s="1785"/>
      <c r="WL146" s="1785"/>
      <c r="WM146" s="1785"/>
      <c r="WN146" s="1785"/>
      <c r="WO146" s="1785"/>
      <c r="WP146" s="1785"/>
      <c r="WQ146" s="1785"/>
      <c r="WR146" s="1785"/>
      <c r="WS146" s="1785"/>
      <c r="WT146" s="1785"/>
      <c r="WU146" s="1785"/>
      <c r="WV146" s="1785"/>
      <c r="WW146" s="1785"/>
      <c r="WX146" s="1785"/>
      <c r="WY146" s="1785"/>
      <c r="WZ146" s="1785"/>
      <c r="XA146" s="1785"/>
      <c r="XB146" s="1785"/>
      <c r="XC146" s="1785"/>
      <c r="XD146" s="1785"/>
      <c r="XE146" s="1785"/>
      <c r="XF146" s="1785"/>
      <c r="XG146" s="1785"/>
      <c r="XH146" s="1785"/>
      <c r="XI146" s="1785"/>
      <c r="XJ146" s="1785"/>
      <c r="XK146" s="1785"/>
      <c r="XL146" s="1785"/>
      <c r="XM146" s="1785"/>
      <c r="XN146" s="1785"/>
      <c r="XO146" s="1785"/>
      <c r="XP146" s="1785"/>
      <c r="XQ146" s="1785"/>
      <c r="XR146" s="1785"/>
      <c r="XS146" s="1785"/>
      <c r="XT146" s="1785"/>
      <c r="XU146" s="1785"/>
      <c r="XV146" s="1785"/>
      <c r="XW146" s="1785"/>
      <c r="XX146" s="1785"/>
      <c r="XY146" s="1785"/>
      <c r="XZ146" s="1785"/>
      <c r="YA146" s="1785"/>
      <c r="YB146" s="1785"/>
      <c r="YC146" s="1785"/>
      <c r="YD146" s="1785"/>
      <c r="YE146" s="1785"/>
      <c r="YF146" s="1785"/>
      <c r="YG146" s="1785"/>
      <c r="YH146" s="1785"/>
      <c r="YI146" s="1785"/>
      <c r="YJ146" s="1785"/>
      <c r="YK146" s="1785"/>
      <c r="YL146" s="1785"/>
      <c r="YM146" s="1785"/>
      <c r="YN146" s="1785"/>
      <c r="YO146" s="1785"/>
      <c r="YP146" s="1785"/>
      <c r="YQ146" s="1785"/>
      <c r="YR146" s="1785"/>
      <c r="YS146" s="1785"/>
      <c r="YT146" s="1785"/>
      <c r="YU146" s="1785"/>
      <c r="YV146" s="1785"/>
      <c r="YW146" s="1785"/>
      <c r="YX146" s="1785"/>
      <c r="YY146" s="1785"/>
      <c r="YZ146" s="1785"/>
      <c r="ZA146" s="1785"/>
      <c r="ZB146" s="1785"/>
      <c r="ZC146" s="1785"/>
      <c r="ZD146" s="1785"/>
      <c r="ZE146" s="1785"/>
      <c r="ZF146" s="1785"/>
      <c r="ZG146" s="1785"/>
      <c r="ZH146" s="1785"/>
      <c r="ZI146" s="1785"/>
      <c r="ZJ146" s="1785"/>
      <c r="ZK146" s="1785"/>
      <c r="ZL146" s="1785"/>
      <c r="ZM146" s="1785"/>
      <c r="ZN146" s="1785"/>
      <c r="ZO146" s="1785"/>
      <c r="ZP146" s="1785"/>
      <c r="ZQ146" s="1785"/>
      <c r="ZR146" s="1785"/>
      <c r="ZS146" s="1785"/>
      <c r="ZT146" s="1785"/>
      <c r="ZU146" s="1785"/>
      <c r="ZV146" s="1785"/>
      <c r="ZW146" s="1785"/>
      <c r="ZX146" s="1785"/>
      <c r="ZY146" s="1785"/>
      <c r="ZZ146" s="1785"/>
      <c r="AAA146" s="1785"/>
      <c r="AAB146" s="1785"/>
      <c r="AAC146" s="1785"/>
      <c r="AAD146" s="1785"/>
      <c r="AAE146" s="1785"/>
      <c r="AAF146" s="1785"/>
      <c r="AAG146" s="1785"/>
      <c r="AAH146" s="1785"/>
      <c r="AAI146" s="1785"/>
      <c r="AAJ146" s="1785"/>
      <c r="AAK146" s="1785"/>
      <c r="AAL146" s="1785"/>
      <c r="AAM146" s="1785"/>
      <c r="AAN146" s="1785"/>
      <c r="AAO146" s="1785"/>
      <c r="AAP146" s="1785"/>
      <c r="AAQ146" s="1785"/>
      <c r="AAR146" s="1785"/>
      <c r="AAS146" s="1785"/>
      <c r="AAT146" s="1785"/>
      <c r="AAU146" s="1785"/>
      <c r="AAV146" s="1785"/>
      <c r="AAW146" s="1785"/>
      <c r="AAX146" s="1785"/>
      <c r="AAY146" s="1785"/>
      <c r="AAZ146" s="1785"/>
      <c r="ABA146" s="1785"/>
      <c r="ABB146" s="1785"/>
      <c r="ABC146" s="1785"/>
      <c r="ABD146" s="1785"/>
      <c r="ABE146" s="1785"/>
      <c r="ABF146" s="1785"/>
      <c r="ABG146" s="1785"/>
      <c r="ABH146" s="1785"/>
      <c r="ABI146" s="1785"/>
      <c r="ABJ146" s="1785"/>
      <c r="ABK146" s="1785"/>
      <c r="ABL146" s="1785"/>
      <c r="ABM146" s="1785"/>
      <c r="ABN146" s="1785"/>
      <c r="ABO146" s="1785"/>
      <c r="ABP146" s="1785"/>
      <c r="ABQ146" s="1785"/>
      <c r="ABR146" s="1785"/>
      <c r="ABS146" s="1785"/>
      <c r="ABT146" s="1785"/>
      <c r="ABU146" s="1785"/>
      <c r="ABV146" s="1785"/>
      <c r="ABW146" s="1785"/>
      <c r="ABX146" s="1785"/>
      <c r="ABY146" s="1785"/>
      <c r="ABZ146" s="1785"/>
      <c r="ACA146" s="1785"/>
      <c r="ACB146" s="1785"/>
      <c r="ACC146" s="1785"/>
      <c r="ACD146" s="1785"/>
      <c r="ACE146" s="1785"/>
      <c r="ACF146" s="1785"/>
      <c r="ACG146" s="1785"/>
      <c r="ACH146" s="1785"/>
      <c r="ACI146" s="1785"/>
      <c r="ACJ146" s="1785"/>
      <c r="ACK146" s="1785"/>
      <c r="ACL146" s="1785"/>
      <c r="ACM146" s="1785"/>
      <c r="ACN146" s="1785"/>
      <c r="ACO146" s="1785"/>
      <c r="ACP146" s="1785"/>
      <c r="ACQ146" s="1785"/>
      <c r="ACR146" s="1785"/>
      <c r="ACS146" s="1785"/>
      <c r="ACT146" s="1785"/>
      <c r="ACU146" s="1785"/>
      <c r="ACV146" s="1785"/>
      <c r="ACW146" s="1785"/>
      <c r="ACX146" s="1785"/>
      <c r="ACY146" s="1785"/>
      <c r="ACZ146" s="1785"/>
      <c r="ADA146" s="1785"/>
      <c r="ADB146" s="1785"/>
      <c r="ADC146" s="1785"/>
      <c r="ADD146" s="1785"/>
      <c r="ADE146" s="1785"/>
      <c r="ADF146" s="1785"/>
      <c r="ADG146" s="1785"/>
      <c r="ADH146" s="1785"/>
      <c r="ADI146" s="1785"/>
      <c r="ADJ146" s="1785"/>
      <c r="ADK146" s="1785"/>
      <c r="ADL146" s="1785"/>
      <c r="ADM146" s="1785"/>
      <c r="ADN146" s="1785"/>
      <c r="ADO146" s="1785"/>
      <c r="ADP146" s="1785"/>
      <c r="ADQ146" s="1785"/>
      <c r="ADR146" s="1785"/>
      <c r="ADS146" s="1785"/>
      <c r="ADT146" s="1785"/>
      <c r="ADU146" s="1785"/>
      <c r="ADV146" s="1785"/>
      <c r="ADW146" s="1785"/>
      <c r="ADX146" s="1785"/>
      <c r="ADY146" s="1785"/>
      <c r="ADZ146" s="1785"/>
      <c r="AEA146" s="1785"/>
      <c r="AEB146" s="1785"/>
      <c r="AEC146" s="1785"/>
      <c r="AED146" s="1785"/>
      <c r="AEE146" s="1785"/>
      <c r="AEF146" s="1785"/>
      <c r="AEG146" s="1785"/>
      <c r="AEH146" s="1785"/>
      <c r="AEI146" s="1785"/>
      <c r="AEJ146" s="1785"/>
      <c r="AEK146" s="1785"/>
      <c r="AEL146" s="1785"/>
      <c r="AEM146" s="1785"/>
      <c r="AEN146" s="1785"/>
      <c r="AEO146" s="1785"/>
      <c r="AEP146" s="1785"/>
      <c r="AEQ146" s="1785"/>
      <c r="AER146" s="1785"/>
      <c r="AES146" s="1785"/>
      <c r="AET146" s="1785"/>
      <c r="AEU146" s="1785"/>
      <c r="AEV146" s="1785"/>
      <c r="AEW146" s="1785"/>
      <c r="AEX146" s="1785"/>
      <c r="AEY146" s="1785"/>
      <c r="AEZ146" s="1785"/>
      <c r="AFA146" s="1785"/>
      <c r="AFB146" s="1785"/>
      <c r="AFC146" s="1785"/>
      <c r="AFD146" s="1785"/>
      <c r="AFE146" s="1785"/>
      <c r="AFF146" s="1785"/>
      <c r="AFG146" s="1785"/>
      <c r="AFH146" s="1785"/>
      <c r="AFI146" s="1785"/>
      <c r="AFJ146" s="1785"/>
      <c r="AFK146" s="1785"/>
      <c r="AFL146" s="1785"/>
      <c r="AFM146" s="1785"/>
      <c r="AFN146" s="1785"/>
      <c r="AFO146" s="1785"/>
      <c r="AFP146" s="1785"/>
      <c r="AFQ146" s="1785"/>
      <c r="AFR146" s="1785"/>
      <c r="AFS146" s="1785"/>
      <c r="AFT146" s="1785"/>
      <c r="AFU146" s="1785"/>
      <c r="AFV146" s="1785"/>
      <c r="AFW146" s="1785"/>
      <c r="AFX146" s="1785"/>
      <c r="AFY146" s="1785"/>
      <c r="AFZ146" s="1785"/>
      <c r="AGA146" s="1785"/>
      <c r="AGB146" s="1785"/>
      <c r="AGC146" s="1785"/>
      <c r="AGD146" s="1785"/>
      <c r="AGE146" s="1785"/>
      <c r="AGF146" s="1785"/>
      <c r="AGG146" s="1785"/>
      <c r="AGH146" s="1785"/>
      <c r="AGI146" s="1785"/>
      <c r="AGJ146" s="1785"/>
      <c r="AGK146" s="1785"/>
      <c r="AGL146" s="1785"/>
      <c r="AGM146" s="1785"/>
      <c r="AGN146" s="1785"/>
      <c r="AGO146" s="1785"/>
      <c r="AGP146" s="1785"/>
      <c r="AGQ146" s="1785"/>
      <c r="AGR146" s="1785"/>
      <c r="AGS146" s="1785"/>
      <c r="AGT146" s="1785"/>
      <c r="AGU146" s="1785"/>
      <c r="AGV146" s="1785"/>
      <c r="AGW146" s="1785"/>
      <c r="AGX146" s="1785"/>
      <c r="AGY146" s="1785"/>
      <c r="AGZ146" s="1785"/>
      <c r="AHA146" s="1785"/>
      <c r="AHB146" s="1785"/>
      <c r="AHC146" s="1785"/>
      <c r="AHD146" s="1785"/>
      <c r="AHE146" s="1785"/>
      <c r="AHF146" s="1785"/>
      <c r="AHG146" s="1785"/>
      <c r="AHH146" s="1785"/>
      <c r="AHI146" s="1785"/>
      <c r="AHJ146" s="1785"/>
      <c r="AHK146" s="1785"/>
      <c r="AHL146" s="1785"/>
      <c r="AHM146" s="1785"/>
      <c r="AHN146" s="1785"/>
      <c r="AHO146" s="1785"/>
      <c r="AHP146" s="1785"/>
      <c r="AHQ146" s="1785"/>
      <c r="AHR146" s="1785"/>
      <c r="AHS146" s="1785"/>
      <c r="AHT146" s="1785"/>
      <c r="AHU146" s="1785"/>
      <c r="AHV146" s="1785"/>
      <c r="AHW146" s="1785"/>
      <c r="AHX146" s="1785"/>
      <c r="AHY146" s="1785"/>
      <c r="AHZ146" s="1785"/>
      <c r="AIA146" s="1785"/>
      <c r="AIB146" s="1785"/>
      <c r="AIC146" s="1785"/>
      <c r="AID146" s="1785"/>
      <c r="AIE146" s="1785"/>
      <c r="AIF146" s="1785"/>
      <c r="AIG146" s="1785"/>
      <c r="AIH146" s="1785"/>
      <c r="AII146" s="1785"/>
      <c r="AIJ146" s="1785"/>
      <c r="AIK146" s="1785"/>
      <c r="AIL146" s="1785"/>
      <c r="AIM146" s="1785"/>
      <c r="AIN146" s="1785"/>
      <c r="AIO146" s="1785"/>
      <c r="AIP146" s="1785"/>
      <c r="AIQ146" s="1785"/>
      <c r="AIR146" s="1785"/>
      <c r="AIS146" s="1785"/>
      <c r="AIT146" s="1785"/>
      <c r="AIU146" s="1785"/>
      <c r="AIV146" s="1785"/>
      <c r="AIW146" s="1785"/>
      <c r="AIX146" s="1785"/>
      <c r="AIY146" s="1785"/>
      <c r="AIZ146" s="1785"/>
      <c r="AJA146" s="1785"/>
      <c r="AJB146" s="1785"/>
      <c r="AJC146" s="1785"/>
      <c r="AJD146" s="1785"/>
      <c r="AJE146" s="1785"/>
      <c r="AJF146" s="1785"/>
      <c r="AJG146" s="1785"/>
      <c r="AJH146" s="1785"/>
      <c r="AJI146" s="1785"/>
      <c r="AJJ146" s="1785"/>
      <c r="AJK146" s="1785"/>
      <c r="AJL146" s="1785"/>
      <c r="AJM146" s="1785"/>
      <c r="AJN146" s="1785"/>
      <c r="AJO146" s="1785"/>
      <c r="AJP146" s="1785"/>
      <c r="AJQ146" s="1785"/>
      <c r="AJR146" s="1785"/>
      <c r="AJS146" s="1785"/>
      <c r="AJT146" s="1785"/>
      <c r="AJU146" s="1785"/>
      <c r="AJV146" s="1785"/>
      <c r="AJW146" s="1785"/>
      <c r="AJX146" s="1785"/>
      <c r="AJY146" s="1785"/>
      <c r="AJZ146" s="1785"/>
      <c r="AKA146" s="1785"/>
      <c r="AKB146" s="1785"/>
      <c r="AKC146" s="1785"/>
      <c r="AKD146" s="1785"/>
      <c r="AKE146" s="1785"/>
      <c r="AKF146" s="1785"/>
      <c r="AKG146" s="1785"/>
      <c r="AKH146" s="1785"/>
      <c r="AKI146" s="1785"/>
      <c r="AKJ146" s="1785"/>
      <c r="AKK146" s="1785"/>
      <c r="AKL146" s="1785"/>
      <c r="AKM146" s="1785"/>
      <c r="AKN146" s="1785"/>
      <c r="AKO146" s="1785"/>
      <c r="AKP146" s="1785"/>
      <c r="AKQ146" s="1785"/>
      <c r="AKR146" s="1785"/>
      <c r="AKS146" s="1785"/>
      <c r="AKT146" s="1785"/>
      <c r="AKU146" s="1785"/>
      <c r="AKV146" s="1785"/>
      <c r="AKW146" s="1785"/>
      <c r="AKX146" s="1785"/>
      <c r="AKY146" s="1785"/>
      <c r="AKZ146" s="1785"/>
      <c r="ALA146" s="1785"/>
      <c r="ALB146" s="1785"/>
      <c r="ALC146" s="1785"/>
      <c r="ALD146" s="1785"/>
      <c r="ALE146" s="1785"/>
      <c r="ALF146" s="1785"/>
      <c r="ALG146" s="1785"/>
      <c r="ALH146" s="1785"/>
      <c r="ALI146" s="1785"/>
      <c r="ALJ146" s="1785"/>
      <c r="ALK146" s="1785"/>
      <c r="ALL146" s="1785"/>
      <c r="ALM146" s="1785"/>
      <c r="ALN146" s="1785"/>
      <c r="ALO146" s="1785"/>
      <c r="ALP146" s="1785"/>
      <c r="ALQ146" s="1785"/>
      <c r="ALR146" s="1785"/>
      <c r="ALS146" s="1785"/>
      <c r="ALT146" s="1785"/>
      <c r="ALU146" s="1785"/>
      <c r="ALV146" s="1785"/>
      <c r="ALW146" s="1785"/>
      <c r="ALX146" s="1785"/>
      <c r="ALY146" s="1785"/>
      <c r="ALZ146" s="1785"/>
      <c r="AMA146" s="1785"/>
      <c r="AMB146" s="1785"/>
      <c r="AMC146" s="1785"/>
      <c r="AMD146" s="1785"/>
      <c r="AME146" s="1785"/>
      <c r="AMF146" s="1785"/>
      <c r="AMG146" s="1785"/>
      <c r="AMH146" s="1785"/>
      <c r="AMI146" s="1785"/>
      <c r="AMJ146" s="1785"/>
      <c r="AMK146" s="1785"/>
      <c r="AML146" s="1785"/>
      <c r="AMM146" s="1785"/>
      <c r="AMN146" s="1785"/>
      <c r="AMO146" s="1785"/>
      <c r="AMP146" s="1785"/>
      <c r="AMQ146" s="1785"/>
      <c r="AMR146" s="1785"/>
      <c r="AMS146" s="1785"/>
      <c r="AMT146" s="1785"/>
      <c r="AMU146" s="1785"/>
      <c r="AMV146" s="1785"/>
      <c r="AMW146" s="1785"/>
      <c r="AMX146" s="1785"/>
      <c r="AMY146" s="1785"/>
      <c r="AMZ146" s="1785"/>
      <c r="ANA146" s="1785"/>
      <c r="ANB146" s="1785"/>
      <c r="ANC146" s="1785"/>
      <c r="AND146" s="1785"/>
      <c r="ANE146" s="1785"/>
      <c r="ANF146" s="1785"/>
      <c r="ANG146" s="1785"/>
      <c r="ANH146" s="1785"/>
      <c r="ANI146" s="1785"/>
      <c r="ANJ146" s="1785"/>
      <c r="ANK146" s="1785"/>
      <c r="ANL146" s="1785"/>
      <c r="ANM146" s="1785"/>
      <c r="ANN146" s="1785"/>
      <c r="ANO146" s="1785"/>
      <c r="ANP146" s="1785"/>
      <c r="ANQ146" s="1785"/>
      <c r="ANR146" s="1785"/>
      <c r="ANS146" s="1785"/>
      <c r="ANT146" s="1785"/>
      <c r="ANU146" s="1785"/>
      <c r="ANV146" s="1785"/>
      <c r="ANW146" s="1785"/>
      <c r="ANX146" s="1785"/>
      <c r="ANY146" s="1785"/>
      <c r="ANZ146" s="1785"/>
      <c r="AOA146" s="1785"/>
      <c r="AOB146" s="1785"/>
      <c r="AOC146" s="1785"/>
      <c r="AOD146" s="1785"/>
      <c r="AOE146" s="1785"/>
      <c r="AOF146" s="1785"/>
      <c r="AOG146" s="1785"/>
      <c r="AOH146" s="1785"/>
      <c r="AOI146" s="1785"/>
      <c r="AOJ146" s="1785"/>
      <c r="AOK146" s="1785"/>
      <c r="AOL146" s="1785"/>
      <c r="AOM146" s="1785"/>
      <c r="AON146" s="1785"/>
      <c r="AOO146" s="1785"/>
      <c r="AOP146" s="1785"/>
      <c r="AOQ146" s="1785"/>
      <c r="AOR146" s="1785"/>
      <c r="AOS146" s="1785"/>
      <c r="AOT146" s="1785"/>
      <c r="AOU146" s="1785"/>
      <c r="AOV146" s="1785"/>
      <c r="AOW146" s="1785"/>
      <c r="AOX146" s="1785"/>
      <c r="AOY146" s="1785"/>
      <c r="AOZ146" s="1785"/>
      <c r="APA146" s="1785"/>
      <c r="APB146" s="1785"/>
      <c r="APC146" s="1785"/>
      <c r="APD146" s="1785"/>
      <c r="APE146" s="1785"/>
      <c r="APF146" s="1785"/>
      <c r="APG146" s="1785"/>
      <c r="APH146" s="1785"/>
      <c r="API146" s="1785"/>
      <c r="APJ146" s="1785"/>
      <c r="APK146" s="1785"/>
      <c r="APL146" s="1785"/>
      <c r="APM146" s="1785"/>
      <c r="APN146" s="1785"/>
      <c r="APO146" s="1785"/>
      <c r="APP146" s="1785"/>
      <c r="APQ146" s="1785"/>
      <c r="APR146" s="1785"/>
      <c r="APS146" s="1785"/>
      <c r="APT146" s="1785"/>
      <c r="APU146" s="1785"/>
      <c r="APV146" s="1785"/>
      <c r="APW146" s="1785"/>
      <c r="APX146" s="1785"/>
      <c r="APY146" s="1785"/>
      <c r="APZ146" s="1785"/>
      <c r="AQA146" s="1785"/>
      <c r="AQB146" s="1785"/>
      <c r="AQC146" s="1785"/>
      <c r="AQD146" s="1785"/>
      <c r="AQE146" s="1785"/>
      <c r="AQF146" s="1785"/>
      <c r="AQG146" s="1785"/>
      <c r="AQH146" s="1785"/>
      <c r="AQI146" s="1785"/>
      <c r="AQJ146" s="1785"/>
      <c r="AQK146" s="1785"/>
      <c r="AQL146" s="1785"/>
      <c r="AQM146" s="1785"/>
      <c r="AQN146" s="1785"/>
      <c r="AQO146" s="1785"/>
      <c r="AQP146" s="1785"/>
      <c r="AQQ146" s="1785"/>
      <c r="AQR146" s="1785"/>
      <c r="AQS146" s="1785"/>
      <c r="AQT146" s="1785"/>
      <c r="AQU146" s="1785"/>
      <c r="AQV146" s="1785"/>
      <c r="AQW146" s="1785"/>
      <c r="AQX146" s="1785"/>
      <c r="AQY146" s="1785"/>
      <c r="AQZ146" s="1785"/>
      <c r="ARA146" s="1785"/>
      <c r="ARB146" s="1785"/>
      <c r="ARC146" s="1785"/>
      <c r="ARD146" s="1785"/>
      <c r="ARE146" s="1785"/>
      <c r="ARF146" s="1785"/>
      <c r="ARG146" s="1785"/>
      <c r="ARH146" s="1785"/>
      <c r="ARI146" s="1785"/>
      <c r="ARJ146" s="1785"/>
      <c r="ARK146" s="1785"/>
      <c r="ARL146" s="1785"/>
      <c r="ARM146" s="1785"/>
      <c r="ARN146" s="1785"/>
      <c r="ARO146" s="1785"/>
      <c r="ARP146" s="1785"/>
      <c r="ARQ146" s="1785"/>
      <c r="ARR146" s="1785"/>
      <c r="ARS146" s="1785"/>
      <c r="ART146" s="1785"/>
      <c r="ARU146" s="1785"/>
      <c r="ARV146" s="1785"/>
      <c r="ARW146" s="1785"/>
      <c r="ARX146" s="1785"/>
      <c r="ARY146" s="1785"/>
      <c r="ARZ146" s="1785"/>
      <c r="ASA146" s="1785"/>
      <c r="ASB146" s="1785"/>
      <c r="ASC146" s="1785"/>
      <c r="ASD146" s="1785"/>
      <c r="ASE146" s="1785"/>
      <c r="ASF146" s="1785"/>
      <c r="ASG146" s="1785"/>
      <c r="ASH146" s="1785"/>
      <c r="ASI146" s="1785"/>
      <c r="ASJ146" s="1785"/>
      <c r="ASK146" s="1785"/>
      <c r="ASL146" s="1785"/>
      <c r="ASM146" s="1785"/>
      <c r="ASN146" s="1785"/>
      <c r="ASO146" s="1785"/>
      <c r="ASP146" s="1785"/>
      <c r="ASQ146" s="1785"/>
      <c r="ASR146" s="1785"/>
      <c r="ASS146" s="1785"/>
      <c r="AST146" s="1785"/>
      <c r="ASU146" s="1785"/>
      <c r="ASV146" s="1785"/>
      <c r="ASW146" s="1785"/>
      <c r="ASX146" s="1785"/>
      <c r="ASY146" s="1785"/>
      <c r="ASZ146" s="1785"/>
      <c r="ATA146" s="1785"/>
      <c r="ATB146" s="1785"/>
      <c r="ATC146" s="1785"/>
      <c r="ATD146" s="1785"/>
      <c r="ATE146" s="1785"/>
      <c r="ATF146" s="1785"/>
      <c r="ATG146" s="1785"/>
      <c r="ATH146" s="1785"/>
      <c r="ATI146" s="1785"/>
      <c r="ATJ146" s="1785"/>
      <c r="ATK146" s="1785"/>
      <c r="ATL146" s="1785"/>
      <c r="ATM146" s="1785"/>
      <c r="ATN146" s="1785"/>
      <c r="ATO146" s="1785"/>
      <c r="ATP146" s="1785"/>
      <c r="ATQ146" s="1785"/>
      <c r="ATR146" s="1785"/>
      <c r="ATS146" s="1785"/>
      <c r="ATT146" s="1785"/>
      <c r="ATU146" s="1785"/>
      <c r="ATV146" s="1785"/>
      <c r="ATW146" s="1785"/>
      <c r="ATX146" s="1785"/>
      <c r="ATY146" s="1785"/>
      <c r="ATZ146" s="1785"/>
      <c r="AUA146" s="1785"/>
      <c r="AUB146" s="1785"/>
      <c r="AUC146" s="1785"/>
      <c r="AUD146" s="1785"/>
      <c r="AUE146" s="1785"/>
      <c r="AUF146" s="1785"/>
      <c r="AUG146" s="1785"/>
      <c r="AUH146" s="1785"/>
      <c r="AUI146" s="1785"/>
      <c r="AUJ146" s="1785"/>
      <c r="AUK146" s="1785"/>
      <c r="AUL146" s="1785"/>
      <c r="AUM146" s="1785"/>
      <c r="AUN146" s="1785"/>
      <c r="AUO146" s="1785"/>
      <c r="AUP146" s="1785"/>
      <c r="AUQ146" s="1785"/>
      <c r="AUR146" s="1785"/>
      <c r="AUS146" s="1785"/>
      <c r="AUT146" s="1785"/>
      <c r="AUU146" s="1785"/>
      <c r="AUV146" s="1785"/>
      <c r="AUW146" s="1785"/>
      <c r="AUX146" s="1785"/>
      <c r="AUY146" s="1785"/>
      <c r="AUZ146" s="1785"/>
      <c r="AVA146" s="1785"/>
      <c r="AVB146" s="1785"/>
      <c r="AVC146" s="1785"/>
      <c r="AVD146" s="1785"/>
      <c r="AVE146" s="1785"/>
      <c r="AVF146" s="1785"/>
      <c r="AVG146" s="1785"/>
      <c r="AVH146" s="1785"/>
      <c r="AVI146" s="1785"/>
      <c r="AVJ146" s="1785"/>
      <c r="AVK146" s="1785"/>
      <c r="AVL146" s="1785"/>
      <c r="AVM146" s="1785"/>
      <c r="AVN146" s="1785"/>
      <c r="AVO146" s="1785"/>
      <c r="AVP146" s="1785"/>
      <c r="AVQ146" s="1785"/>
      <c r="AVR146" s="1785"/>
      <c r="AVS146" s="1785"/>
      <c r="AVT146" s="1785"/>
      <c r="AVU146" s="1785"/>
      <c r="AVV146" s="1785"/>
      <c r="AVW146" s="1785"/>
      <c r="AVX146" s="1785"/>
      <c r="AVY146" s="1785"/>
      <c r="AVZ146" s="1785"/>
      <c r="AWA146" s="1785"/>
      <c r="AWB146" s="1785"/>
      <c r="AWC146" s="1785"/>
      <c r="AWD146" s="1785"/>
      <c r="AWE146" s="1785"/>
      <c r="AWF146" s="1785"/>
      <c r="AWG146" s="1785"/>
      <c r="AWH146" s="1785"/>
      <c r="AWI146" s="1785"/>
      <c r="AWJ146" s="1785"/>
      <c r="AWK146" s="1785"/>
      <c r="AWL146" s="1785"/>
      <c r="AWM146" s="1785"/>
      <c r="AWN146" s="1785"/>
      <c r="AWO146" s="1785"/>
      <c r="AWP146" s="1785"/>
      <c r="AWQ146" s="1785"/>
      <c r="AWR146" s="1785"/>
      <c r="AWS146" s="1785"/>
      <c r="AWT146" s="1785"/>
      <c r="AWU146" s="1785"/>
      <c r="AWV146" s="1785"/>
      <c r="AWW146" s="1785"/>
      <c r="AWX146" s="1785"/>
      <c r="AWY146" s="1785"/>
      <c r="AWZ146" s="1785"/>
      <c r="AXA146" s="1785"/>
      <c r="AXB146" s="1785"/>
      <c r="AXC146" s="1785"/>
      <c r="AXD146" s="1785"/>
      <c r="AXE146" s="1785"/>
      <c r="AXF146" s="1785"/>
      <c r="AXG146" s="1785"/>
      <c r="AXH146" s="1785"/>
      <c r="AXI146" s="1785"/>
      <c r="AXJ146" s="1785"/>
      <c r="AXK146" s="1785"/>
      <c r="AXL146" s="1785"/>
      <c r="AXM146" s="1785"/>
      <c r="AXN146" s="1785"/>
      <c r="AXO146" s="1785"/>
      <c r="AXP146" s="1785"/>
      <c r="AXQ146" s="1785"/>
      <c r="AXR146" s="1785"/>
      <c r="AXS146" s="1785"/>
      <c r="AXT146" s="1785"/>
      <c r="AXU146" s="1785"/>
      <c r="AXV146" s="1785"/>
      <c r="AXW146" s="1785"/>
      <c r="AXX146" s="1785"/>
      <c r="AXY146" s="1785"/>
      <c r="AXZ146" s="1785"/>
      <c r="AYA146" s="1785"/>
      <c r="AYB146" s="1785"/>
      <c r="AYC146" s="1785"/>
      <c r="AYD146" s="1785"/>
      <c r="AYE146" s="1785"/>
      <c r="AYF146" s="1785"/>
      <c r="AYG146" s="1785"/>
      <c r="AYH146" s="1785"/>
      <c r="AYI146" s="1785"/>
      <c r="AYJ146" s="1785"/>
      <c r="AYK146" s="1785"/>
      <c r="AYL146" s="1785"/>
      <c r="AYM146" s="1785"/>
      <c r="AYN146" s="1785"/>
      <c r="AYO146" s="1785"/>
      <c r="AYP146" s="1785"/>
      <c r="AYQ146" s="1785"/>
      <c r="AYR146" s="1785"/>
      <c r="AYS146" s="1785"/>
      <c r="AYT146" s="1785"/>
      <c r="AYU146" s="1785"/>
      <c r="AYV146" s="1785"/>
      <c r="AYW146" s="1785"/>
      <c r="AYX146" s="1785"/>
      <c r="AYY146" s="1785"/>
      <c r="AYZ146" s="1785"/>
      <c r="AZA146" s="1785"/>
      <c r="AZB146" s="1785"/>
      <c r="AZC146" s="1785"/>
      <c r="AZD146" s="1785"/>
      <c r="AZE146" s="1785"/>
      <c r="AZF146" s="1785"/>
      <c r="AZG146" s="1785"/>
      <c r="AZH146" s="1785"/>
      <c r="AZI146" s="1785"/>
      <c r="AZJ146" s="1785"/>
      <c r="AZK146" s="1785"/>
      <c r="AZL146" s="1785"/>
      <c r="AZM146" s="1785"/>
      <c r="AZN146" s="1785"/>
      <c r="AZO146" s="1785"/>
      <c r="AZP146" s="1785"/>
      <c r="AZQ146" s="1785"/>
      <c r="AZR146" s="1785"/>
      <c r="AZS146" s="1785"/>
      <c r="AZT146" s="1785"/>
      <c r="AZU146" s="1785"/>
      <c r="AZV146" s="1785"/>
      <c r="AZW146" s="1785"/>
      <c r="AZX146" s="1785"/>
      <c r="AZY146" s="1785"/>
      <c r="AZZ146" s="1785"/>
      <c r="BAA146" s="1785"/>
      <c r="BAB146" s="1785"/>
      <c r="BAC146" s="1785"/>
      <c r="BAD146" s="1785"/>
      <c r="BAE146" s="1785"/>
      <c r="BAF146" s="1785"/>
      <c r="BAG146" s="1785"/>
      <c r="BAH146" s="1785"/>
      <c r="BAI146" s="1785"/>
      <c r="BAJ146" s="1785"/>
      <c r="BAK146" s="1785"/>
      <c r="BAL146" s="1785"/>
      <c r="BAM146" s="1785"/>
      <c r="BAN146" s="1785"/>
      <c r="BAO146" s="1785"/>
      <c r="BAP146" s="1785"/>
      <c r="BAQ146" s="1785"/>
      <c r="BAR146" s="1785"/>
      <c r="BAS146" s="1785"/>
      <c r="BAT146" s="1785"/>
      <c r="BAU146" s="1785"/>
      <c r="BAV146" s="1785"/>
      <c r="BAW146" s="1785"/>
      <c r="BAX146" s="1785"/>
      <c r="BAY146" s="1785"/>
      <c r="BAZ146" s="1785"/>
      <c r="BBA146" s="1785"/>
      <c r="BBB146" s="1785"/>
      <c r="BBC146" s="1785"/>
      <c r="BBD146" s="1785"/>
      <c r="BBE146" s="1785"/>
      <c r="BBF146" s="1785"/>
      <c r="BBG146" s="1785"/>
      <c r="BBH146" s="1785"/>
      <c r="BBI146" s="1785"/>
      <c r="BBJ146" s="1785"/>
      <c r="BBK146" s="1785"/>
      <c r="BBL146" s="1785"/>
      <c r="BBM146" s="1785"/>
      <c r="BBN146" s="1785"/>
      <c r="BBO146" s="1785"/>
      <c r="BBP146" s="1785"/>
      <c r="BBQ146" s="1785"/>
      <c r="BBR146" s="1785"/>
      <c r="BBS146" s="1785"/>
      <c r="BBT146" s="1785"/>
      <c r="BBU146" s="1785"/>
      <c r="BBV146" s="1785"/>
      <c r="BBW146" s="1785"/>
      <c r="BBX146" s="1785"/>
      <c r="BBY146" s="1785"/>
      <c r="BBZ146" s="1785"/>
      <c r="BCA146" s="1785"/>
      <c r="BCB146" s="1785"/>
      <c r="BCC146" s="1785"/>
      <c r="BCD146" s="1785"/>
      <c r="BCE146" s="1785"/>
      <c r="BCF146" s="1785"/>
      <c r="BCG146" s="1785"/>
      <c r="BCH146" s="1785"/>
      <c r="BCI146" s="1785"/>
      <c r="BCJ146" s="1785"/>
      <c r="BCK146" s="1785"/>
      <c r="BCL146" s="1785"/>
      <c r="BCM146" s="1785"/>
      <c r="BCN146" s="1785"/>
      <c r="BCO146" s="1785"/>
      <c r="BCP146" s="1785"/>
      <c r="BCQ146" s="1785"/>
      <c r="BCR146" s="1785"/>
      <c r="BCS146" s="1785"/>
      <c r="BCT146" s="1785"/>
      <c r="BCU146" s="1785"/>
      <c r="BCV146" s="1785"/>
      <c r="BCW146" s="1785"/>
      <c r="BCX146" s="1785"/>
      <c r="BCY146" s="1785"/>
      <c r="BCZ146" s="1785"/>
      <c r="BDA146" s="1785"/>
      <c r="BDB146" s="1785"/>
      <c r="BDC146" s="1785"/>
      <c r="BDD146" s="1785"/>
      <c r="BDE146" s="1785"/>
      <c r="BDF146" s="1785"/>
      <c r="BDG146" s="1785"/>
      <c r="BDH146" s="1785"/>
      <c r="BDI146" s="1785"/>
      <c r="BDJ146" s="1785"/>
      <c r="BDK146" s="1785"/>
      <c r="BDL146" s="1785"/>
      <c r="BDM146" s="1785"/>
      <c r="BDN146" s="1785"/>
      <c r="BDO146" s="1785"/>
      <c r="BDP146" s="1785"/>
      <c r="BDQ146" s="1785"/>
      <c r="BDR146" s="1785"/>
      <c r="BDS146" s="1785"/>
      <c r="BDT146" s="1785"/>
      <c r="BDU146" s="1785"/>
      <c r="BDV146" s="1785"/>
      <c r="BDW146" s="1785"/>
      <c r="BDX146" s="1785"/>
      <c r="BDY146" s="1785"/>
      <c r="BDZ146" s="1785"/>
      <c r="BEA146" s="1785"/>
      <c r="BEB146" s="1785"/>
      <c r="BEC146" s="1785"/>
      <c r="BED146" s="1785"/>
      <c r="BEE146" s="1785"/>
      <c r="BEF146" s="1785"/>
      <c r="BEG146" s="1785"/>
      <c r="BEH146" s="1785"/>
      <c r="BEI146" s="1785"/>
      <c r="BEJ146" s="1785"/>
      <c r="BEK146" s="1785"/>
      <c r="BEL146" s="1785"/>
      <c r="BEM146" s="1785"/>
      <c r="BEN146" s="1785"/>
      <c r="BEO146" s="1785"/>
      <c r="BEP146" s="1785"/>
      <c r="BEQ146" s="1785"/>
      <c r="BER146" s="1785"/>
      <c r="BES146" s="1785"/>
      <c r="BET146" s="1785"/>
      <c r="BEU146" s="1785"/>
      <c r="BEV146" s="1785"/>
      <c r="BEW146" s="1785"/>
      <c r="BEX146" s="1785"/>
      <c r="BEY146" s="1785"/>
      <c r="BEZ146" s="1785"/>
      <c r="BFA146" s="1785"/>
      <c r="BFB146" s="1785"/>
      <c r="BFC146" s="1785"/>
      <c r="BFD146" s="1785"/>
      <c r="BFE146" s="1785"/>
      <c r="BFF146" s="1785"/>
      <c r="BFG146" s="1785"/>
      <c r="BFH146" s="1785"/>
      <c r="BFI146" s="1785"/>
      <c r="BFJ146" s="1785"/>
      <c r="BFK146" s="1785"/>
      <c r="BFL146" s="1785"/>
      <c r="BFM146" s="1785"/>
      <c r="BFN146" s="1785"/>
      <c r="BFO146" s="1785"/>
      <c r="BFP146" s="1785"/>
      <c r="BFQ146" s="1785"/>
      <c r="BFR146" s="1785"/>
      <c r="BFS146" s="1785"/>
      <c r="BFT146" s="1785"/>
      <c r="BFU146" s="1785"/>
      <c r="BFV146" s="1785"/>
      <c r="BFW146" s="1785"/>
      <c r="BFX146" s="1785"/>
      <c r="BFY146" s="1785"/>
      <c r="BFZ146" s="1785"/>
      <c r="BGA146" s="1785"/>
      <c r="BGB146" s="1785"/>
      <c r="BGC146" s="1785"/>
      <c r="BGD146" s="1785"/>
      <c r="BGE146" s="1785"/>
      <c r="BGF146" s="1785"/>
      <c r="BGG146" s="1785"/>
      <c r="BGH146" s="1785"/>
      <c r="BGI146" s="1785"/>
      <c r="BGJ146" s="1785"/>
      <c r="BGK146" s="1785"/>
      <c r="BGL146" s="1785"/>
      <c r="BGM146" s="1785"/>
      <c r="BGN146" s="1785"/>
      <c r="BGO146" s="1785"/>
      <c r="BGP146" s="1785"/>
      <c r="BGQ146" s="1785"/>
      <c r="BGR146" s="1785"/>
      <c r="BGS146" s="1785"/>
      <c r="BGT146" s="1785"/>
      <c r="BGU146" s="1785"/>
      <c r="BGV146" s="1785"/>
      <c r="BGW146" s="1785"/>
      <c r="BGX146" s="1785"/>
      <c r="BGY146" s="1785"/>
      <c r="BGZ146" s="1785"/>
      <c r="BHA146" s="1785"/>
      <c r="BHB146" s="1785"/>
      <c r="BHC146" s="1785"/>
      <c r="BHD146" s="1785"/>
      <c r="BHE146" s="1785"/>
      <c r="BHF146" s="1785"/>
      <c r="BHG146" s="1785"/>
      <c r="BHH146" s="1785"/>
      <c r="BHI146" s="1785"/>
      <c r="BHJ146" s="1785"/>
      <c r="BHK146" s="1785"/>
      <c r="BHL146" s="1785"/>
      <c r="BHM146" s="1785"/>
      <c r="BHN146" s="1785"/>
      <c r="BHO146" s="1785"/>
      <c r="BHP146" s="1785"/>
      <c r="BHQ146" s="1785"/>
      <c r="BHR146" s="1785"/>
      <c r="BHS146" s="1785"/>
      <c r="BHT146" s="1785"/>
      <c r="BHU146" s="1785"/>
      <c r="BHV146" s="1785"/>
      <c r="BHW146" s="1785"/>
      <c r="BHX146" s="1785"/>
      <c r="BHY146" s="1785"/>
      <c r="BHZ146" s="1785"/>
      <c r="BIA146" s="1785"/>
      <c r="BIB146" s="1785"/>
      <c r="BIC146" s="1785"/>
      <c r="BID146" s="1785"/>
      <c r="BIE146" s="1785"/>
      <c r="BIF146" s="1785"/>
      <c r="BIG146" s="1785"/>
      <c r="BIH146" s="1785"/>
      <c r="BII146" s="1785"/>
      <c r="BIJ146" s="1785"/>
      <c r="BIK146" s="1785"/>
      <c r="BIL146" s="1785"/>
      <c r="BIM146" s="1785"/>
      <c r="BIN146" s="1785"/>
      <c r="BIO146" s="1785"/>
      <c r="BIP146" s="1785"/>
      <c r="BIQ146" s="1785"/>
      <c r="BIR146" s="1785"/>
      <c r="BIS146" s="1785"/>
      <c r="BIT146" s="1785"/>
      <c r="BIU146" s="1785"/>
      <c r="BIV146" s="1785"/>
      <c r="BIW146" s="1785"/>
      <c r="BIX146" s="1785"/>
      <c r="BIY146" s="1785"/>
      <c r="BIZ146" s="1785"/>
      <c r="BJA146" s="1785"/>
      <c r="BJB146" s="1785"/>
      <c r="BJC146" s="1785"/>
      <c r="BJD146" s="1785"/>
      <c r="BJE146" s="1785"/>
      <c r="BJF146" s="1785"/>
      <c r="BJG146" s="1785"/>
      <c r="BJH146" s="1785"/>
      <c r="BJI146" s="1785"/>
      <c r="BJJ146" s="1785"/>
      <c r="BJK146" s="1785"/>
      <c r="BJL146" s="1785"/>
      <c r="BJM146" s="1785"/>
      <c r="BJN146" s="1785"/>
      <c r="BJO146" s="1785"/>
      <c r="BJP146" s="1785"/>
      <c r="BJQ146" s="1785"/>
      <c r="BJR146" s="1785"/>
      <c r="BJS146" s="1785"/>
      <c r="BJT146" s="1785"/>
      <c r="BJU146" s="1785"/>
      <c r="BJV146" s="1785"/>
      <c r="BJW146" s="1785"/>
      <c r="BJX146" s="1785"/>
      <c r="BJY146" s="1785"/>
      <c r="BJZ146" s="1785"/>
      <c r="BKA146" s="1785"/>
      <c r="BKB146" s="1785"/>
      <c r="BKC146" s="1785"/>
      <c r="BKD146" s="1785"/>
      <c r="BKE146" s="1785"/>
      <c r="BKF146" s="1785"/>
      <c r="BKG146" s="1785"/>
      <c r="BKH146" s="1785"/>
      <c r="BKI146" s="1785"/>
      <c r="BKJ146" s="1785"/>
      <c r="BKK146" s="1785"/>
      <c r="BKL146" s="1785"/>
      <c r="BKM146" s="1785"/>
      <c r="BKN146" s="1785"/>
      <c r="BKO146" s="1785"/>
      <c r="BKP146" s="1785"/>
      <c r="BKQ146" s="1785"/>
      <c r="BKR146" s="1785"/>
      <c r="BKS146" s="1785"/>
      <c r="BKT146" s="1785"/>
      <c r="BKU146" s="1785"/>
      <c r="BKV146" s="1785"/>
      <c r="BKW146" s="1785"/>
      <c r="BKX146" s="1785"/>
      <c r="BKY146" s="1785"/>
      <c r="BKZ146" s="1785"/>
      <c r="BLA146" s="1785"/>
      <c r="BLB146" s="1785"/>
      <c r="BLC146" s="1785"/>
      <c r="BLD146" s="1785"/>
      <c r="BLE146" s="1785"/>
      <c r="BLF146" s="1785"/>
      <c r="BLG146" s="1785"/>
      <c r="BLH146" s="1785"/>
      <c r="BLI146" s="1785"/>
      <c r="BLJ146" s="1785"/>
      <c r="BLK146" s="1785"/>
      <c r="BLL146" s="1785"/>
      <c r="BLM146" s="1785"/>
      <c r="BLN146" s="1785"/>
      <c r="BLO146" s="1785"/>
      <c r="BLP146" s="1785"/>
      <c r="BLQ146" s="1785"/>
      <c r="BLR146" s="1785"/>
      <c r="BLS146" s="1785"/>
      <c r="BLT146" s="1785"/>
      <c r="BLU146" s="1785"/>
      <c r="BLV146" s="1785"/>
      <c r="BLW146" s="1785"/>
      <c r="BLX146" s="1785"/>
      <c r="BLY146" s="1785"/>
      <c r="BLZ146" s="1785"/>
      <c r="BMA146" s="1785"/>
      <c r="BMB146" s="1785"/>
      <c r="BMC146" s="1785"/>
      <c r="BMD146" s="1785"/>
      <c r="BME146" s="1785"/>
      <c r="BMF146" s="1785"/>
      <c r="BMG146" s="1785"/>
      <c r="BMH146" s="1785"/>
      <c r="BMI146" s="1785"/>
      <c r="BMJ146" s="1785"/>
      <c r="BMK146" s="1785"/>
      <c r="BML146" s="1785"/>
      <c r="BMM146" s="1785"/>
      <c r="BMN146" s="1785"/>
      <c r="BMO146" s="1785"/>
      <c r="BMP146" s="1785"/>
      <c r="BMQ146" s="1785"/>
      <c r="BMR146" s="1785"/>
      <c r="BMS146" s="1785"/>
      <c r="BMT146" s="1785"/>
      <c r="BMU146" s="1785"/>
      <c r="BMV146" s="1785"/>
      <c r="BMW146" s="1785"/>
      <c r="BMX146" s="1785"/>
      <c r="BMY146" s="1785"/>
      <c r="BMZ146" s="1785"/>
      <c r="BNA146" s="1785"/>
      <c r="BNB146" s="1785"/>
      <c r="BNC146" s="1785"/>
      <c r="BND146" s="1785"/>
      <c r="BNE146" s="1785"/>
      <c r="BNF146" s="1785"/>
      <c r="BNG146" s="1785"/>
      <c r="BNH146" s="1785"/>
      <c r="BNI146" s="1785"/>
      <c r="BNJ146" s="1785"/>
      <c r="BNK146" s="1785"/>
      <c r="BNL146" s="1785"/>
      <c r="BNM146" s="1785"/>
      <c r="BNN146" s="1785"/>
      <c r="BNO146" s="1785"/>
      <c r="BNP146" s="1785"/>
      <c r="BNQ146" s="1785"/>
      <c r="BNR146" s="1785"/>
      <c r="BNS146" s="1785"/>
      <c r="BNT146" s="1785"/>
      <c r="BNU146" s="1785"/>
      <c r="BNV146" s="1785"/>
      <c r="BNW146" s="1785"/>
      <c r="BNX146" s="1785"/>
      <c r="BNY146" s="1785"/>
      <c r="BNZ146" s="1785"/>
      <c r="BOA146" s="1785"/>
      <c r="BOB146" s="1785"/>
      <c r="BOC146" s="1785"/>
      <c r="BOD146" s="1785"/>
      <c r="BOE146" s="1785"/>
      <c r="BOF146" s="1785"/>
      <c r="BOG146" s="1785"/>
      <c r="BOH146" s="1785"/>
      <c r="BOI146" s="1785"/>
      <c r="BOJ146" s="1785"/>
      <c r="BOK146" s="1785"/>
      <c r="BOL146" s="1785"/>
      <c r="BOM146" s="1785"/>
      <c r="BON146" s="1785"/>
      <c r="BOO146" s="1785"/>
      <c r="BOP146" s="1785"/>
      <c r="BOQ146" s="1785"/>
      <c r="BOR146" s="1785"/>
      <c r="BOS146" s="1785"/>
      <c r="BOT146" s="1785"/>
      <c r="BOU146" s="1785"/>
      <c r="BOV146" s="1785"/>
      <c r="BOW146" s="1785"/>
      <c r="BOX146" s="1785"/>
      <c r="BOY146" s="1785"/>
      <c r="BOZ146" s="1785"/>
      <c r="BPA146" s="1785"/>
      <c r="BPB146" s="1785"/>
      <c r="BPC146" s="1785"/>
      <c r="BPD146" s="1785"/>
      <c r="BPE146" s="1785"/>
      <c r="BPF146" s="1785"/>
      <c r="BPG146" s="1785"/>
      <c r="BPH146" s="1785"/>
      <c r="BPI146" s="1785"/>
      <c r="BPJ146" s="1785"/>
      <c r="BPK146" s="1785"/>
      <c r="BPL146" s="1785"/>
      <c r="BPM146" s="1785"/>
      <c r="BPN146" s="1785"/>
      <c r="BPO146" s="1785"/>
      <c r="BPP146" s="1785"/>
      <c r="BPQ146" s="1785"/>
      <c r="BPR146" s="1785"/>
      <c r="BPS146" s="1785"/>
      <c r="BPT146" s="1785"/>
      <c r="BPU146" s="1785"/>
      <c r="BPV146" s="1785"/>
      <c r="BPW146" s="1785"/>
      <c r="BPX146" s="1785"/>
      <c r="BPY146" s="1785"/>
      <c r="BPZ146" s="1785"/>
      <c r="BQA146" s="1785"/>
      <c r="BQB146" s="1785"/>
      <c r="BQC146" s="1785"/>
      <c r="BQD146" s="1785"/>
      <c r="BQE146" s="1785"/>
      <c r="BQF146" s="1785"/>
      <c r="BQG146" s="1785"/>
      <c r="BQH146" s="1785"/>
      <c r="BQI146" s="1785"/>
      <c r="BQJ146" s="1785"/>
      <c r="BQK146" s="1785"/>
      <c r="BQL146" s="1785"/>
      <c r="BQM146" s="1785"/>
      <c r="BQN146" s="1785"/>
      <c r="BQO146" s="1785"/>
      <c r="BQP146" s="1785"/>
      <c r="BQQ146" s="1785"/>
      <c r="BQR146" s="1785"/>
      <c r="BQS146" s="1785"/>
      <c r="BQT146" s="1785"/>
      <c r="BQU146" s="1785"/>
      <c r="BQV146" s="1785"/>
      <c r="BQW146" s="1785"/>
      <c r="BQX146" s="1785"/>
      <c r="BQY146" s="1785"/>
      <c r="BQZ146" s="1785"/>
      <c r="BRA146" s="1785"/>
      <c r="BRB146" s="1785"/>
      <c r="BRC146" s="1785"/>
      <c r="BRD146" s="1785"/>
      <c r="BRE146" s="1785"/>
      <c r="BRF146" s="1785"/>
      <c r="BRG146" s="1785"/>
      <c r="BRH146" s="1785"/>
      <c r="BRI146" s="1785"/>
      <c r="BRJ146" s="1785"/>
      <c r="BRK146" s="1785"/>
      <c r="BRL146" s="1785"/>
      <c r="BRM146" s="1785"/>
      <c r="BRN146" s="1785"/>
      <c r="BRO146" s="1785"/>
      <c r="BRP146" s="1785"/>
      <c r="BRQ146" s="1785"/>
      <c r="BRR146" s="1785"/>
      <c r="BRS146" s="1785"/>
      <c r="BRT146" s="1785"/>
      <c r="BRU146" s="1785"/>
      <c r="BRV146" s="1785"/>
      <c r="BRW146" s="1785"/>
      <c r="BRX146" s="1785"/>
      <c r="BRY146" s="1785"/>
      <c r="BRZ146" s="1785"/>
      <c r="BSA146" s="1785"/>
      <c r="BSB146" s="1785"/>
      <c r="BSC146" s="1785"/>
      <c r="BSD146" s="1785"/>
      <c r="BSE146" s="1785"/>
      <c r="BSF146" s="1785"/>
      <c r="BSG146" s="1785"/>
      <c r="BSH146" s="1785"/>
      <c r="BSI146" s="1785"/>
      <c r="BSJ146" s="1785"/>
      <c r="BSK146" s="1785"/>
      <c r="BSL146" s="1785"/>
      <c r="BSM146" s="1785"/>
      <c r="BSN146" s="1785"/>
      <c r="BSO146" s="1785"/>
      <c r="BSP146" s="1785"/>
      <c r="BSQ146" s="1785"/>
      <c r="BSR146" s="1785"/>
      <c r="BSS146" s="1785"/>
      <c r="BST146" s="1785"/>
      <c r="BSU146" s="1785"/>
      <c r="BSV146" s="1785"/>
      <c r="BSW146" s="1785"/>
      <c r="BSX146" s="1785"/>
      <c r="BSY146" s="1785"/>
      <c r="BSZ146" s="1785"/>
      <c r="BTA146" s="1785"/>
      <c r="BTB146" s="1785"/>
      <c r="BTC146" s="1785"/>
      <c r="BTD146" s="1785"/>
      <c r="BTE146" s="1785"/>
      <c r="BTF146" s="1785"/>
      <c r="BTG146" s="1785"/>
      <c r="BTH146" s="1785"/>
      <c r="BTI146" s="1785"/>
      <c r="BTJ146" s="1785"/>
      <c r="BTK146" s="1785"/>
      <c r="BTL146" s="1785"/>
      <c r="BTM146" s="1785"/>
      <c r="BTN146" s="1785"/>
      <c r="BTO146" s="1785"/>
      <c r="BTP146" s="1785"/>
      <c r="BTQ146" s="1785"/>
      <c r="BTR146" s="1785"/>
      <c r="BTS146" s="1785"/>
      <c r="BTT146" s="1785"/>
      <c r="BTU146" s="1785"/>
      <c r="BTV146" s="1785"/>
      <c r="BTW146" s="1785"/>
      <c r="BTX146" s="1785"/>
      <c r="BTY146" s="1785"/>
      <c r="BTZ146" s="1785"/>
      <c r="BUA146" s="1785"/>
      <c r="BUB146" s="1785"/>
      <c r="BUC146" s="1785"/>
      <c r="BUD146" s="1785"/>
      <c r="BUE146" s="1785"/>
      <c r="BUF146" s="1785"/>
      <c r="BUG146" s="1785"/>
      <c r="BUH146" s="1785"/>
      <c r="BUI146" s="1785"/>
      <c r="BUJ146" s="1785"/>
      <c r="BUK146" s="1785"/>
      <c r="BUL146" s="1785"/>
      <c r="BUM146" s="1785"/>
      <c r="BUN146" s="1785"/>
      <c r="BUO146" s="1785"/>
      <c r="BUP146" s="1785"/>
      <c r="BUQ146" s="1785"/>
      <c r="BUR146" s="1785"/>
      <c r="BUS146" s="1785"/>
      <c r="BUT146" s="1785"/>
      <c r="BUU146" s="1785"/>
      <c r="BUV146" s="1785"/>
      <c r="BUW146" s="1785"/>
      <c r="BUX146" s="1785"/>
      <c r="BUY146" s="1785"/>
      <c r="BUZ146" s="1785"/>
      <c r="BVA146" s="1785"/>
      <c r="BVB146" s="1785"/>
      <c r="BVC146" s="1785"/>
      <c r="BVD146" s="1785"/>
      <c r="BVE146" s="1785"/>
      <c r="BVF146" s="1785"/>
      <c r="BVG146" s="1785"/>
      <c r="BVH146" s="1785"/>
      <c r="BVI146" s="1785"/>
      <c r="BVJ146" s="1785"/>
      <c r="BVK146" s="1785"/>
      <c r="BVL146" s="1785"/>
      <c r="BVM146" s="1785"/>
      <c r="BVN146" s="1785"/>
      <c r="BVO146" s="1785"/>
      <c r="BVP146" s="1785"/>
      <c r="BVQ146" s="1785"/>
      <c r="BVR146" s="1785"/>
      <c r="BVS146" s="1785"/>
      <c r="BVT146" s="1785"/>
      <c r="BVU146" s="1785"/>
      <c r="BVV146" s="1785"/>
      <c r="BVW146" s="1785"/>
      <c r="BVX146" s="1785"/>
      <c r="BVY146" s="1785"/>
      <c r="BVZ146" s="1785"/>
      <c r="BWA146" s="1785"/>
      <c r="BWB146" s="1785"/>
      <c r="BWC146" s="1785"/>
      <c r="BWD146" s="1785"/>
      <c r="BWE146" s="1785"/>
      <c r="BWF146" s="1785"/>
      <c r="BWG146" s="1785"/>
      <c r="BWH146" s="1785"/>
      <c r="BWI146" s="1785"/>
      <c r="BWJ146" s="1785"/>
      <c r="BWK146" s="1785"/>
      <c r="BWL146" s="1785"/>
      <c r="BWM146" s="1785"/>
      <c r="BWN146" s="1785"/>
      <c r="BWO146" s="1785"/>
      <c r="BWP146" s="1785"/>
      <c r="BWQ146" s="1785"/>
      <c r="BWR146" s="1785"/>
      <c r="BWS146" s="1785"/>
      <c r="BWT146" s="1785"/>
      <c r="BWU146" s="1785"/>
      <c r="BWV146" s="1785"/>
      <c r="BWW146" s="1785"/>
      <c r="BWX146" s="1785"/>
      <c r="BWY146" s="1785"/>
      <c r="BWZ146" s="1785"/>
      <c r="BXA146" s="1785"/>
      <c r="BXB146" s="1785"/>
      <c r="BXC146" s="1785"/>
      <c r="BXD146" s="1785"/>
      <c r="BXE146" s="1785"/>
      <c r="BXF146" s="1785"/>
      <c r="BXG146" s="1785"/>
      <c r="BXH146" s="1785"/>
      <c r="BXI146" s="1785"/>
      <c r="BXJ146" s="1785"/>
      <c r="BXK146" s="1785"/>
      <c r="BXL146" s="1785"/>
      <c r="BXM146" s="1785"/>
      <c r="BXN146" s="1785"/>
      <c r="BXO146" s="1785"/>
      <c r="BXP146" s="1785"/>
      <c r="BXQ146" s="1785"/>
      <c r="BXR146" s="1785"/>
      <c r="BXS146" s="1785"/>
      <c r="BXT146" s="1785"/>
      <c r="BXU146" s="1785"/>
      <c r="BXV146" s="1785"/>
      <c r="BXW146" s="1785"/>
      <c r="BXX146" s="1785"/>
      <c r="BXY146" s="1785"/>
      <c r="BXZ146" s="1785"/>
      <c r="BYA146" s="1785"/>
      <c r="BYB146" s="1785"/>
      <c r="BYC146" s="1785"/>
      <c r="BYD146" s="1785"/>
      <c r="BYE146" s="1785"/>
      <c r="BYF146" s="1785"/>
      <c r="BYG146" s="1785"/>
      <c r="BYH146" s="1785"/>
      <c r="BYI146" s="1785"/>
      <c r="BYJ146" s="1785"/>
      <c r="BYK146" s="1785"/>
      <c r="BYL146" s="1785"/>
      <c r="BYM146" s="1785"/>
      <c r="BYN146" s="1785"/>
      <c r="BYO146" s="1785"/>
      <c r="BYP146" s="1785"/>
      <c r="BYQ146" s="1785"/>
      <c r="BYR146" s="1785"/>
      <c r="BYS146" s="1785"/>
      <c r="BYT146" s="1785"/>
      <c r="BYU146" s="1785"/>
      <c r="BYV146" s="1785"/>
      <c r="BYW146" s="1785"/>
      <c r="BYX146" s="1785"/>
      <c r="BYY146" s="1785"/>
      <c r="BYZ146" s="1785"/>
      <c r="BZA146" s="1785"/>
      <c r="BZB146" s="1785"/>
      <c r="BZC146" s="1785"/>
      <c r="BZD146" s="1785"/>
      <c r="BZE146" s="1785"/>
      <c r="BZF146" s="1785"/>
      <c r="BZG146" s="1785"/>
      <c r="BZH146" s="1785"/>
      <c r="BZI146" s="1785"/>
      <c r="BZJ146" s="1785"/>
      <c r="BZK146" s="1785"/>
      <c r="BZL146" s="1785"/>
      <c r="BZM146" s="1785"/>
      <c r="BZN146" s="1785"/>
      <c r="BZO146" s="1785"/>
      <c r="BZP146" s="1785"/>
      <c r="BZQ146" s="1785"/>
      <c r="BZR146" s="1785"/>
      <c r="BZS146" s="1785"/>
      <c r="BZT146" s="1785"/>
      <c r="BZU146" s="1785"/>
      <c r="BZV146" s="1785"/>
      <c r="BZW146" s="1785"/>
      <c r="BZX146" s="1785"/>
      <c r="BZY146" s="1785"/>
      <c r="BZZ146" s="1785"/>
      <c r="CAA146" s="1785"/>
      <c r="CAB146" s="1785"/>
      <c r="CAC146" s="1785"/>
      <c r="CAD146" s="1785"/>
      <c r="CAE146" s="1785"/>
      <c r="CAF146" s="1785"/>
      <c r="CAG146" s="1785"/>
      <c r="CAH146" s="1785"/>
      <c r="CAI146" s="1785"/>
      <c r="CAJ146" s="1785"/>
      <c r="CAK146" s="1785"/>
      <c r="CAL146" s="1785"/>
      <c r="CAM146" s="1785"/>
      <c r="CAN146" s="1785"/>
      <c r="CAO146" s="1785"/>
      <c r="CAP146" s="1785"/>
      <c r="CAQ146" s="1785"/>
      <c r="CAR146" s="1785"/>
      <c r="CAS146" s="1785"/>
      <c r="CAT146" s="1785"/>
      <c r="CAU146" s="1785"/>
      <c r="CAV146" s="1785"/>
      <c r="CAW146" s="1785"/>
      <c r="CAX146" s="1785"/>
      <c r="CAY146" s="1785"/>
      <c r="CAZ146" s="1785"/>
      <c r="CBA146" s="1785"/>
      <c r="CBB146" s="1785"/>
      <c r="CBC146" s="1785"/>
      <c r="CBD146" s="1785"/>
      <c r="CBE146" s="1785"/>
      <c r="CBF146" s="1785"/>
      <c r="CBG146" s="1785"/>
      <c r="CBH146" s="1785"/>
      <c r="CBI146" s="1785"/>
      <c r="CBJ146" s="1785"/>
      <c r="CBK146" s="1785"/>
      <c r="CBL146" s="1785"/>
      <c r="CBM146" s="1785"/>
      <c r="CBN146" s="1785"/>
      <c r="CBO146" s="1785"/>
      <c r="CBP146" s="1785"/>
      <c r="CBQ146" s="1785"/>
      <c r="CBR146" s="1785"/>
      <c r="CBS146" s="1785"/>
      <c r="CBT146" s="1785"/>
      <c r="CBU146" s="1785"/>
      <c r="CBV146" s="1785"/>
      <c r="CBW146" s="1785"/>
      <c r="CBX146" s="1785"/>
      <c r="CBY146" s="1785"/>
      <c r="CBZ146" s="1785"/>
      <c r="CCA146" s="1785"/>
      <c r="CCB146" s="1785"/>
      <c r="CCC146" s="1785"/>
      <c r="CCD146" s="1785"/>
      <c r="CCE146" s="1785"/>
      <c r="CCF146" s="1785"/>
      <c r="CCG146" s="1785"/>
      <c r="CCH146" s="1785"/>
      <c r="CCI146" s="1785"/>
      <c r="CCJ146" s="1785"/>
      <c r="CCK146" s="1785"/>
      <c r="CCL146" s="1785"/>
      <c r="CCM146" s="1785"/>
      <c r="CCN146" s="1785"/>
      <c r="CCO146" s="1785"/>
      <c r="CCP146" s="1785"/>
      <c r="CCQ146" s="1785"/>
      <c r="CCR146" s="1785"/>
      <c r="CCS146" s="1785"/>
      <c r="CCT146" s="1785"/>
      <c r="CCU146" s="1785"/>
      <c r="CCV146" s="1785"/>
      <c r="CCW146" s="1785"/>
      <c r="CCX146" s="1785"/>
      <c r="CCY146" s="1785"/>
      <c r="CCZ146" s="1785"/>
      <c r="CDA146" s="1785"/>
      <c r="CDB146" s="1785"/>
      <c r="CDC146" s="1785"/>
      <c r="CDD146" s="1785"/>
      <c r="CDE146" s="1785"/>
      <c r="CDF146" s="1785"/>
      <c r="CDG146" s="1785"/>
      <c r="CDH146" s="1785"/>
      <c r="CDI146" s="1785"/>
      <c r="CDJ146" s="1785"/>
      <c r="CDK146" s="1785"/>
      <c r="CDL146" s="1785"/>
      <c r="CDM146" s="1785"/>
      <c r="CDN146" s="1785"/>
      <c r="CDO146" s="1785"/>
      <c r="CDP146" s="1785"/>
      <c r="CDQ146" s="1785"/>
      <c r="CDR146" s="1785"/>
      <c r="CDS146" s="1785"/>
      <c r="CDT146" s="1785"/>
      <c r="CDU146" s="1785"/>
      <c r="CDV146" s="1785"/>
      <c r="CDW146" s="1785"/>
      <c r="CDX146" s="1785"/>
      <c r="CDY146" s="1785"/>
      <c r="CDZ146" s="1785"/>
      <c r="CEA146" s="1785"/>
      <c r="CEB146" s="1785"/>
      <c r="CEC146" s="1785"/>
      <c r="CED146" s="1785"/>
      <c r="CEE146" s="1785"/>
      <c r="CEF146" s="1785"/>
      <c r="CEG146" s="1785"/>
      <c r="CEH146" s="1785"/>
      <c r="CEI146" s="1785"/>
      <c r="CEJ146" s="1785"/>
      <c r="CEK146" s="1785"/>
      <c r="CEL146" s="1785"/>
      <c r="CEM146" s="1785"/>
      <c r="CEN146" s="1785"/>
      <c r="CEO146" s="1785"/>
      <c r="CEP146" s="1785"/>
      <c r="CEQ146" s="1785"/>
      <c r="CER146" s="1785"/>
      <c r="CES146" s="1785"/>
      <c r="CET146" s="1785"/>
      <c r="CEU146" s="1785"/>
      <c r="CEV146" s="1785"/>
      <c r="CEW146" s="1785"/>
      <c r="CEX146" s="1785"/>
      <c r="CEY146" s="1785"/>
      <c r="CEZ146" s="1785"/>
      <c r="CFA146" s="1785"/>
      <c r="CFB146" s="1785"/>
      <c r="CFC146" s="1785"/>
      <c r="CFD146" s="1785"/>
      <c r="CFE146" s="1785"/>
      <c r="CFF146" s="1785"/>
      <c r="CFG146" s="1785"/>
      <c r="CFH146" s="1785"/>
      <c r="CFI146" s="1785"/>
      <c r="CFJ146" s="1785"/>
      <c r="CFK146" s="1785"/>
      <c r="CFL146" s="1785"/>
      <c r="CFM146" s="1785"/>
      <c r="CFN146" s="1785"/>
      <c r="CFO146" s="1785"/>
      <c r="CFP146" s="1785"/>
      <c r="CFQ146" s="1785"/>
      <c r="CFR146" s="1785"/>
      <c r="CFS146" s="1785"/>
      <c r="CFT146" s="1785"/>
      <c r="CFU146" s="1785"/>
      <c r="CFV146" s="1785"/>
      <c r="CFW146" s="1785"/>
      <c r="CFX146" s="1785"/>
      <c r="CFY146" s="1785"/>
      <c r="CFZ146" s="1785"/>
      <c r="CGA146" s="1785"/>
      <c r="CGB146" s="1785"/>
      <c r="CGC146" s="1785"/>
      <c r="CGD146" s="1785"/>
      <c r="CGE146" s="1785"/>
      <c r="CGF146" s="1785"/>
      <c r="CGG146" s="1785"/>
      <c r="CGH146" s="1785"/>
      <c r="CGI146" s="1785"/>
      <c r="CGJ146" s="1785"/>
      <c r="CGK146" s="1785"/>
      <c r="CGL146" s="1785"/>
      <c r="CGM146" s="1785"/>
      <c r="CGN146" s="1785"/>
      <c r="CGO146" s="1785"/>
      <c r="CGP146" s="1785"/>
      <c r="CGQ146" s="1785"/>
      <c r="CGR146" s="1785"/>
      <c r="CGS146" s="1785"/>
      <c r="CGT146" s="1785"/>
      <c r="CGU146" s="1785"/>
      <c r="CGV146" s="1785"/>
      <c r="CGW146" s="1785"/>
      <c r="CGX146" s="1785"/>
      <c r="CGY146" s="1785"/>
      <c r="CGZ146" s="1785"/>
      <c r="CHA146" s="1785"/>
      <c r="CHB146" s="1785"/>
      <c r="CHC146" s="1785"/>
      <c r="CHD146" s="1785"/>
      <c r="CHE146" s="1785"/>
      <c r="CHF146" s="1785"/>
      <c r="CHG146" s="1785"/>
      <c r="CHH146" s="1785"/>
      <c r="CHI146" s="1785"/>
      <c r="CHJ146" s="1785"/>
      <c r="CHK146" s="1785"/>
      <c r="CHL146" s="1785"/>
      <c r="CHM146" s="1785"/>
      <c r="CHN146" s="1785"/>
      <c r="CHO146" s="1785"/>
      <c r="CHP146" s="1785"/>
      <c r="CHQ146" s="1785"/>
      <c r="CHR146" s="1785"/>
      <c r="CHS146" s="1785"/>
      <c r="CHT146" s="1785"/>
      <c r="CHU146" s="1785"/>
      <c r="CHV146" s="1785"/>
      <c r="CHW146" s="1785"/>
      <c r="CHX146" s="1785"/>
      <c r="CHY146" s="1785"/>
      <c r="CHZ146" s="1785"/>
      <c r="CIA146" s="1785"/>
      <c r="CIB146" s="1785"/>
      <c r="CIC146" s="1785"/>
      <c r="CID146" s="1785"/>
      <c r="CIE146" s="1785"/>
      <c r="CIF146" s="1785"/>
      <c r="CIG146" s="1785"/>
      <c r="CIH146" s="1785"/>
      <c r="CII146" s="1785"/>
      <c r="CIJ146" s="1785"/>
      <c r="CIK146" s="1785"/>
      <c r="CIL146" s="1785"/>
      <c r="CIM146" s="1785"/>
      <c r="CIN146" s="1785"/>
      <c r="CIO146" s="1785"/>
      <c r="CIP146" s="1785"/>
      <c r="CIQ146" s="1785"/>
      <c r="CIR146" s="1785"/>
      <c r="CIS146" s="1785"/>
      <c r="CIT146" s="1785"/>
      <c r="CIU146" s="1785"/>
      <c r="CIV146" s="1785"/>
      <c r="CIW146" s="1785"/>
      <c r="CIX146" s="1785"/>
      <c r="CIY146" s="1785"/>
      <c r="CIZ146" s="1785"/>
      <c r="CJA146" s="1785"/>
      <c r="CJB146" s="1785"/>
      <c r="CJC146" s="1785"/>
      <c r="CJD146" s="1785"/>
      <c r="CJE146" s="1785"/>
      <c r="CJF146" s="1785"/>
      <c r="CJG146" s="1785"/>
      <c r="CJH146" s="1785"/>
      <c r="CJI146" s="1785"/>
      <c r="CJJ146" s="1785"/>
      <c r="CJK146" s="1785"/>
      <c r="CJL146" s="1785"/>
      <c r="CJM146" s="1785"/>
      <c r="CJN146" s="1785"/>
      <c r="CJO146" s="1785"/>
      <c r="CJP146" s="1785"/>
      <c r="CJQ146" s="1785"/>
      <c r="CJR146" s="1785"/>
      <c r="CJS146" s="1785"/>
      <c r="CJT146" s="1785"/>
      <c r="CJU146" s="1785"/>
      <c r="CJV146" s="1785"/>
      <c r="CJW146" s="1785"/>
      <c r="CJX146" s="1785"/>
      <c r="CJY146" s="1785"/>
      <c r="CJZ146" s="1785"/>
      <c r="CKA146" s="1785"/>
      <c r="CKB146" s="1785"/>
      <c r="CKC146" s="1785"/>
      <c r="CKD146" s="1785"/>
      <c r="CKE146" s="1785"/>
      <c r="CKF146" s="1785"/>
      <c r="CKG146" s="1785"/>
      <c r="CKH146" s="1785"/>
      <c r="CKI146" s="1785"/>
      <c r="CKJ146" s="1785"/>
      <c r="CKK146" s="1785"/>
      <c r="CKL146" s="1785"/>
      <c r="CKM146" s="1785"/>
      <c r="CKN146" s="1785"/>
      <c r="CKO146" s="1785"/>
      <c r="CKP146" s="1785"/>
      <c r="CKQ146" s="1785"/>
      <c r="CKR146" s="1785"/>
      <c r="CKS146" s="1785"/>
      <c r="CKT146" s="1785"/>
      <c r="CKU146" s="1785"/>
      <c r="CKV146" s="1785"/>
      <c r="CKW146" s="1785"/>
      <c r="CKX146" s="1785"/>
      <c r="CKY146" s="1785"/>
      <c r="CKZ146" s="1785"/>
      <c r="CLA146" s="1785"/>
      <c r="CLB146" s="1785"/>
      <c r="CLC146" s="1785"/>
      <c r="CLD146" s="1785"/>
      <c r="CLE146" s="1785"/>
      <c r="CLF146" s="1785"/>
      <c r="CLG146" s="1785"/>
      <c r="CLH146" s="1785"/>
      <c r="CLI146" s="1785"/>
      <c r="CLJ146" s="1785"/>
      <c r="CLK146" s="1785"/>
      <c r="CLL146" s="1785"/>
      <c r="CLM146" s="1785"/>
      <c r="CLN146" s="1785"/>
      <c r="CLO146" s="1785"/>
      <c r="CLP146" s="1785"/>
      <c r="CLQ146" s="1785"/>
      <c r="CLR146" s="1785"/>
      <c r="CLS146" s="1785"/>
      <c r="CLT146" s="1785"/>
      <c r="CLU146" s="1785"/>
      <c r="CLV146" s="1785"/>
      <c r="CLW146" s="1785"/>
      <c r="CLX146" s="1785"/>
      <c r="CLY146" s="1785"/>
      <c r="CLZ146" s="1785"/>
      <c r="CMA146" s="1785"/>
      <c r="CMB146" s="1785"/>
      <c r="CMC146" s="1785"/>
      <c r="CMD146" s="1785"/>
      <c r="CME146" s="1785"/>
      <c r="CMF146" s="1785"/>
      <c r="CMG146" s="1785"/>
      <c r="CMH146" s="1785"/>
      <c r="CMI146" s="1785"/>
      <c r="CMJ146" s="1785"/>
      <c r="CMK146" s="1785"/>
      <c r="CML146" s="1785"/>
      <c r="CMM146" s="1785"/>
      <c r="CMN146" s="1785"/>
      <c r="CMO146" s="1785"/>
      <c r="CMP146" s="1785"/>
      <c r="CMQ146" s="1785"/>
      <c r="CMR146" s="1785"/>
      <c r="CMS146" s="1785"/>
      <c r="CMT146" s="1785"/>
      <c r="CMU146" s="1785"/>
      <c r="CMV146" s="1785"/>
      <c r="CMW146" s="1785"/>
      <c r="CMX146" s="1785"/>
      <c r="CMY146" s="1785"/>
      <c r="CMZ146" s="1785"/>
      <c r="CNA146" s="1785"/>
      <c r="CNB146" s="1785"/>
      <c r="CNC146" s="1785"/>
      <c r="CND146" s="1785"/>
      <c r="CNE146" s="1785"/>
      <c r="CNF146" s="1785"/>
      <c r="CNG146" s="1785"/>
      <c r="CNH146" s="1785"/>
      <c r="CNI146" s="1785"/>
      <c r="CNJ146" s="1785"/>
      <c r="CNK146" s="1785"/>
      <c r="CNL146" s="1785"/>
      <c r="CNM146" s="1785"/>
      <c r="CNN146" s="1785"/>
      <c r="CNO146" s="1785"/>
      <c r="CNP146" s="1785"/>
      <c r="CNQ146" s="1785"/>
      <c r="CNR146" s="1785"/>
      <c r="CNS146" s="1785"/>
      <c r="CNT146" s="1785"/>
      <c r="CNU146" s="1785"/>
      <c r="CNV146" s="1785"/>
      <c r="CNW146" s="1785"/>
      <c r="CNX146" s="1785"/>
      <c r="CNY146" s="1785"/>
      <c r="CNZ146" s="1785"/>
      <c r="COA146" s="1785"/>
      <c r="COB146" s="1785"/>
      <c r="COC146" s="1785"/>
      <c r="COD146" s="1785"/>
      <c r="COE146" s="1785"/>
      <c r="COF146" s="1785"/>
      <c r="COG146" s="1785"/>
      <c r="COH146" s="1785"/>
      <c r="COI146" s="1785"/>
      <c r="COJ146" s="1785"/>
      <c r="COK146" s="1785"/>
      <c r="COL146" s="1785"/>
      <c r="COM146" s="1785"/>
      <c r="CON146" s="1785"/>
      <c r="COO146" s="1785"/>
      <c r="COP146" s="1785"/>
      <c r="COQ146" s="1785"/>
      <c r="COR146" s="1785"/>
      <c r="COS146" s="1785"/>
      <c r="COT146" s="1785"/>
      <c r="COU146" s="1785"/>
      <c r="COV146" s="1785"/>
      <c r="COW146" s="1785"/>
      <c r="COX146" s="1785"/>
      <c r="COY146" s="1785"/>
      <c r="COZ146" s="1785"/>
      <c r="CPA146" s="1785"/>
      <c r="CPB146" s="1785"/>
      <c r="CPC146" s="1785"/>
      <c r="CPD146" s="1785"/>
      <c r="CPE146" s="1785"/>
      <c r="CPF146" s="1785"/>
      <c r="CPG146" s="1785"/>
      <c r="CPH146" s="1785"/>
      <c r="CPI146" s="1785"/>
      <c r="CPJ146" s="1785"/>
      <c r="CPK146" s="1785"/>
      <c r="CPL146" s="1785"/>
      <c r="CPM146" s="1785"/>
      <c r="CPN146" s="1785"/>
      <c r="CPO146" s="1785"/>
      <c r="CPP146" s="1785"/>
      <c r="CPQ146" s="1785"/>
      <c r="CPR146" s="1785"/>
      <c r="CPS146" s="1785"/>
      <c r="CPT146" s="1785"/>
      <c r="CPU146" s="1785"/>
      <c r="CPV146" s="1785"/>
      <c r="CPW146" s="1785"/>
      <c r="CPX146" s="1785"/>
      <c r="CPY146" s="1785"/>
      <c r="CPZ146" s="1785"/>
      <c r="CQA146" s="1785"/>
      <c r="CQB146" s="1785"/>
      <c r="CQC146" s="1785"/>
      <c r="CQD146" s="1785"/>
      <c r="CQE146" s="1785"/>
      <c r="CQF146" s="1785"/>
      <c r="CQG146" s="1785"/>
      <c r="CQH146" s="1785"/>
      <c r="CQI146" s="1785"/>
      <c r="CQJ146" s="1785"/>
      <c r="CQK146" s="1785"/>
      <c r="CQL146" s="1785"/>
      <c r="CQM146" s="1785"/>
      <c r="CQN146" s="1785"/>
      <c r="CQO146" s="1785"/>
      <c r="CQP146" s="1785"/>
      <c r="CQQ146" s="1785"/>
      <c r="CQR146" s="1785"/>
      <c r="CQS146" s="1785"/>
      <c r="CQT146" s="1785"/>
      <c r="CQU146" s="1785"/>
      <c r="CQV146" s="1785"/>
      <c r="CQW146" s="1785"/>
      <c r="CQX146" s="1785"/>
      <c r="CQY146" s="1785"/>
      <c r="CQZ146" s="1785"/>
      <c r="CRA146" s="1785"/>
      <c r="CRB146" s="1785"/>
      <c r="CRC146" s="1785"/>
      <c r="CRD146" s="1785"/>
      <c r="CRE146" s="1785"/>
      <c r="CRF146" s="1785"/>
      <c r="CRG146" s="1785"/>
      <c r="CRH146" s="1785"/>
      <c r="CRI146" s="1785"/>
      <c r="CRJ146" s="1785"/>
      <c r="CRK146" s="1785"/>
      <c r="CRL146" s="1785"/>
      <c r="CRM146" s="1785"/>
      <c r="CRN146" s="1785"/>
      <c r="CRO146" s="1785"/>
      <c r="CRP146" s="1785"/>
      <c r="CRQ146" s="1785"/>
      <c r="CRR146" s="1785"/>
      <c r="CRS146" s="1785"/>
      <c r="CRT146" s="1785"/>
      <c r="CRU146" s="1785"/>
      <c r="CRV146" s="1785"/>
      <c r="CRW146" s="1785"/>
      <c r="CRX146" s="1785"/>
      <c r="CRY146" s="1785"/>
      <c r="CRZ146" s="1785"/>
      <c r="CSA146" s="1785"/>
      <c r="CSB146" s="1785"/>
      <c r="CSC146" s="1785"/>
      <c r="CSD146" s="1785"/>
      <c r="CSE146" s="1785"/>
      <c r="CSF146" s="1785"/>
      <c r="CSG146" s="1785"/>
      <c r="CSH146" s="1785"/>
      <c r="CSI146" s="1785"/>
      <c r="CSJ146" s="1785"/>
      <c r="CSK146" s="1785"/>
      <c r="CSL146" s="1785"/>
      <c r="CSM146" s="1785"/>
      <c r="CSN146" s="1785"/>
      <c r="CSO146" s="1785"/>
      <c r="CSP146" s="1785"/>
      <c r="CSQ146" s="1785"/>
      <c r="CSR146" s="1785"/>
      <c r="CSS146" s="1785"/>
      <c r="CST146" s="1785"/>
      <c r="CSU146" s="1785"/>
      <c r="CSV146" s="1785"/>
      <c r="CSW146" s="1785"/>
      <c r="CSX146" s="1785"/>
      <c r="CSY146" s="1785"/>
      <c r="CSZ146" s="1785"/>
      <c r="CTA146" s="1785"/>
      <c r="CTB146" s="1785"/>
      <c r="CTC146" s="1785"/>
      <c r="CTD146" s="1785"/>
      <c r="CTE146" s="1785"/>
      <c r="CTF146" s="1785"/>
      <c r="CTG146" s="1785"/>
      <c r="CTH146" s="1785"/>
      <c r="CTI146" s="1785"/>
      <c r="CTJ146" s="1785"/>
      <c r="CTK146" s="1785"/>
      <c r="CTL146" s="1785"/>
      <c r="CTM146" s="1785"/>
      <c r="CTN146" s="1785"/>
      <c r="CTO146" s="1785"/>
      <c r="CTP146" s="1785"/>
      <c r="CTQ146" s="1785"/>
      <c r="CTR146" s="1785"/>
      <c r="CTS146" s="1785"/>
      <c r="CTT146" s="1785"/>
      <c r="CTU146" s="1785"/>
      <c r="CTV146" s="1785"/>
      <c r="CTW146" s="1785"/>
      <c r="CTX146" s="1785"/>
      <c r="CTY146" s="1785"/>
      <c r="CTZ146" s="1785"/>
      <c r="CUA146" s="1785"/>
      <c r="CUB146" s="1785"/>
      <c r="CUC146" s="1785"/>
      <c r="CUD146" s="1785"/>
      <c r="CUE146" s="1785"/>
      <c r="CUF146" s="1785"/>
      <c r="CUG146" s="1785"/>
      <c r="CUH146" s="1785"/>
      <c r="CUI146" s="1785"/>
      <c r="CUJ146" s="1785"/>
      <c r="CUK146" s="1785"/>
      <c r="CUL146" s="1785"/>
      <c r="CUM146" s="1785"/>
      <c r="CUN146" s="1785"/>
      <c r="CUO146" s="1785"/>
      <c r="CUP146" s="1785"/>
      <c r="CUQ146" s="1785"/>
      <c r="CUR146" s="1785"/>
      <c r="CUS146" s="1785"/>
      <c r="CUT146" s="1785"/>
      <c r="CUU146" s="1785"/>
      <c r="CUV146" s="1785"/>
      <c r="CUW146" s="1785"/>
      <c r="CUX146" s="1785"/>
      <c r="CUY146" s="1785"/>
      <c r="CUZ146" s="1785"/>
      <c r="CVA146" s="1785"/>
      <c r="CVB146" s="1785"/>
      <c r="CVC146" s="1785"/>
      <c r="CVD146" s="1785"/>
      <c r="CVE146" s="1785"/>
      <c r="CVF146" s="1785"/>
      <c r="CVG146" s="1785"/>
      <c r="CVH146" s="1785"/>
      <c r="CVI146" s="1785"/>
      <c r="CVJ146" s="1785"/>
      <c r="CVK146" s="1785"/>
      <c r="CVL146" s="1785"/>
      <c r="CVM146" s="1785"/>
      <c r="CVN146" s="1785"/>
      <c r="CVO146" s="1785"/>
      <c r="CVP146" s="1785"/>
      <c r="CVQ146" s="1785"/>
      <c r="CVR146" s="1785"/>
      <c r="CVS146" s="1785"/>
      <c r="CVT146" s="1785"/>
      <c r="CVU146" s="1785"/>
      <c r="CVV146" s="1785"/>
      <c r="CVW146" s="1785"/>
      <c r="CVX146" s="1785"/>
      <c r="CVY146" s="1785"/>
      <c r="CVZ146" s="1785"/>
      <c r="CWA146" s="1785"/>
      <c r="CWB146" s="1785"/>
      <c r="CWC146" s="1785"/>
      <c r="CWD146" s="1785"/>
      <c r="CWE146" s="1785"/>
      <c r="CWF146" s="1785"/>
      <c r="CWG146" s="1785"/>
      <c r="CWH146" s="1785"/>
      <c r="CWI146" s="1785"/>
      <c r="CWJ146" s="1785"/>
      <c r="CWK146" s="1785"/>
      <c r="CWL146" s="1785"/>
      <c r="CWM146" s="1785"/>
      <c r="CWN146" s="1785"/>
      <c r="CWO146" s="1785"/>
      <c r="CWP146" s="1785"/>
      <c r="CWQ146" s="1785"/>
      <c r="CWR146" s="1785"/>
      <c r="CWS146" s="1785"/>
      <c r="CWT146" s="1785"/>
      <c r="CWU146" s="1785"/>
      <c r="CWV146" s="1785"/>
      <c r="CWW146" s="1785"/>
      <c r="CWX146" s="1785"/>
      <c r="CWY146" s="1785"/>
      <c r="CWZ146" s="1785"/>
      <c r="CXA146" s="1785"/>
      <c r="CXB146" s="1785"/>
      <c r="CXC146" s="1785"/>
      <c r="CXD146" s="1785"/>
      <c r="CXE146" s="1785"/>
      <c r="CXF146" s="1785"/>
      <c r="CXG146" s="1785"/>
      <c r="CXH146" s="1785"/>
      <c r="CXI146" s="1785"/>
      <c r="CXJ146" s="1785"/>
      <c r="CXK146" s="1785"/>
      <c r="CXL146" s="1785"/>
      <c r="CXM146" s="1785"/>
      <c r="CXN146" s="1785"/>
      <c r="CXO146" s="1785"/>
      <c r="CXP146" s="1785"/>
      <c r="CXQ146" s="1785"/>
      <c r="CXR146" s="1785"/>
      <c r="CXS146" s="1785"/>
      <c r="CXT146" s="1785"/>
      <c r="CXU146" s="1785"/>
      <c r="CXV146" s="1785"/>
      <c r="CXW146" s="1785"/>
      <c r="CXX146" s="1785"/>
      <c r="CXY146" s="1785"/>
      <c r="CXZ146" s="1785"/>
      <c r="CYA146" s="1785"/>
      <c r="CYB146" s="1785"/>
      <c r="CYC146" s="1785"/>
      <c r="CYD146" s="1785"/>
      <c r="CYE146" s="1785"/>
      <c r="CYF146" s="1785"/>
      <c r="CYG146" s="1785"/>
      <c r="CYH146" s="1785"/>
      <c r="CYI146" s="1785"/>
      <c r="CYJ146" s="1785"/>
      <c r="CYK146" s="1785"/>
      <c r="CYL146" s="1785"/>
      <c r="CYM146" s="1785"/>
      <c r="CYN146" s="1785"/>
      <c r="CYO146" s="1785"/>
      <c r="CYP146" s="1785"/>
      <c r="CYQ146" s="1785"/>
      <c r="CYR146" s="1785"/>
      <c r="CYS146" s="1785"/>
      <c r="CYT146" s="1785"/>
      <c r="CYU146" s="1785"/>
      <c r="CYV146" s="1785"/>
      <c r="CYW146" s="1785"/>
      <c r="CYX146" s="1785"/>
      <c r="CYY146" s="1785"/>
      <c r="CYZ146" s="1785"/>
      <c r="CZA146" s="1785"/>
      <c r="CZB146" s="1785"/>
      <c r="CZC146" s="1785"/>
      <c r="CZD146" s="1785"/>
      <c r="CZE146" s="1785"/>
      <c r="CZF146" s="1785"/>
      <c r="CZG146" s="1785"/>
      <c r="CZH146" s="1785"/>
      <c r="CZI146" s="1785"/>
      <c r="CZJ146" s="1785"/>
      <c r="CZK146" s="1785"/>
      <c r="CZL146" s="1785"/>
      <c r="CZM146" s="1785"/>
      <c r="CZN146" s="1785"/>
      <c r="CZO146" s="1785"/>
      <c r="CZP146" s="1785"/>
      <c r="CZQ146" s="1785"/>
      <c r="CZR146" s="1785"/>
      <c r="CZS146" s="1785"/>
      <c r="CZT146" s="1785"/>
      <c r="CZU146" s="1785"/>
      <c r="CZV146" s="1785"/>
      <c r="CZW146" s="1785"/>
      <c r="CZX146" s="1785"/>
      <c r="CZY146" s="1785"/>
      <c r="CZZ146" s="1785"/>
      <c r="DAA146" s="1785"/>
      <c r="DAB146" s="1785"/>
      <c r="DAC146" s="1785"/>
      <c r="DAD146" s="1785"/>
      <c r="DAE146" s="1785"/>
      <c r="DAF146" s="1785"/>
      <c r="DAG146" s="1785"/>
      <c r="DAH146" s="1785"/>
      <c r="DAI146" s="1785"/>
      <c r="DAJ146" s="1785"/>
      <c r="DAK146" s="1785"/>
      <c r="DAL146" s="1785"/>
      <c r="DAM146" s="1785"/>
      <c r="DAN146" s="1785"/>
      <c r="DAO146" s="1785"/>
    </row>
    <row r="147" spans="1:2745" s="1887" customFormat="1" ht="56.25" customHeight="1" x14ac:dyDescent="0.2">
      <c r="A147" s="1869"/>
      <c r="B147" s="1870"/>
      <c r="C147" s="1871"/>
      <c r="D147" s="1872"/>
      <c r="E147" s="1872"/>
      <c r="F147" s="1871"/>
      <c r="G147" s="1872"/>
      <c r="H147" s="1872"/>
      <c r="I147" s="1871"/>
      <c r="J147" s="4261"/>
      <c r="K147" s="4262"/>
      <c r="L147" s="4255"/>
      <c r="M147" s="4249"/>
      <c r="N147" s="4249"/>
      <c r="O147" s="4249"/>
      <c r="P147" s="4249"/>
      <c r="Q147" s="1883">
        <f>V147/R144</f>
        <v>0.14675680095020163</v>
      </c>
      <c r="R147" s="4252"/>
      <c r="S147" s="4255"/>
      <c r="T147" s="4255"/>
      <c r="U147" s="1888" t="s">
        <v>1634</v>
      </c>
      <c r="V147" s="1893">
        <v>429978457</v>
      </c>
      <c r="W147" s="1893"/>
      <c r="X147" s="1894">
        <v>0</v>
      </c>
      <c r="Y147" s="1895">
        <v>20</v>
      </c>
      <c r="Z147" s="1875" t="s">
        <v>70</v>
      </c>
      <c r="AA147" s="2859"/>
      <c r="AB147" s="2859"/>
      <c r="AC147" s="2859"/>
      <c r="AD147" s="2859"/>
      <c r="AE147" s="2859"/>
      <c r="AF147" s="2859"/>
      <c r="AG147" s="2859"/>
      <c r="AH147" s="2859"/>
      <c r="AI147" s="2859"/>
      <c r="AJ147" s="2859"/>
      <c r="AK147" s="2859"/>
      <c r="AL147" s="2859"/>
      <c r="AM147" s="2859"/>
      <c r="AN147" s="2859"/>
      <c r="AO147" s="2859"/>
      <c r="AP147" s="2859"/>
      <c r="AQ147" s="2859"/>
      <c r="AR147" s="2859"/>
      <c r="AS147" s="2859"/>
      <c r="AT147" s="2859"/>
      <c r="AU147" s="2859"/>
      <c r="AV147" s="2859"/>
      <c r="AW147" s="2859"/>
      <c r="AX147" s="2859"/>
      <c r="AY147" s="2859"/>
      <c r="AZ147" s="2859"/>
      <c r="BA147" s="2859"/>
      <c r="BB147" s="2859"/>
      <c r="BC147" s="2859"/>
      <c r="BD147" s="2859"/>
      <c r="BE147" s="2859"/>
      <c r="BF147" s="2859"/>
      <c r="BG147" s="4237"/>
      <c r="BH147" s="2856"/>
      <c r="BI147" s="4240"/>
      <c r="BJ147" s="4243"/>
      <c r="BK147" s="4246"/>
      <c r="BL147" s="4235"/>
      <c r="BM147" s="4231"/>
      <c r="BN147" s="4231"/>
      <c r="BO147" s="4231"/>
      <c r="BP147" s="4231"/>
      <c r="BQ147" s="4235"/>
      <c r="BR147" s="1785"/>
      <c r="BS147" s="1785"/>
      <c r="BT147" s="1785"/>
      <c r="BU147" s="1785"/>
      <c r="BV147" s="1785"/>
      <c r="BW147" s="1785"/>
      <c r="BX147" s="1785"/>
      <c r="BY147" s="1785"/>
      <c r="BZ147" s="1785"/>
      <c r="CA147" s="1785"/>
      <c r="CB147" s="1785"/>
      <c r="CC147" s="1785"/>
      <c r="CD147" s="1785"/>
      <c r="CE147" s="1785"/>
      <c r="CF147" s="1785"/>
      <c r="CG147" s="1785"/>
      <c r="CH147" s="1785"/>
      <c r="CI147" s="1785"/>
      <c r="CJ147" s="1785"/>
      <c r="CK147" s="1785"/>
      <c r="CL147" s="1785"/>
      <c r="CM147" s="1785"/>
      <c r="CN147" s="1785"/>
      <c r="CO147" s="1785"/>
      <c r="CP147" s="1785"/>
      <c r="CQ147" s="1785"/>
      <c r="CR147" s="1785"/>
      <c r="CS147" s="1785"/>
      <c r="CT147" s="1785"/>
      <c r="CU147" s="1785"/>
      <c r="CV147" s="1785"/>
      <c r="CW147" s="1785"/>
      <c r="CX147" s="1785"/>
      <c r="CY147" s="1785"/>
      <c r="CZ147" s="1785"/>
      <c r="DA147" s="1785"/>
      <c r="DB147" s="1785"/>
      <c r="DC147" s="1785"/>
      <c r="DD147" s="1785"/>
      <c r="DE147" s="1785"/>
      <c r="DF147" s="1785"/>
      <c r="DG147" s="1785"/>
      <c r="DH147" s="1785"/>
      <c r="DI147" s="1785"/>
      <c r="DJ147" s="1785"/>
      <c r="DK147" s="1785"/>
      <c r="DL147" s="1785"/>
      <c r="DM147" s="1785"/>
      <c r="DN147" s="1785"/>
      <c r="DO147" s="1785"/>
      <c r="DP147" s="1785"/>
      <c r="DQ147" s="1785"/>
      <c r="DR147" s="1785"/>
      <c r="DS147" s="1785"/>
      <c r="DT147" s="1785"/>
      <c r="DU147" s="1785"/>
      <c r="FB147" s="1785"/>
      <c r="FC147" s="1785"/>
      <c r="FD147" s="1785"/>
      <c r="FE147" s="1785"/>
      <c r="FF147" s="1785"/>
      <c r="FG147" s="1785"/>
      <c r="FH147" s="1785"/>
      <c r="FI147" s="1785"/>
      <c r="FJ147" s="1785"/>
      <c r="FK147" s="1785"/>
      <c r="FL147" s="1785"/>
      <c r="FM147" s="1785"/>
      <c r="FN147" s="1785"/>
      <c r="FO147" s="1785"/>
      <c r="FP147" s="1785"/>
      <c r="FQ147" s="1785"/>
      <c r="FR147" s="1785"/>
      <c r="FS147" s="1785"/>
      <c r="FT147" s="1785"/>
      <c r="FU147" s="1785"/>
      <c r="FV147" s="1785"/>
      <c r="FW147" s="1785"/>
      <c r="FX147" s="1785"/>
      <c r="FY147" s="1785"/>
      <c r="FZ147" s="1785"/>
      <c r="GA147" s="1785"/>
      <c r="GB147" s="1785"/>
      <c r="GC147" s="1785"/>
      <c r="GD147" s="1785"/>
      <c r="GE147" s="1785"/>
      <c r="GF147" s="1785"/>
      <c r="GG147" s="1785"/>
      <c r="GH147" s="1785"/>
      <c r="GI147" s="1785"/>
      <c r="GJ147" s="1785"/>
      <c r="GK147" s="1785"/>
      <c r="GL147" s="1785"/>
      <c r="GM147" s="1785"/>
      <c r="GN147" s="1785"/>
      <c r="GO147" s="1785"/>
      <c r="GP147" s="1785"/>
      <c r="GQ147" s="1785"/>
      <c r="GR147" s="1785"/>
      <c r="GS147" s="1785"/>
      <c r="GT147" s="1785"/>
      <c r="GU147" s="1785"/>
      <c r="GV147" s="1785"/>
      <c r="GW147" s="1785"/>
      <c r="GX147" s="1785"/>
      <c r="GY147" s="1785"/>
      <c r="GZ147" s="1785"/>
      <c r="HA147" s="1785"/>
      <c r="HB147" s="1785"/>
      <c r="HC147" s="1785"/>
      <c r="HD147" s="1785"/>
      <c r="HE147" s="1785"/>
      <c r="HF147" s="1785"/>
      <c r="HG147" s="1785"/>
      <c r="HH147" s="1785"/>
      <c r="HI147" s="1785"/>
      <c r="HJ147" s="1785"/>
      <c r="HK147" s="1785"/>
      <c r="HL147" s="1785"/>
      <c r="HM147" s="1785"/>
      <c r="HN147" s="1785"/>
      <c r="HO147" s="1785"/>
      <c r="HP147" s="1785"/>
      <c r="HQ147" s="1785"/>
      <c r="HR147" s="1785"/>
      <c r="HS147" s="1785"/>
      <c r="HT147" s="1785"/>
      <c r="HU147" s="1785"/>
      <c r="HV147" s="1785"/>
      <c r="HW147" s="1785"/>
      <c r="HX147" s="1785"/>
      <c r="HY147" s="1785"/>
      <c r="HZ147" s="1785"/>
      <c r="IA147" s="1785"/>
      <c r="IB147" s="1785"/>
      <c r="IC147" s="1785"/>
      <c r="ID147" s="1785"/>
      <c r="IE147" s="1785"/>
      <c r="IF147" s="1785"/>
      <c r="IG147" s="1785"/>
      <c r="IH147" s="1785"/>
      <c r="II147" s="1785"/>
      <c r="IJ147" s="1785"/>
      <c r="IK147" s="1785"/>
      <c r="IL147" s="1785"/>
      <c r="IM147" s="1785"/>
      <c r="IN147" s="1785"/>
      <c r="IO147" s="1785"/>
      <c r="IP147" s="1785"/>
      <c r="IQ147" s="1785"/>
      <c r="IR147" s="1785"/>
      <c r="IS147" s="1785"/>
      <c r="IT147" s="1785"/>
      <c r="IU147" s="1785"/>
      <c r="IV147" s="1785"/>
      <c r="IW147" s="1785"/>
      <c r="IX147" s="1785"/>
      <c r="IY147" s="1785"/>
      <c r="IZ147" s="1785"/>
      <c r="JA147" s="1785"/>
      <c r="JB147" s="1785"/>
      <c r="JC147" s="1785"/>
      <c r="JD147" s="1785"/>
      <c r="JE147" s="1785"/>
      <c r="JF147" s="1785"/>
      <c r="JG147" s="1785"/>
      <c r="JH147" s="1785"/>
      <c r="JI147" s="1785"/>
      <c r="JJ147" s="1785"/>
      <c r="JK147" s="1785"/>
      <c r="JL147" s="1785"/>
      <c r="JM147" s="1785"/>
      <c r="JN147" s="1785"/>
      <c r="JO147" s="1785"/>
      <c r="JP147" s="1785"/>
      <c r="JQ147" s="1785"/>
      <c r="JR147" s="1785"/>
      <c r="JS147" s="1785"/>
      <c r="JT147" s="1785"/>
      <c r="JU147" s="1785"/>
      <c r="JV147" s="1785"/>
      <c r="JW147" s="1785"/>
      <c r="JX147" s="1785"/>
      <c r="JY147" s="1785"/>
      <c r="JZ147" s="1785"/>
      <c r="KA147" s="1785"/>
      <c r="KB147" s="1785"/>
      <c r="KC147" s="1785"/>
      <c r="KD147" s="1785"/>
      <c r="KE147" s="1785"/>
      <c r="KF147" s="1785"/>
      <c r="KG147" s="1785"/>
      <c r="KH147" s="1785"/>
      <c r="KI147" s="1785"/>
      <c r="KJ147" s="1785"/>
      <c r="KK147" s="1785"/>
      <c r="KL147" s="1785"/>
      <c r="KM147" s="1785"/>
      <c r="KN147" s="1785"/>
      <c r="KO147" s="1785"/>
      <c r="KP147" s="1785"/>
      <c r="KQ147" s="1785"/>
      <c r="KR147" s="1785"/>
      <c r="LM147" s="1785"/>
      <c r="LN147" s="1785"/>
      <c r="LO147" s="1785"/>
      <c r="LP147" s="1785"/>
      <c r="LQ147" s="1785"/>
      <c r="LR147" s="1785"/>
      <c r="LS147" s="1785"/>
      <c r="LT147" s="1785"/>
      <c r="LU147" s="1785"/>
      <c r="LV147" s="1785"/>
      <c r="LW147" s="1785"/>
      <c r="LX147" s="1785"/>
      <c r="LY147" s="1785"/>
      <c r="LZ147" s="1785"/>
      <c r="MA147" s="1785"/>
      <c r="MB147" s="1785"/>
      <c r="MC147" s="1785"/>
      <c r="MD147" s="1785"/>
      <c r="ME147" s="1785"/>
      <c r="MF147" s="1785"/>
      <c r="MG147" s="1785"/>
      <c r="MH147" s="1785"/>
      <c r="MI147" s="1785"/>
      <c r="MJ147" s="1785"/>
      <c r="MK147" s="1785"/>
      <c r="ML147" s="1785"/>
      <c r="MM147" s="1785"/>
      <c r="MN147" s="1785"/>
      <c r="MO147" s="1785"/>
      <c r="MP147" s="1785"/>
      <c r="MQ147" s="1785"/>
      <c r="MR147" s="1785"/>
      <c r="MS147" s="1785"/>
      <c r="MT147" s="1785"/>
      <c r="MU147" s="1785"/>
      <c r="MV147" s="1785"/>
      <c r="MW147" s="1785"/>
      <c r="MX147" s="1785"/>
      <c r="MY147" s="1785"/>
      <c r="MZ147" s="1785"/>
      <c r="NA147" s="1785"/>
      <c r="NB147" s="1785"/>
      <c r="NC147" s="1785"/>
      <c r="ND147" s="1785"/>
      <c r="NE147" s="1785"/>
      <c r="NF147" s="1785"/>
      <c r="NG147" s="1785"/>
      <c r="NH147" s="1785"/>
      <c r="NI147" s="1785"/>
      <c r="NJ147" s="1785"/>
      <c r="NK147" s="1785"/>
      <c r="NL147" s="1785"/>
      <c r="NM147" s="1785"/>
      <c r="NN147" s="1785"/>
      <c r="NO147" s="1785"/>
      <c r="NP147" s="1785"/>
      <c r="NQ147" s="1785"/>
      <c r="NR147" s="1785"/>
      <c r="NS147" s="1785"/>
      <c r="NT147" s="1785"/>
      <c r="NU147" s="1785"/>
      <c r="NV147" s="1785"/>
      <c r="NW147" s="1785"/>
      <c r="NX147" s="1785"/>
      <c r="NY147" s="1785"/>
      <c r="NZ147" s="1785"/>
      <c r="OA147" s="1785"/>
      <c r="OB147" s="1785"/>
      <c r="OC147" s="1785"/>
      <c r="OD147" s="1785"/>
      <c r="OE147" s="1785"/>
      <c r="OF147" s="1785"/>
      <c r="OG147" s="1785"/>
      <c r="OH147" s="1785"/>
      <c r="OI147" s="1785"/>
      <c r="OJ147" s="1785"/>
      <c r="OK147" s="1785"/>
      <c r="OL147" s="1785"/>
      <c r="OM147" s="1785"/>
      <c r="ON147" s="1785"/>
      <c r="OO147" s="1785"/>
      <c r="OP147" s="1785"/>
      <c r="OQ147" s="1785"/>
      <c r="OR147" s="1785"/>
      <c r="OS147" s="1785"/>
      <c r="OT147" s="1785"/>
      <c r="OU147" s="1785"/>
      <c r="OV147" s="1785"/>
      <c r="OW147" s="1785"/>
      <c r="OX147" s="1785"/>
      <c r="OY147" s="1785"/>
      <c r="OZ147" s="1785"/>
      <c r="PA147" s="1785"/>
      <c r="PB147" s="1785"/>
      <c r="PC147" s="1785"/>
      <c r="PD147" s="1785"/>
      <c r="PE147" s="1785"/>
      <c r="PF147" s="1785"/>
      <c r="PG147" s="1785"/>
      <c r="PH147" s="1785"/>
      <c r="PI147" s="1785"/>
      <c r="PJ147" s="1785"/>
      <c r="PK147" s="1785"/>
      <c r="PL147" s="1785"/>
      <c r="PM147" s="1785"/>
      <c r="PN147" s="1785"/>
      <c r="PO147" s="1785"/>
      <c r="PP147" s="1785"/>
      <c r="PQ147" s="1785"/>
      <c r="PR147" s="1785"/>
      <c r="PS147" s="1785"/>
      <c r="PT147" s="1785"/>
      <c r="PU147" s="1785"/>
      <c r="PV147" s="1785"/>
      <c r="PW147" s="1785"/>
      <c r="PX147" s="1785"/>
      <c r="PY147" s="1785"/>
      <c r="PZ147" s="1785"/>
      <c r="QA147" s="1785"/>
      <c r="QB147" s="1785"/>
      <c r="QC147" s="1785"/>
      <c r="QD147" s="1785"/>
      <c r="QE147" s="1785"/>
      <c r="QF147" s="1785"/>
      <c r="QG147" s="1785"/>
      <c r="QH147" s="1785"/>
      <c r="QI147" s="1785"/>
      <c r="QJ147" s="1785"/>
      <c r="QK147" s="1785"/>
      <c r="QL147" s="1785"/>
      <c r="QM147" s="1785"/>
      <c r="QN147" s="1785"/>
      <c r="QO147" s="1785"/>
      <c r="QP147" s="1785"/>
      <c r="QQ147" s="1785"/>
      <c r="QR147" s="1785"/>
      <c r="QS147" s="1785"/>
      <c r="QT147" s="1785"/>
      <c r="QU147" s="1785"/>
      <c r="QV147" s="1785"/>
      <c r="QW147" s="1785"/>
      <c r="QX147" s="1785"/>
      <c r="QY147" s="1785"/>
      <c r="QZ147" s="1785"/>
      <c r="RA147" s="1785"/>
      <c r="RB147" s="1785"/>
      <c r="RC147" s="1785"/>
      <c r="RD147" s="1785"/>
      <c r="RE147" s="1785"/>
      <c r="RF147" s="1785"/>
      <c r="RG147" s="1785"/>
      <c r="RH147" s="1785"/>
      <c r="RI147" s="1785"/>
      <c r="RJ147" s="1785"/>
      <c r="RK147" s="1785"/>
      <c r="RL147" s="1785"/>
      <c r="RM147" s="1785"/>
      <c r="RN147" s="1785"/>
      <c r="RO147" s="1785"/>
      <c r="RP147" s="1785"/>
      <c r="RQ147" s="1785"/>
      <c r="RR147" s="1785"/>
      <c r="RS147" s="1785"/>
      <c r="RT147" s="1785"/>
      <c r="RU147" s="1785"/>
      <c r="RV147" s="1785"/>
      <c r="RW147" s="1785"/>
      <c r="RX147" s="1785"/>
      <c r="RY147" s="1785"/>
      <c r="RZ147" s="1785"/>
      <c r="SA147" s="1785"/>
      <c r="SB147" s="1785"/>
      <c r="SC147" s="1785"/>
      <c r="SD147" s="1785"/>
      <c r="SE147" s="1785"/>
      <c r="SF147" s="1785"/>
      <c r="SG147" s="1785"/>
      <c r="SH147" s="1785"/>
      <c r="SI147" s="1785"/>
      <c r="SJ147" s="1785"/>
      <c r="SK147" s="1785"/>
      <c r="SL147" s="1785"/>
      <c r="SM147" s="1785"/>
      <c r="SN147" s="1785"/>
      <c r="SO147" s="1785"/>
      <c r="SP147" s="1785"/>
      <c r="SQ147" s="1785"/>
      <c r="SR147" s="1785"/>
      <c r="SS147" s="1785"/>
      <c r="ST147" s="1785"/>
      <c r="SU147" s="1785"/>
      <c r="SV147" s="1785"/>
      <c r="SW147" s="1785"/>
      <c r="SX147" s="1785"/>
      <c r="SY147" s="1785"/>
      <c r="SZ147" s="1785"/>
      <c r="TA147" s="1785"/>
      <c r="TB147" s="1785"/>
      <c r="TC147" s="1785"/>
      <c r="TD147" s="1785"/>
      <c r="TE147" s="1785"/>
      <c r="TF147" s="1785"/>
      <c r="TG147" s="1785"/>
      <c r="TH147" s="1785"/>
      <c r="TI147" s="1785"/>
      <c r="TJ147" s="1785"/>
      <c r="TK147" s="1785"/>
      <c r="TL147" s="1785"/>
      <c r="TM147" s="1785"/>
      <c r="TN147" s="1785"/>
      <c r="TO147" s="1785"/>
      <c r="TP147" s="1785"/>
      <c r="TQ147" s="1785"/>
      <c r="TR147" s="1785"/>
      <c r="TS147" s="1785"/>
      <c r="TT147" s="1785"/>
      <c r="TU147" s="1785"/>
      <c r="TV147" s="1785"/>
      <c r="TW147" s="1785"/>
      <c r="TX147" s="1785"/>
      <c r="TY147" s="1785"/>
      <c r="TZ147" s="1785"/>
      <c r="UA147" s="1785"/>
      <c r="UB147" s="1785"/>
      <c r="UC147" s="1785"/>
      <c r="UD147" s="1785"/>
      <c r="UE147" s="1785"/>
      <c r="UF147" s="1785"/>
      <c r="UG147" s="1785"/>
      <c r="UH147" s="1785"/>
      <c r="UI147" s="1785"/>
      <c r="UJ147" s="1785"/>
      <c r="UK147" s="1785"/>
      <c r="UL147" s="1785"/>
      <c r="UM147" s="1785"/>
      <c r="UN147" s="1785"/>
      <c r="UO147" s="1785"/>
      <c r="UP147" s="1785"/>
      <c r="UQ147" s="1785"/>
      <c r="UR147" s="1785"/>
      <c r="US147" s="1785"/>
      <c r="UT147" s="1785"/>
      <c r="UU147" s="1785"/>
      <c r="UV147" s="1785"/>
      <c r="UW147" s="1785"/>
      <c r="UX147" s="1785"/>
      <c r="UY147" s="1785"/>
      <c r="UZ147" s="1785"/>
      <c r="VA147" s="1785"/>
      <c r="VB147" s="1785"/>
      <c r="VC147" s="1785"/>
      <c r="VD147" s="1785"/>
      <c r="VE147" s="1785"/>
      <c r="VF147" s="1785"/>
      <c r="VG147" s="1785"/>
      <c r="VH147" s="1785"/>
      <c r="VI147" s="1785"/>
      <c r="VJ147" s="1785"/>
      <c r="VK147" s="1785"/>
      <c r="VL147" s="1785"/>
      <c r="VM147" s="1785"/>
      <c r="VN147" s="1785"/>
      <c r="VO147" s="1785"/>
      <c r="VP147" s="1785"/>
      <c r="VQ147" s="1785"/>
      <c r="VR147" s="1785"/>
      <c r="VS147" s="1785"/>
      <c r="VT147" s="1785"/>
      <c r="VU147" s="1785"/>
      <c r="VV147" s="1785"/>
      <c r="VW147" s="1785"/>
      <c r="VX147" s="1785"/>
      <c r="VY147" s="1785"/>
      <c r="VZ147" s="1785"/>
      <c r="WA147" s="1785"/>
      <c r="WB147" s="1785"/>
      <c r="WC147" s="1785"/>
      <c r="WD147" s="1785"/>
      <c r="WE147" s="1785"/>
      <c r="WF147" s="1785"/>
      <c r="WG147" s="1785"/>
      <c r="WH147" s="1785"/>
      <c r="WI147" s="1785"/>
      <c r="WJ147" s="1785"/>
      <c r="WK147" s="1785"/>
      <c r="WL147" s="1785"/>
      <c r="WM147" s="1785"/>
      <c r="WN147" s="1785"/>
      <c r="WO147" s="1785"/>
      <c r="WP147" s="1785"/>
      <c r="WQ147" s="1785"/>
      <c r="WR147" s="1785"/>
      <c r="WS147" s="1785"/>
      <c r="WT147" s="1785"/>
      <c r="WU147" s="1785"/>
      <c r="WV147" s="1785"/>
      <c r="WW147" s="1785"/>
      <c r="WX147" s="1785"/>
      <c r="WY147" s="1785"/>
      <c r="WZ147" s="1785"/>
      <c r="XA147" s="1785"/>
      <c r="XB147" s="1785"/>
      <c r="XC147" s="1785"/>
      <c r="XD147" s="1785"/>
      <c r="XE147" s="1785"/>
      <c r="XF147" s="1785"/>
      <c r="XG147" s="1785"/>
      <c r="XH147" s="1785"/>
      <c r="XI147" s="1785"/>
      <c r="XJ147" s="1785"/>
      <c r="XK147" s="1785"/>
      <c r="XL147" s="1785"/>
      <c r="XM147" s="1785"/>
      <c r="XN147" s="1785"/>
      <c r="XO147" s="1785"/>
      <c r="XP147" s="1785"/>
      <c r="XQ147" s="1785"/>
      <c r="XR147" s="1785"/>
      <c r="XS147" s="1785"/>
      <c r="XT147" s="1785"/>
      <c r="XU147" s="1785"/>
      <c r="XV147" s="1785"/>
      <c r="XW147" s="1785"/>
      <c r="XX147" s="1785"/>
      <c r="XY147" s="1785"/>
      <c r="XZ147" s="1785"/>
      <c r="YA147" s="1785"/>
      <c r="YB147" s="1785"/>
      <c r="YC147" s="1785"/>
      <c r="YD147" s="1785"/>
      <c r="YE147" s="1785"/>
      <c r="YF147" s="1785"/>
      <c r="YG147" s="1785"/>
      <c r="YH147" s="1785"/>
      <c r="YI147" s="1785"/>
      <c r="YJ147" s="1785"/>
      <c r="YK147" s="1785"/>
      <c r="YL147" s="1785"/>
      <c r="YM147" s="1785"/>
      <c r="YN147" s="1785"/>
      <c r="YO147" s="1785"/>
      <c r="YP147" s="1785"/>
      <c r="YQ147" s="1785"/>
      <c r="YR147" s="1785"/>
      <c r="YS147" s="1785"/>
      <c r="YT147" s="1785"/>
      <c r="YU147" s="1785"/>
      <c r="YV147" s="1785"/>
      <c r="YW147" s="1785"/>
      <c r="YX147" s="1785"/>
      <c r="YY147" s="1785"/>
      <c r="YZ147" s="1785"/>
      <c r="ZA147" s="1785"/>
      <c r="ZB147" s="1785"/>
      <c r="ZC147" s="1785"/>
      <c r="ZD147" s="1785"/>
      <c r="ZE147" s="1785"/>
      <c r="ZF147" s="1785"/>
      <c r="ZG147" s="1785"/>
      <c r="ZH147" s="1785"/>
      <c r="ZI147" s="1785"/>
      <c r="ZJ147" s="1785"/>
      <c r="ZK147" s="1785"/>
      <c r="ZL147" s="1785"/>
      <c r="ZM147" s="1785"/>
      <c r="ZN147" s="1785"/>
      <c r="ZO147" s="1785"/>
      <c r="ZP147" s="1785"/>
      <c r="ZQ147" s="1785"/>
      <c r="ZR147" s="1785"/>
      <c r="ZS147" s="1785"/>
      <c r="ZT147" s="1785"/>
      <c r="ZU147" s="1785"/>
      <c r="ZV147" s="1785"/>
      <c r="ZW147" s="1785"/>
      <c r="ZX147" s="1785"/>
      <c r="ZY147" s="1785"/>
      <c r="ZZ147" s="1785"/>
      <c r="AAA147" s="1785"/>
      <c r="AAB147" s="1785"/>
      <c r="AAC147" s="1785"/>
      <c r="AAD147" s="1785"/>
      <c r="AAE147" s="1785"/>
      <c r="AAF147" s="1785"/>
      <c r="AAG147" s="1785"/>
      <c r="AAH147" s="1785"/>
      <c r="AAI147" s="1785"/>
      <c r="AAJ147" s="1785"/>
      <c r="AAK147" s="1785"/>
      <c r="AAL147" s="1785"/>
      <c r="AAM147" s="1785"/>
      <c r="AAN147" s="1785"/>
      <c r="AAO147" s="1785"/>
      <c r="AAP147" s="1785"/>
      <c r="AAQ147" s="1785"/>
      <c r="AAR147" s="1785"/>
      <c r="AAS147" s="1785"/>
      <c r="AAT147" s="1785"/>
      <c r="AAU147" s="1785"/>
      <c r="AAV147" s="1785"/>
      <c r="AAW147" s="1785"/>
      <c r="AAX147" s="1785"/>
      <c r="AAY147" s="1785"/>
      <c r="AAZ147" s="1785"/>
      <c r="ABA147" s="1785"/>
      <c r="ABB147" s="1785"/>
      <c r="ABC147" s="1785"/>
      <c r="ABD147" s="1785"/>
      <c r="ABE147" s="1785"/>
      <c r="ABF147" s="1785"/>
      <c r="ABG147" s="1785"/>
      <c r="ABH147" s="1785"/>
      <c r="ABI147" s="1785"/>
      <c r="ABJ147" s="1785"/>
      <c r="ABK147" s="1785"/>
      <c r="ABL147" s="1785"/>
      <c r="ABM147" s="1785"/>
      <c r="ABN147" s="1785"/>
      <c r="ABO147" s="1785"/>
      <c r="ABP147" s="1785"/>
      <c r="ABQ147" s="1785"/>
      <c r="ABR147" s="1785"/>
      <c r="ABS147" s="1785"/>
      <c r="ABT147" s="1785"/>
      <c r="ABU147" s="1785"/>
      <c r="ABV147" s="1785"/>
      <c r="ABW147" s="1785"/>
      <c r="ABX147" s="1785"/>
      <c r="ABY147" s="1785"/>
      <c r="ABZ147" s="1785"/>
      <c r="ACA147" s="1785"/>
      <c r="ACB147" s="1785"/>
      <c r="ACC147" s="1785"/>
      <c r="ACD147" s="1785"/>
      <c r="ACE147" s="1785"/>
      <c r="ACF147" s="1785"/>
      <c r="ACG147" s="1785"/>
      <c r="ACH147" s="1785"/>
      <c r="ACI147" s="1785"/>
      <c r="ACJ147" s="1785"/>
      <c r="ACK147" s="1785"/>
      <c r="ACL147" s="1785"/>
      <c r="ACM147" s="1785"/>
      <c r="ACN147" s="1785"/>
      <c r="ACO147" s="1785"/>
      <c r="ACP147" s="1785"/>
      <c r="ACQ147" s="1785"/>
      <c r="ACR147" s="1785"/>
      <c r="ACS147" s="1785"/>
      <c r="ACT147" s="1785"/>
      <c r="ACU147" s="1785"/>
      <c r="ACV147" s="1785"/>
      <c r="ACW147" s="1785"/>
      <c r="ACX147" s="1785"/>
      <c r="ACY147" s="1785"/>
      <c r="ACZ147" s="1785"/>
      <c r="ADA147" s="1785"/>
      <c r="ADB147" s="1785"/>
      <c r="ADC147" s="1785"/>
      <c r="ADD147" s="1785"/>
      <c r="ADE147" s="1785"/>
      <c r="ADF147" s="1785"/>
      <c r="ADG147" s="1785"/>
      <c r="ADH147" s="1785"/>
      <c r="ADI147" s="1785"/>
      <c r="ADJ147" s="1785"/>
      <c r="ADK147" s="1785"/>
      <c r="ADL147" s="1785"/>
      <c r="ADM147" s="1785"/>
      <c r="ADN147" s="1785"/>
      <c r="ADO147" s="1785"/>
      <c r="ADP147" s="1785"/>
      <c r="ADQ147" s="1785"/>
      <c r="ADR147" s="1785"/>
      <c r="ADS147" s="1785"/>
      <c r="ADT147" s="1785"/>
      <c r="ADU147" s="1785"/>
      <c r="ADV147" s="1785"/>
      <c r="ADW147" s="1785"/>
      <c r="ADX147" s="1785"/>
      <c r="ADY147" s="1785"/>
      <c r="ADZ147" s="1785"/>
      <c r="AEA147" s="1785"/>
      <c r="AEB147" s="1785"/>
      <c r="AEC147" s="1785"/>
      <c r="AED147" s="1785"/>
      <c r="AEE147" s="1785"/>
      <c r="AEF147" s="1785"/>
      <c r="AEG147" s="1785"/>
      <c r="AEH147" s="1785"/>
      <c r="AEI147" s="1785"/>
      <c r="AEJ147" s="1785"/>
      <c r="AEK147" s="1785"/>
      <c r="AEL147" s="1785"/>
      <c r="AEM147" s="1785"/>
      <c r="AEN147" s="1785"/>
      <c r="AEO147" s="1785"/>
      <c r="AEP147" s="1785"/>
      <c r="AEQ147" s="1785"/>
      <c r="AER147" s="1785"/>
      <c r="AES147" s="1785"/>
      <c r="AET147" s="1785"/>
      <c r="AEU147" s="1785"/>
      <c r="AEV147" s="1785"/>
      <c r="AEW147" s="1785"/>
      <c r="AEX147" s="1785"/>
      <c r="AEY147" s="1785"/>
      <c r="AEZ147" s="1785"/>
      <c r="AFA147" s="1785"/>
      <c r="AFB147" s="1785"/>
      <c r="AFC147" s="1785"/>
      <c r="AFD147" s="1785"/>
      <c r="AFE147" s="1785"/>
      <c r="AFF147" s="1785"/>
      <c r="AFG147" s="1785"/>
      <c r="AFH147" s="1785"/>
      <c r="AFI147" s="1785"/>
      <c r="AFJ147" s="1785"/>
      <c r="AFK147" s="1785"/>
      <c r="AFL147" s="1785"/>
      <c r="AFM147" s="1785"/>
      <c r="AFN147" s="1785"/>
      <c r="AFO147" s="1785"/>
      <c r="AFP147" s="1785"/>
      <c r="AFQ147" s="1785"/>
      <c r="AFR147" s="1785"/>
      <c r="AFS147" s="1785"/>
      <c r="AFT147" s="1785"/>
      <c r="AFU147" s="1785"/>
      <c r="AFV147" s="1785"/>
      <c r="AFW147" s="1785"/>
      <c r="AFX147" s="1785"/>
      <c r="AFY147" s="1785"/>
      <c r="AFZ147" s="1785"/>
      <c r="AGA147" s="1785"/>
      <c r="AGB147" s="1785"/>
      <c r="AGC147" s="1785"/>
      <c r="AGD147" s="1785"/>
      <c r="AGE147" s="1785"/>
      <c r="AGF147" s="1785"/>
      <c r="AGG147" s="1785"/>
      <c r="AGH147" s="1785"/>
      <c r="AGI147" s="1785"/>
      <c r="AGJ147" s="1785"/>
      <c r="AGK147" s="1785"/>
      <c r="AGL147" s="1785"/>
      <c r="AGM147" s="1785"/>
      <c r="AGN147" s="1785"/>
      <c r="AGO147" s="1785"/>
      <c r="AGP147" s="1785"/>
      <c r="AGQ147" s="1785"/>
      <c r="AGR147" s="1785"/>
      <c r="AGS147" s="1785"/>
      <c r="AGT147" s="1785"/>
      <c r="AGU147" s="1785"/>
      <c r="AGV147" s="1785"/>
      <c r="AGW147" s="1785"/>
      <c r="AGX147" s="1785"/>
      <c r="AGY147" s="1785"/>
      <c r="AGZ147" s="1785"/>
      <c r="AHA147" s="1785"/>
      <c r="AHB147" s="1785"/>
      <c r="AHC147" s="1785"/>
      <c r="AHD147" s="1785"/>
      <c r="AHE147" s="1785"/>
      <c r="AHF147" s="1785"/>
      <c r="AHG147" s="1785"/>
      <c r="AHH147" s="1785"/>
      <c r="AHI147" s="1785"/>
      <c r="AHJ147" s="1785"/>
      <c r="AHK147" s="1785"/>
      <c r="AHL147" s="1785"/>
      <c r="AHM147" s="1785"/>
      <c r="AHN147" s="1785"/>
      <c r="AHO147" s="1785"/>
      <c r="AHP147" s="1785"/>
      <c r="AHQ147" s="1785"/>
      <c r="AHR147" s="1785"/>
      <c r="AHS147" s="1785"/>
      <c r="AHT147" s="1785"/>
      <c r="AHU147" s="1785"/>
      <c r="AHV147" s="1785"/>
      <c r="AHW147" s="1785"/>
      <c r="AHX147" s="1785"/>
      <c r="AHY147" s="1785"/>
      <c r="AHZ147" s="1785"/>
      <c r="AIA147" s="1785"/>
      <c r="AIB147" s="1785"/>
      <c r="AIC147" s="1785"/>
      <c r="AID147" s="1785"/>
      <c r="AIE147" s="1785"/>
      <c r="AIF147" s="1785"/>
      <c r="AIG147" s="1785"/>
      <c r="AIH147" s="1785"/>
      <c r="AII147" s="1785"/>
      <c r="AIJ147" s="1785"/>
      <c r="AIK147" s="1785"/>
      <c r="AIL147" s="1785"/>
      <c r="AIM147" s="1785"/>
      <c r="AIN147" s="1785"/>
      <c r="AIO147" s="1785"/>
      <c r="AIP147" s="1785"/>
      <c r="AIQ147" s="1785"/>
      <c r="AIR147" s="1785"/>
      <c r="AIS147" s="1785"/>
      <c r="AIT147" s="1785"/>
      <c r="AIU147" s="1785"/>
      <c r="AIV147" s="1785"/>
      <c r="AIW147" s="1785"/>
      <c r="AIX147" s="1785"/>
      <c r="AIY147" s="1785"/>
      <c r="AIZ147" s="1785"/>
      <c r="AJA147" s="1785"/>
      <c r="AJB147" s="1785"/>
      <c r="AJC147" s="1785"/>
      <c r="AJD147" s="1785"/>
      <c r="AJE147" s="1785"/>
      <c r="AJF147" s="1785"/>
      <c r="AJG147" s="1785"/>
      <c r="AJH147" s="1785"/>
      <c r="AJI147" s="1785"/>
      <c r="AJJ147" s="1785"/>
      <c r="AJK147" s="1785"/>
      <c r="AJL147" s="1785"/>
      <c r="AJM147" s="1785"/>
      <c r="AJN147" s="1785"/>
      <c r="AJO147" s="1785"/>
      <c r="AJP147" s="1785"/>
      <c r="AJQ147" s="1785"/>
      <c r="AJR147" s="1785"/>
      <c r="AJS147" s="1785"/>
      <c r="AJT147" s="1785"/>
      <c r="AJU147" s="1785"/>
      <c r="AJV147" s="1785"/>
      <c r="AJW147" s="1785"/>
      <c r="AJX147" s="1785"/>
      <c r="AJY147" s="1785"/>
      <c r="AJZ147" s="1785"/>
      <c r="AKA147" s="1785"/>
      <c r="AKB147" s="1785"/>
      <c r="AKC147" s="1785"/>
      <c r="AKD147" s="1785"/>
      <c r="AKE147" s="1785"/>
      <c r="AKF147" s="1785"/>
      <c r="AKG147" s="1785"/>
      <c r="AKH147" s="1785"/>
      <c r="AKI147" s="1785"/>
      <c r="AKJ147" s="1785"/>
      <c r="AKK147" s="1785"/>
      <c r="AKL147" s="1785"/>
      <c r="AKM147" s="1785"/>
      <c r="AKN147" s="1785"/>
      <c r="AKO147" s="1785"/>
      <c r="AKP147" s="1785"/>
      <c r="AKQ147" s="1785"/>
      <c r="AKR147" s="1785"/>
      <c r="AKS147" s="1785"/>
      <c r="AKT147" s="1785"/>
      <c r="AKU147" s="1785"/>
      <c r="AKV147" s="1785"/>
      <c r="AKW147" s="1785"/>
      <c r="AKX147" s="1785"/>
      <c r="AKY147" s="1785"/>
      <c r="AKZ147" s="1785"/>
      <c r="ALA147" s="1785"/>
      <c r="ALB147" s="1785"/>
      <c r="ALC147" s="1785"/>
      <c r="ALD147" s="1785"/>
      <c r="ALE147" s="1785"/>
      <c r="ALF147" s="1785"/>
      <c r="ALG147" s="1785"/>
      <c r="ALH147" s="1785"/>
      <c r="ALI147" s="1785"/>
      <c r="ALJ147" s="1785"/>
      <c r="ALK147" s="1785"/>
      <c r="ALL147" s="1785"/>
      <c r="ALM147" s="1785"/>
      <c r="ALN147" s="1785"/>
      <c r="ALO147" s="1785"/>
      <c r="ALP147" s="1785"/>
      <c r="ALQ147" s="1785"/>
      <c r="ALR147" s="1785"/>
      <c r="ALS147" s="1785"/>
      <c r="ALT147" s="1785"/>
      <c r="ALU147" s="1785"/>
      <c r="ALV147" s="1785"/>
      <c r="ALW147" s="1785"/>
      <c r="ALX147" s="1785"/>
      <c r="ALY147" s="1785"/>
      <c r="ALZ147" s="1785"/>
      <c r="AMA147" s="1785"/>
      <c r="AMB147" s="1785"/>
      <c r="AMC147" s="1785"/>
      <c r="AMD147" s="1785"/>
      <c r="AME147" s="1785"/>
      <c r="AMF147" s="1785"/>
      <c r="AMG147" s="1785"/>
      <c r="AMH147" s="1785"/>
      <c r="AMI147" s="1785"/>
      <c r="AMJ147" s="1785"/>
      <c r="AMK147" s="1785"/>
      <c r="AML147" s="1785"/>
      <c r="AMM147" s="1785"/>
      <c r="AMN147" s="1785"/>
      <c r="AMO147" s="1785"/>
      <c r="AMP147" s="1785"/>
      <c r="AMQ147" s="1785"/>
      <c r="AMR147" s="1785"/>
      <c r="AMS147" s="1785"/>
      <c r="AMT147" s="1785"/>
      <c r="AMU147" s="1785"/>
      <c r="AMV147" s="1785"/>
      <c r="AMW147" s="1785"/>
      <c r="AMX147" s="1785"/>
      <c r="AMY147" s="1785"/>
      <c r="AMZ147" s="1785"/>
      <c r="ANA147" s="1785"/>
      <c r="ANB147" s="1785"/>
      <c r="ANC147" s="1785"/>
      <c r="AND147" s="1785"/>
      <c r="ANE147" s="1785"/>
      <c r="ANF147" s="1785"/>
      <c r="ANG147" s="1785"/>
      <c r="ANH147" s="1785"/>
      <c r="ANI147" s="1785"/>
      <c r="ANJ147" s="1785"/>
      <c r="ANK147" s="1785"/>
      <c r="ANL147" s="1785"/>
      <c r="ANM147" s="1785"/>
      <c r="ANN147" s="1785"/>
      <c r="ANO147" s="1785"/>
      <c r="ANP147" s="1785"/>
      <c r="ANQ147" s="1785"/>
      <c r="ANR147" s="1785"/>
      <c r="ANS147" s="1785"/>
      <c r="ANT147" s="1785"/>
      <c r="ANU147" s="1785"/>
      <c r="ANV147" s="1785"/>
      <c r="ANW147" s="1785"/>
      <c r="ANX147" s="1785"/>
      <c r="ANY147" s="1785"/>
      <c r="ANZ147" s="1785"/>
      <c r="AOA147" s="1785"/>
      <c r="AOB147" s="1785"/>
      <c r="AOC147" s="1785"/>
      <c r="AOD147" s="1785"/>
      <c r="AOE147" s="1785"/>
      <c r="AOF147" s="1785"/>
      <c r="AOG147" s="1785"/>
      <c r="AOH147" s="1785"/>
      <c r="AOI147" s="1785"/>
      <c r="AOJ147" s="1785"/>
      <c r="AOK147" s="1785"/>
      <c r="AOL147" s="1785"/>
      <c r="AOM147" s="1785"/>
      <c r="AON147" s="1785"/>
      <c r="AOO147" s="1785"/>
      <c r="AOP147" s="1785"/>
      <c r="AOQ147" s="1785"/>
      <c r="AOR147" s="1785"/>
      <c r="AOS147" s="1785"/>
      <c r="AOT147" s="1785"/>
      <c r="AOU147" s="1785"/>
      <c r="AOV147" s="1785"/>
      <c r="AOW147" s="1785"/>
      <c r="AOX147" s="1785"/>
      <c r="AOY147" s="1785"/>
      <c r="AOZ147" s="1785"/>
      <c r="APA147" s="1785"/>
      <c r="APB147" s="1785"/>
      <c r="APC147" s="1785"/>
      <c r="APD147" s="1785"/>
      <c r="APE147" s="1785"/>
      <c r="APF147" s="1785"/>
      <c r="APG147" s="1785"/>
      <c r="APH147" s="1785"/>
      <c r="API147" s="1785"/>
      <c r="APJ147" s="1785"/>
      <c r="APK147" s="1785"/>
      <c r="APL147" s="1785"/>
      <c r="APM147" s="1785"/>
      <c r="APN147" s="1785"/>
      <c r="APO147" s="1785"/>
      <c r="APP147" s="1785"/>
      <c r="APQ147" s="1785"/>
      <c r="APR147" s="1785"/>
      <c r="APS147" s="1785"/>
      <c r="APT147" s="1785"/>
      <c r="APU147" s="1785"/>
      <c r="APV147" s="1785"/>
      <c r="APW147" s="1785"/>
      <c r="APX147" s="1785"/>
      <c r="APY147" s="1785"/>
      <c r="APZ147" s="1785"/>
      <c r="AQA147" s="1785"/>
      <c r="AQB147" s="1785"/>
      <c r="AQC147" s="1785"/>
      <c r="AQD147" s="1785"/>
      <c r="AQE147" s="1785"/>
      <c r="AQF147" s="1785"/>
      <c r="AQG147" s="1785"/>
      <c r="AQH147" s="1785"/>
      <c r="AQI147" s="1785"/>
      <c r="AQJ147" s="1785"/>
      <c r="AQK147" s="1785"/>
      <c r="AQL147" s="1785"/>
      <c r="AQM147" s="1785"/>
      <c r="AQN147" s="1785"/>
      <c r="AQO147" s="1785"/>
      <c r="AQP147" s="1785"/>
      <c r="AQQ147" s="1785"/>
      <c r="AQR147" s="1785"/>
      <c r="AQS147" s="1785"/>
      <c r="AQT147" s="1785"/>
      <c r="AQU147" s="1785"/>
      <c r="AQV147" s="1785"/>
      <c r="AQW147" s="1785"/>
      <c r="AQX147" s="1785"/>
      <c r="AQY147" s="1785"/>
      <c r="AQZ147" s="1785"/>
      <c r="ARA147" s="1785"/>
      <c r="ARB147" s="1785"/>
      <c r="ARC147" s="1785"/>
      <c r="ARD147" s="1785"/>
      <c r="ARE147" s="1785"/>
      <c r="ARF147" s="1785"/>
      <c r="ARG147" s="1785"/>
      <c r="ARH147" s="1785"/>
      <c r="ARI147" s="1785"/>
      <c r="ARJ147" s="1785"/>
      <c r="ARK147" s="1785"/>
      <c r="ARL147" s="1785"/>
      <c r="ARM147" s="1785"/>
      <c r="ARN147" s="1785"/>
      <c r="ARO147" s="1785"/>
      <c r="ARP147" s="1785"/>
      <c r="ARQ147" s="1785"/>
      <c r="ARR147" s="1785"/>
      <c r="ARS147" s="1785"/>
      <c r="ART147" s="1785"/>
      <c r="ARU147" s="1785"/>
      <c r="ARV147" s="1785"/>
      <c r="ARW147" s="1785"/>
      <c r="ARX147" s="1785"/>
      <c r="ARY147" s="1785"/>
      <c r="ARZ147" s="1785"/>
      <c r="ASA147" s="1785"/>
      <c r="ASB147" s="1785"/>
      <c r="ASC147" s="1785"/>
      <c r="ASD147" s="1785"/>
      <c r="ASE147" s="1785"/>
      <c r="ASF147" s="1785"/>
      <c r="ASG147" s="1785"/>
      <c r="ASH147" s="1785"/>
      <c r="ASI147" s="1785"/>
      <c r="ASJ147" s="1785"/>
      <c r="ASK147" s="1785"/>
      <c r="ASL147" s="1785"/>
      <c r="ASM147" s="1785"/>
      <c r="ASN147" s="1785"/>
      <c r="ASO147" s="1785"/>
      <c r="ASP147" s="1785"/>
      <c r="ASQ147" s="1785"/>
      <c r="ASR147" s="1785"/>
      <c r="ASS147" s="1785"/>
      <c r="AST147" s="1785"/>
      <c r="ASU147" s="1785"/>
      <c r="ASV147" s="1785"/>
      <c r="ASW147" s="1785"/>
      <c r="ASX147" s="1785"/>
      <c r="ASY147" s="1785"/>
      <c r="ASZ147" s="1785"/>
      <c r="ATA147" s="1785"/>
      <c r="ATB147" s="1785"/>
      <c r="ATC147" s="1785"/>
      <c r="ATD147" s="1785"/>
      <c r="ATE147" s="1785"/>
      <c r="ATF147" s="1785"/>
      <c r="ATG147" s="1785"/>
      <c r="ATH147" s="1785"/>
      <c r="ATI147" s="1785"/>
      <c r="ATJ147" s="1785"/>
      <c r="ATK147" s="1785"/>
      <c r="ATL147" s="1785"/>
      <c r="ATM147" s="1785"/>
      <c r="ATN147" s="1785"/>
      <c r="ATO147" s="1785"/>
      <c r="ATP147" s="1785"/>
      <c r="ATQ147" s="1785"/>
      <c r="ATR147" s="1785"/>
      <c r="ATS147" s="1785"/>
      <c r="ATT147" s="1785"/>
      <c r="ATU147" s="1785"/>
      <c r="ATV147" s="1785"/>
      <c r="ATW147" s="1785"/>
      <c r="ATX147" s="1785"/>
      <c r="ATY147" s="1785"/>
      <c r="ATZ147" s="1785"/>
      <c r="AUA147" s="1785"/>
      <c r="AUB147" s="1785"/>
      <c r="AUC147" s="1785"/>
      <c r="AUD147" s="1785"/>
      <c r="AUE147" s="1785"/>
      <c r="AUF147" s="1785"/>
      <c r="AUG147" s="1785"/>
      <c r="AUH147" s="1785"/>
      <c r="AUI147" s="1785"/>
      <c r="AUJ147" s="1785"/>
      <c r="AUK147" s="1785"/>
      <c r="AUL147" s="1785"/>
      <c r="AUM147" s="1785"/>
      <c r="AUN147" s="1785"/>
      <c r="AUO147" s="1785"/>
      <c r="AUP147" s="1785"/>
      <c r="AUQ147" s="1785"/>
      <c r="AUR147" s="1785"/>
      <c r="AUS147" s="1785"/>
      <c r="AUT147" s="1785"/>
      <c r="AUU147" s="1785"/>
      <c r="AUV147" s="1785"/>
      <c r="AUW147" s="1785"/>
      <c r="AUX147" s="1785"/>
      <c r="AUY147" s="1785"/>
      <c r="AUZ147" s="1785"/>
      <c r="AVA147" s="1785"/>
      <c r="AVB147" s="1785"/>
      <c r="AVC147" s="1785"/>
      <c r="AVD147" s="1785"/>
      <c r="AVE147" s="1785"/>
      <c r="AVF147" s="1785"/>
      <c r="AVG147" s="1785"/>
      <c r="AVH147" s="1785"/>
      <c r="AVI147" s="1785"/>
      <c r="AVJ147" s="1785"/>
      <c r="AVK147" s="1785"/>
      <c r="AVL147" s="1785"/>
      <c r="AVM147" s="1785"/>
      <c r="AVN147" s="1785"/>
      <c r="AVO147" s="1785"/>
      <c r="AVP147" s="1785"/>
      <c r="AVQ147" s="1785"/>
      <c r="AVR147" s="1785"/>
      <c r="AVS147" s="1785"/>
      <c r="AVT147" s="1785"/>
      <c r="AVU147" s="1785"/>
      <c r="AVV147" s="1785"/>
      <c r="AVW147" s="1785"/>
      <c r="AVX147" s="1785"/>
      <c r="AVY147" s="1785"/>
      <c r="AVZ147" s="1785"/>
      <c r="AWA147" s="1785"/>
      <c r="AWB147" s="1785"/>
      <c r="AWC147" s="1785"/>
      <c r="AWD147" s="1785"/>
      <c r="AWE147" s="1785"/>
      <c r="AWF147" s="1785"/>
      <c r="AWG147" s="1785"/>
      <c r="AWH147" s="1785"/>
      <c r="AWI147" s="1785"/>
      <c r="AWJ147" s="1785"/>
      <c r="AWK147" s="1785"/>
      <c r="AWL147" s="1785"/>
      <c r="AWM147" s="1785"/>
      <c r="AWN147" s="1785"/>
      <c r="AWO147" s="1785"/>
      <c r="AWP147" s="1785"/>
      <c r="AWQ147" s="1785"/>
      <c r="AWR147" s="1785"/>
      <c r="AWS147" s="1785"/>
      <c r="AWT147" s="1785"/>
      <c r="AWU147" s="1785"/>
      <c r="AWV147" s="1785"/>
      <c r="AWW147" s="1785"/>
      <c r="AWX147" s="1785"/>
      <c r="AWY147" s="1785"/>
      <c r="AWZ147" s="1785"/>
      <c r="AXA147" s="1785"/>
      <c r="AXB147" s="1785"/>
      <c r="AXC147" s="1785"/>
      <c r="AXD147" s="1785"/>
      <c r="AXE147" s="1785"/>
      <c r="AXF147" s="1785"/>
      <c r="AXG147" s="1785"/>
      <c r="AXH147" s="1785"/>
      <c r="AXI147" s="1785"/>
      <c r="AXJ147" s="1785"/>
      <c r="AXK147" s="1785"/>
      <c r="AXL147" s="1785"/>
      <c r="AXM147" s="1785"/>
      <c r="AXN147" s="1785"/>
      <c r="AXO147" s="1785"/>
      <c r="AXP147" s="1785"/>
      <c r="AXQ147" s="1785"/>
      <c r="AXR147" s="1785"/>
      <c r="AXS147" s="1785"/>
      <c r="AXT147" s="1785"/>
      <c r="AXU147" s="1785"/>
      <c r="AXV147" s="1785"/>
      <c r="AXW147" s="1785"/>
      <c r="AXX147" s="1785"/>
      <c r="AXY147" s="1785"/>
      <c r="AXZ147" s="1785"/>
      <c r="AYA147" s="1785"/>
      <c r="AYB147" s="1785"/>
      <c r="AYC147" s="1785"/>
      <c r="AYD147" s="1785"/>
      <c r="AYE147" s="1785"/>
      <c r="AYF147" s="1785"/>
      <c r="AYG147" s="1785"/>
      <c r="AYH147" s="1785"/>
      <c r="AYI147" s="1785"/>
      <c r="AYJ147" s="1785"/>
      <c r="AYK147" s="1785"/>
      <c r="AYL147" s="1785"/>
      <c r="AYM147" s="1785"/>
      <c r="AYN147" s="1785"/>
      <c r="AYO147" s="1785"/>
      <c r="AYP147" s="1785"/>
      <c r="AYQ147" s="1785"/>
      <c r="AYR147" s="1785"/>
      <c r="AYS147" s="1785"/>
      <c r="AYT147" s="1785"/>
      <c r="AYU147" s="1785"/>
      <c r="AYV147" s="1785"/>
      <c r="AYW147" s="1785"/>
      <c r="AYX147" s="1785"/>
      <c r="AYY147" s="1785"/>
      <c r="AYZ147" s="1785"/>
      <c r="AZA147" s="1785"/>
      <c r="AZB147" s="1785"/>
      <c r="AZC147" s="1785"/>
      <c r="AZD147" s="1785"/>
      <c r="AZE147" s="1785"/>
      <c r="AZF147" s="1785"/>
      <c r="AZG147" s="1785"/>
      <c r="AZH147" s="1785"/>
      <c r="AZI147" s="1785"/>
      <c r="AZJ147" s="1785"/>
      <c r="AZK147" s="1785"/>
      <c r="AZL147" s="1785"/>
      <c r="AZM147" s="1785"/>
      <c r="AZN147" s="1785"/>
      <c r="AZO147" s="1785"/>
      <c r="AZP147" s="1785"/>
      <c r="AZQ147" s="1785"/>
      <c r="AZR147" s="1785"/>
      <c r="AZS147" s="1785"/>
      <c r="AZT147" s="1785"/>
      <c r="AZU147" s="1785"/>
      <c r="AZV147" s="1785"/>
      <c r="AZW147" s="1785"/>
      <c r="AZX147" s="1785"/>
      <c r="AZY147" s="1785"/>
      <c r="AZZ147" s="1785"/>
      <c r="BAA147" s="1785"/>
      <c r="BAB147" s="1785"/>
      <c r="BAC147" s="1785"/>
      <c r="BAD147" s="1785"/>
      <c r="BAE147" s="1785"/>
      <c r="BAF147" s="1785"/>
      <c r="BAG147" s="1785"/>
      <c r="BAH147" s="1785"/>
      <c r="BAI147" s="1785"/>
      <c r="BAJ147" s="1785"/>
      <c r="BAK147" s="1785"/>
      <c r="BAL147" s="1785"/>
      <c r="BAM147" s="1785"/>
      <c r="BAN147" s="1785"/>
      <c r="BAO147" s="1785"/>
      <c r="BAP147" s="1785"/>
      <c r="BAQ147" s="1785"/>
      <c r="BAR147" s="1785"/>
      <c r="BAS147" s="1785"/>
      <c r="BAT147" s="1785"/>
      <c r="BAU147" s="1785"/>
      <c r="BAV147" s="1785"/>
      <c r="BAW147" s="1785"/>
      <c r="BAX147" s="1785"/>
      <c r="BAY147" s="1785"/>
      <c r="BAZ147" s="1785"/>
      <c r="BBA147" s="1785"/>
      <c r="BBB147" s="1785"/>
      <c r="BBC147" s="1785"/>
      <c r="BBD147" s="1785"/>
      <c r="BBE147" s="1785"/>
      <c r="BBF147" s="1785"/>
      <c r="BBG147" s="1785"/>
      <c r="BBH147" s="1785"/>
      <c r="BBI147" s="1785"/>
      <c r="BBJ147" s="1785"/>
      <c r="BBK147" s="1785"/>
      <c r="BBL147" s="1785"/>
      <c r="BBM147" s="1785"/>
      <c r="BBN147" s="1785"/>
      <c r="BBO147" s="1785"/>
      <c r="BBP147" s="1785"/>
      <c r="BBQ147" s="1785"/>
      <c r="BBR147" s="1785"/>
      <c r="BBS147" s="1785"/>
      <c r="BBT147" s="1785"/>
      <c r="BBU147" s="1785"/>
      <c r="BBV147" s="1785"/>
      <c r="BBW147" s="1785"/>
      <c r="BBX147" s="1785"/>
      <c r="BBY147" s="1785"/>
      <c r="BBZ147" s="1785"/>
      <c r="BCA147" s="1785"/>
      <c r="BCB147" s="1785"/>
      <c r="BCC147" s="1785"/>
      <c r="BCD147" s="1785"/>
      <c r="BCE147" s="1785"/>
      <c r="BCF147" s="1785"/>
      <c r="BCG147" s="1785"/>
      <c r="BCH147" s="1785"/>
      <c r="BCI147" s="1785"/>
      <c r="BCJ147" s="1785"/>
      <c r="BCK147" s="1785"/>
      <c r="BCL147" s="1785"/>
      <c r="BCM147" s="1785"/>
      <c r="BCN147" s="1785"/>
      <c r="BCO147" s="1785"/>
      <c r="BCP147" s="1785"/>
      <c r="BCQ147" s="1785"/>
      <c r="BCR147" s="1785"/>
      <c r="BCS147" s="1785"/>
      <c r="BCT147" s="1785"/>
      <c r="BCU147" s="1785"/>
      <c r="BCV147" s="1785"/>
      <c r="BCW147" s="1785"/>
      <c r="BCX147" s="1785"/>
      <c r="BCY147" s="1785"/>
      <c r="BCZ147" s="1785"/>
      <c r="BDA147" s="1785"/>
      <c r="BDB147" s="1785"/>
      <c r="BDC147" s="1785"/>
      <c r="BDD147" s="1785"/>
      <c r="BDE147" s="1785"/>
      <c r="BDF147" s="1785"/>
      <c r="BDG147" s="1785"/>
      <c r="BDH147" s="1785"/>
      <c r="BDI147" s="1785"/>
      <c r="BDJ147" s="1785"/>
      <c r="BDK147" s="1785"/>
      <c r="BDL147" s="1785"/>
      <c r="BDM147" s="1785"/>
      <c r="BDN147" s="1785"/>
      <c r="BDO147" s="1785"/>
      <c r="BDP147" s="1785"/>
      <c r="BDQ147" s="1785"/>
      <c r="BDR147" s="1785"/>
      <c r="BDS147" s="1785"/>
      <c r="BDT147" s="1785"/>
      <c r="BDU147" s="1785"/>
      <c r="BDV147" s="1785"/>
      <c r="BDW147" s="1785"/>
      <c r="BDX147" s="1785"/>
      <c r="BDY147" s="1785"/>
      <c r="BDZ147" s="1785"/>
      <c r="BEA147" s="1785"/>
      <c r="BEB147" s="1785"/>
      <c r="BEC147" s="1785"/>
      <c r="BED147" s="1785"/>
      <c r="BEE147" s="1785"/>
      <c r="BEF147" s="1785"/>
      <c r="BEG147" s="1785"/>
      <c r="BEH147" s="1785"/>
      <c r="BEI147" s="1785"/>
      <c r="BEJ147" s="1785"/>
      <c r="BEK147" s="1785"/>
      <c r="BEL147" s="1785"/>
      <c r="BEM147" s="1785"/>
      <c r="BEN147" s="1785"/>
      <c r="BEO147" s="1785"/>
      <c r="BEP147" s="1785"/>
      <c r="BEQ147" s="1785"/>
      <c r="BER147" s="1785"/>
      <c r="BES147" s="1785"/>
      <c r="BET147" s="1785"/>
      <c r="BEU147" s="1785"/>
      <c r="BEV147" s="1785"/>
      <c r="BEW147" s="1785"/>
      <c r="BEX147" s="1785"/>
      <c r="BEY147" s="1785"/>
      <c r="BEZ147" s="1785"/>
      <c r="BFA147" s="1785"/>
      <c r="BFB147" s="1785"/>
      <c r="BFC147" s="1785"/>
      <c r="BFD147" s="1785"/>
      <c r="BFE147" s="1785"/>
      <c r="BFF147" s="1785"/>
      <c r="BFG147" s="1785"/>
      <c r="BFH147" s="1785"/>
      <c r="BFI147" s="1785"/>
      <c r="BFJ147" s="1785"/>
      <c r="BFK147" s="1785"/>
      <c r="BFL147" s="1785"/>
      <c r="BFM147" s="1785"/>
      <c r="BFN147" s="1785"/>
      <c r="BFO147" s="1785"/>
      <c r="BFP147" s="1785"/>
      <c r="BFQ147" s="1785"/>
      <c r="BFR147" s="1785"/>
      <c r="BFS147" s="1785"/>
      <c r="BFT147" s="1785"/>
      <c r="BFU147" s="1785"/>
      <c r="BFV147" s="1785"/>
      <c r="BFW147" s="1785"/>
      <c r="BFX147" s="1785"/>
      <c r="BFY147" s="1785"/>
      <c r="BFZ147" s="1785"/>
      <c r="BGA147" s="1785"/>
      <c r="BGB147" s="1785"/>
      <c r="BGC147" s="1785"/>
      <c r="BGD147" s="1785"/>
      <c r="BGE147" s="1785"/>
      <c r="BGF147" s="1785"/>
      <c r="BGG147" s="1785"/>
      <c r="BGH147" s="1785"/>
      <c r="BGI147" s="1785"/>
      <c r="BGJ147" s="1785"/>
      <c r="BGK147" s="1785"/>
      <c r="BGL147" s="1785"/>
      <c r="BGM147" s="1785"/>
      <c r="BGN147" s="1785"/>
      <c r="BGO147" s="1785"/>
      <c r="BGP147" s="1785"/>
      <c r="BGQ147" s="1785"/>
      <c r="BGR147" s="1785"/>
      <c r="BGS147" s="1785"/>
      <c r="BGT147" s="1785"/>
      <c r="BGU147" s="1785"/>
      <c r="BGV147" s="1785"/>
      <c r="BGW147" s="1785"/>
      <c r="BGX147" s="1785"/>
      <c r="BGY147" s="1785"/>
      <c r="BGZ147" s="1785"/>
      <c r="BHA147" s="1785"/>
      <c r="BHB147" s="1785"/>
      <c r="BHC147" s="1785"/>
      <c r="BHD147" s="1785"/>
      <c r="BHE147" s="1785"/>
      <c r="BHF147" s="1785"/>
      <c r="BHG147" s="1785"/>
      <c r="BHH147" s="1785"/>
      <c r="BHI147" s="1785"/>
      <c r="BHJ147" s="1785"/>
      <c r="BHK147" s="1785"/>
      <c r="BHL147" s="1785"/>
      <c r="BHM147" s="1785"/>
      <c r="BHN147" s="1785"/>
      <c r="BHO147" s="1785"/>
      <c r="BHP147" s="1785"/>
      <c r="BHQ147" s="1785"/>
      <c r="BHR147" s="1785"/>
      <c r="BHS147" s="1785"/>
      <c r="BHT147" s="1785"/>
      <c r="BHU147" s="1785"/>
      <c r="BHV147" s="1785"/>
      <c r="BHW147" s="1785"/>
      <c r="BHX147" s="1785"/>
      <c r="BHY147" s="1785"/>
      <c r="BHZ147" s="1785"/>
      <c r="BIA147" s="1785"/>
      <c r="BIB147" s="1785"/>
      <c r="BIC147" s="1785"/>
      <c r="BID147" s="1785"/>
      <c r="BIE147" s="1785"/>
      <c r="BIF147" s="1785"/>
      <c r="BIG147" s="1785"/>
      <c r="BIH147" s="1785"/>
      <c r="BII147" s="1785"/>
      <c r="BIJ147" s="1785"/>
      <c r="BIK147" s="1785"/>
      <c r="BIL147" s="1785"/>
      <c r="BIM147" s="1785"/>
      <c r="BIN147" s="1785"/>
      <c r="BIO147" s="1785"/>
      <c r="BIP147" s="1785"/>
      <c r="BIQ147" s="1785"/>
      <c r="BIR147" s="1785"/>
      <c r="BIS147" s="1785"/>
      <c r="BIT147" s="1785"/>
      <c r="BIU147" s="1785"/>
      <c r="BIV147" s="1785"/>
      <c r="BIW147" s="1785"/>
      <c r="BIX147" s="1785"/>
      <c r="BIY147" s="1785"/>
      <c r="BIZ147" s="1785"/>
      <c r="BJA147" s="1785"/>
      <c r="BJB147" s="1785"/>
      <c r="BJC147" s="1785"/>
      <c r="BJD147" s="1785"/>
      <c r="BJE147" s="1785"/>
      <c r="BJF147" s="1785"/>
      <c r="BJG147" s="1785"/>
      <c r="BJH147" s="1785"/>
      <c r="BJI147" s="1785"/>
      <c r="BJJ147" s="1785"/>
      <c r="BJK147" s="1785"/>
      <c r="BJL147" s="1785"/>
      <c r="BJM147" s="1785"/>
      <c r="BJN147" s="1785"/>
      <c r="BJO147" s="1785"/>
      <c r="BJP147" s="1785"/>
      <c r="BJQ147" s="1785"/>
      <c r="BJR147" s="1785"/>
      <c r="BJS147" s="1785"/>
      <c r="BJT147" s="1785"/>
      <c r="BJU147" s="1785"/>
      <c r="BJV147" s="1785"/>
      <c r="BJW147" s="1785"/>
      <c r="BJX147" s="1785"/>
      <c r="BJY147" s="1785"/>
      <c r="BJZ147" s="1785"/>
      <c r="BKA147" s="1785"/>
      <c r="BKB147" s="1785"/>
      <c r="BKC147" s="1785"/>
      <c r="BKD147" s="1785"/>
      <c r="BKE147" s="1785"/>
      <c r="BKF147" s="1785"/>
      <c r="BKG147" s="1785"/>
      <c r="BKH147" s="1785"/>
      <c r="BKI147" s="1785"/>
      <c r="BKJ147" s="1785"/>
      <c r="BKK147" s="1785"/>
      <c r="BKL147" s="1785"/>
      <c r="BKM147" s="1785"/>
      <c r="BKN147" s="1785"/>
      <c r="BKO147" s="1785"/>
      <c r="BKP147" s="1785"/>
      <c r="BKQ147" s="1785"/>
      <c r="BKR147" s="1785"/>
      <c r="BKS147" s="1785"/>
      <c r="BKT147" s="1785"/>
      <c r="BKU147" s="1785"/>
      <c r="BKV147" s="1785"/>
      <c r="BKW147" s="1785"/>
      <c r="BKX147" s="1785"/>
      <c r="BKY147" s="1785"/>
      <c r="BKZ147" s="1785"/>
      <c r="BLA147" s="1785"/>
      <c r="BLB147" s="1785"/>
      <c r="BLC147" s="1785"/>
      <c r="BLD147" s="1785"/>
      <c r="BLE147" s="1785"/>
      <c r="BLF147" s="1785"/>
      <c r="BLG147" s="1785"/>
      <c r="BLH147" s="1785"/>
      <c r="BLI147" s="1785"/>
      <c r="BLJ147" s="1785"/>
      <c r="BLK147" s="1785"/>
      <c r="BLL147" s="1785"/>
      <c r="BLM147" s="1785"/>
      <c r="BLN147" s="1785"/>
      <c r="BLO147" s="1785"/>
      <c r="BLP147" s="1785"/>
      <c r="BLQ147" s="1785"/>
      <c r="BLR147" s="1785"/>
      <c r="BLS147" s="1785"/>
      <c r="BLT147" s="1785"/>
      <c r="BLU147" s="1785"/>
      <c r="BLV147" s="1785"/>
      <c r="BLW147" s="1785"/>
      <c r="BLX147" s="1785"/>
      <c r="BLY147" s="1785"/>
      <c r="BLZ147" s="1785"/>
      <c r="BMA147" s="1785"/>
      <c r="BMB147" s="1785"/>
      <c r="BMC147" s="1785"/>
      <c r="BMD147" s="1785"/>
      <c r="BME147" s="1785"/>
      <c r="BMF147" s="1785"/>
      <c r="BMG147" s="1785"/>
      <c r="BMH147" s="1785"/>
      <c r="BMI147" s="1785"/>
      <c r="BMJ147" s="1785"/>
      <c r="BMK147" s="1785"/>
      <c r="BML147" s="1785"/>
      <c r="BMM147" s="1785"/>
      <c r="BMN147" s="1785"/>
      <c r="BMO147" s="1785"/>
      <c r="BMP147" s="1785"/>
      <c r="BMQ147" s="1785"/>
      <c r="BMR147" s="1785"/>
      <c r="BMS147" s="1785"/>
      <c r="BMT147" s="1785"/>
      <c r="BMU147" s="1785"/>
      <c r="BMV147" s="1785"/>
      <c r="BMW147" s="1785"/>
      <c r="BMX147" s="1785"/>
      <c r="BMY147" s="1785"/>
      <c r="BMZ147" s="1785"/>
      <c r="BNA147" s="1785"/>
      <c r="BNB147" s="1785"/>
      <c r="BNC147" s="1785"/>
      <c r="BND147" s="1785"/>
      <c r="BNE147" s="1785"/>
      <c r="BNF147" s="1785"/>
      <c r="BNG147" s="1785"/>
      <c r="BNH147" s="1785"/>
      <c r="BNI147" s="1785"/>
      <c r="BNJ147" s="1785"/>
      <c r="BNK147" s="1785"/>
      <c r="BNL147" s="1785"/>
      <c r="BNM147" s="1785"/>
      <c r="BNN147" s="1785"/>
      <c r="BNO147" s="1785"/>
      <c r="BNP147" s="1785"/>
      <c r="BNQ147" s="1785"/>
      <c r="BNR147" s="1785"/>
      <c r="BNS147" s="1785"/>
      <c r="BNT147" s="1785"/>
      <c r="BNU147" s="1785"/>
      <c r="BNV147" s="1785"/>
      <c r="BNW147" s="1785"/>
      <c r="BNX147" s="1785"/>
      <c r="BNY147" s="1785"/>
      <c r="BNZ147" s="1785"/>
      <c r="BOA147" s="1785"/>
      <c r="BOB147" s="1785"/>
      <c r="BOC147" s="1785"/>
      <c r="BOD147" s="1785"/>
      <c r="BOE147" s="1785"/>
      <c r="BOF147" s="1785"/>
      <c r="BOG147" s="1785"/>
      <c r="BOH147" s="1785"/>
      <c r="BOI147" s="1785"/>
      <c r="BOJ147" s="1785"/>
      <c r="BOK147" s="1785"/>
      <c r="BOL147" s="1785"/>
      <c r="BOM147" s="1785"/>
      <c r="BON147" s="1785"/>
      <c r="BOO147" s="1785"/>
      <c r="BOP147" s="1785"/>
      <c r="BOQ147" s="1785"/>
      <c r="BOR147" s="1785"/>
      <c r="BOS147" s="1785"/>
      <c r="BOT147" s="1785"/>
      <c r="BOU147" s="1785"/>
      <c r="BOV147" s="1785"/>
      <c r="BOW147" s="1785"/>
      <c r="BOX147" s="1785"/>
      <c r="BOY147" s="1785"/>
      <c r="BOZ147" s="1785"/>
      <c r="BPA147" s="1785"/>
      <c r="BPB147" s="1785"/>
      <c r="BPC147" s="1785"/>
      <c r="BPD147" s="1785"/>
      <c r="BPE147" s="1785"/>
      <c r="BPF147" s="1785"/>
      <c r="BPG147" s="1785"/>
      <c r="BPH147" s="1785"/>
      <c r="BPI147" s="1785"/>
      <c r="BPJ147" s="1785"/>
      <c r="BPK147" s="1785"/>
      <c r="BPL147" s="1785"/>
      <c r="BPM147" s="1785"/>
      <c r="BPN147" s="1785"/>
      <c r="BPO147" s="1785"/>
      <c r="BPP147" s="1785"/>
      <c r="BPQ147" s="1785"/>
      <c r="BPR147" s="1785"/>
      <c r="BPS147" s="1785"/>
      <c r="BPT147" s="1785"/>
      <c r="BPU147" s="1785"/>
      <c r="BPV147" s="1785"/>
      <c r="BPW147" s="1785"/>
      <c r="BPX147" s="1785"/>
      <c r="BPY147" s="1785"/>
      <c r="BPZ147" s="1785"/>
      <c r="BQA147" s="1785"/>
      <c r="BQB147" s="1785"/>
      <c r="BQC147" s="1785"/>
      <c r="BQD147" s="1785"/>
      <c r="BQE147" s="1785"/>
      <c r="BQF147" s="1785"/>
      <c r="BQG147" s="1785"/>
      <c r="BQH147" s="1785"/>
      <c r="BQI147" s="1785"/>
      <c r="BQJ147" s="1785"/>
      <c r="BQK147" s="1785"/>
      <c r="BQL147" s="1785"/>
      <c r="BQM147" s="1785"/>
      <c r="BQN147" s="1785"/>
      <c r="BQO147" s="1785"/>
      <c r="BQP147" s="1785"/>
      <c r="BQQ147" s="1785"/>
      <c r="BQR147" s="1785"/>
      <c r="BQS147" s="1785"/>
      <c r="BQT147" s="1785"/>
      <c r="BQU147" s="1785"/>
      <c r="BQV147" s="1785"/>
      <c r="BQW147" s="1785"/>
      <c r="BQX147" s="1785"/>
      <c r="BQY147" s="1785"/>
      <c r="BQZ147" s="1785"/>
      <c r="BRA147" s="1785"/>
      <c r="BRB147" s="1785"/>
      <c r="BRC147" s="1785"/>
      <c r="BRD147" s="1785"/>
      <c r="BRE147" s="1785"/>
      <c r="BRF147" s="1785"/>
      <c r="BRG147" s="1785"/>
      <c r="BRH147" s="1785"/>
      <c r="BRI147" s="1785"/>
      <c r="BRJ147" s="1785"/>
      <c r="BRK147" s="1785"/>
      <c r="BRL147" s="1785"/>
      <c r="BRM147" s="1785"/>
      <c r="BRN147" s="1785"/>
      <c r="BRO147" s="1785"/>
      <c r="BRP147" s="1785"/>
      <c r="BRQ147" s="1785"/>
      <c r="BRR147" s="1785"/>
      <c r="BRS147" s="1785"/>
      <c r="BRT147" s="1785"/>
      <c r="BRU147" s="1785"/>
      <c r="BRV147" s="1785"/>
      <c r="BRW147" s="1785"/>
      <c r="BRX147" s="1785"/>
      <c r="BRY147" s="1785"/>
      <c r="BRZ147" s="1785"/>
      <c r="BSA147" s="1785"/>
      <c r="BSB147" s="1785"/>
      <c r="BSC147" s="1785"/>
      <c r="BSD147" s="1785"/>
      <c r="BSE147" s="1785"/>
      <c r="BSF147" s="1785"/>
      <c r="BSG147" s="1785"/>
      <c r="BSH147" s="1785"/>
      <c r="BSI147" s="1785"/>
      <c r="BSJ147" s="1785"/>
      <c r="BSK147" s="1785"/>
      <c r="BSL147" s="1785"/>
      <c r="BSM147" s="1785"/>
      <c r="BSN147" s="1785"/>
      <c r="BSO147" s="1785"/>
      <c r="BSP147" s="1785"/>
      <c r="BSQ147" s="1785"/>
      <c r="BSR147" s="1785"/>
      <c r="BSS147" s="1785"/>
      <c r="BST147" s="1785"/>
      <c r="BSU147" s="1785"/>
      <c r="BSV147" s="1785"/>
      <c r="BSW147" s="1785"/>
      <c r="BSX147" s="1785"/>
      <c r="BSY147" s="1785"/>
      <c r="BSZ147" s="1785"/>
      <c r="BTA147" s="1785"/>
      <c r="BTB147" s="1785"/>
      <c r="BTC147" s="1785"/>
      <c r="BTD147" s="1785"/>
      <c r="BTE147" s="1785"/>
      <c r="BTF147" s="1785"/>
      <c r="BTG147" s="1785"/>
      <c r="BTH147" s="1785"/>
      <c r="BTI147" s="1785"/>
      <c r="BTJ147" s="1785"/>
      <c r="BTK147" s="1785"/>
      <c r="BTL147" s="1785"/>
      <c r="BTM147" s="1785"/>
      <c r="BTN147" s="1785"/>
      <c r="BTO147" s="1785"/>
      <c r="BTP147" s="1785"/>
      <c r="BTQ147" s="1785"/>
      <c r="BTR147" s="1785"/>
      <c r="BTS147" s="1785"/>
      <c r="BTT147" s="1785"/>
      <c r="BTU147" s="1785"/>
      <c r="BTV147" s="1785"/>
      <c r="BTW147" s="1785"/>
      <c r="BTX147" s="1785"/>
      <c r="BTY147" s="1785"/>
      <c r="BTZ147" s="1785"/>
      <c r="BUA147" s="1785"/>
      <c r="BUB147" s="1785"/>
      <c r="BUC147" s="1785"/>
      <c r="BUD147" s="1785"/>
      <c r="BUE147" s="1785"/>
      <c r="BUF147" s="1785"/>
      <c r="BUG147" s="1785"/>
      <c r="BUH147" s="1785"/>
      <c r="BUI147" s="1785"/>
      <c r="BUJ147" s="1785"/>
      <c r="BUK147" s="1785"/>
      <c r="BUL147" s="1785"/>
      <c r="BUM147" s="1785"/>
      <c r="BUN147" s="1785"/>
      <c r="BUO147" s="1785"/>
      <c r="BUP147" s="1785"/>
      <c r="BUQ147" s="1785"/>
      <c r="BUR147" s="1785"/>
      <c r="BUS147" s="1785"/>
      <c r="BUT147" s="1785"/>
      <c r="BUU147" s="1785"/>
      <c r="BUV147" s="1785"/>
      <c r="BUW147" s="1785"/>
      <c r="BUX147" s="1785"/>
      <c r="BUY147" s="1785"/>
      <c r="BUZ147" s="1785"/>
      <c r="BVA147" s="1785"/>
      <c r="BVB147" s="1785"/>
      <c r="BVC147" s="1785"/>
      <c r="BVD147" s="1785"/>
      <c r="BVE147" s="1785"/>
      <c r="BVF147" s="1785"/>
      <c r="BVG147" s="1785"/>
      <c r="BVH147" s="1785"/>
      <c r="BVI147" s="1785"/>
      <c r="BVJ147" s="1785"/>
      <c r="BVK147" s="1785"/>
      <c r="BVL147" s="1785"/>
      <c r="BVM147" s="1785"/>
      <c r="BVN147" s="1785"/>
      <c r="BVO147" s="1785"/>
      <c r="BVP147" s="1785"/>
      <c r="BVQ147" s="1785"/>
      <c r="BVR147" s="1785"/>
      <c r="BVS147" s="1785"/>
      <c r="BVT147" s="1785"/>
      <c r="BVU147" s="1785"/>
      <c r="BVV147" s="1785"/>
      <c r="BVW147" s="1785"/>
      <c r="BVX147" s="1785"/>
      <c r="BVY147" s="1785"/>
      <c r="BVZ147" s="1785"/>
      <c r="BWA147" s="1785"/>
      <c r="BWB147" s="1785"/>
      <c r="BWC147" s="1785"/>
      <c r="BWD147" s="1785"/>
      <c r="BWE147" s="1785"/>
      <c r="BWF147" s="1785"/>
      <c r="BWG147" s="1785"/>
      <c r="BWH147" s="1785"/>
      <c r="BWI147" s="1785"/>
      <c r="BWJ147" s="1785"/>
      <c r="BWK147" s="1785"/>
      <c r="BWL147" s="1785"/>
      <c r="BWM147" s="1785"/>
      <c r="BWN147" s="1785"/>
      <c r="BWO147" s="1785"/>
      <c r="BWP147" s="1785"/>
      <c r="BWQ147" s="1785"/>
      <c r="BWR147" s="1785"/>
      <c r="BWS147" s="1785"/>
      <c r="BWT147" s="1785"/>
      <c r="BWU147" s="1785"/>
      <c r="BWV147" s="1785"/>
      <c r="BWW147" s="1785"/>
      <c r="BWX147" s="1785"/>
      <c r="BWY147" s="1785"/>
      <c r="BWZ147" s="1785"/>
      <c r="BXA147" s="1785"/>
      <c r="BXB147" s="1785"/>
      <c r="BXC147" s="1785"/>
      <c r="BXD147" s="1785"/>
      <c r="BXE147" s="1785"/>
      <c r="BXF147" s="1785"/>
      <c r="BXG147" s="1785"/>
      <c r="BXH147" s="1785"/>
      <c r="BXI147" s="1785"/>
      <c r="BXJ147" s="1785"/>
      <c r="BXK147" s="1785"/>
      <c r="BXL147" s="1785"/>
      <c r="BXM147" s="1785"/>
      <c r="BXN147" s="1785"/>
      <c r="BXO147" s="1785"/>
      <c r="BXP147" s="1785"/>
      <c r="BXQ147" s="1785"/>
      <c r="BXR147" s="1785"/>
      <c r="BXS147" s="1785"/>
      <c r="BXT147" s="1785"/>
      <c r="BXU147" s="1785"/>
      <c r="BXV147" s="1785"/>
      <c r="BXW147" s="1785"/>
      <c r="BXX147" s="1785"/>
      <c r="BXY147" s="1785"/>
      <c r="BXZ147" s="1785"/>
      <c r="BYA147" s="1785"/>
      <c r="BYB147" s="1785"/>
      <c r="BYC147" s="1785"/>
      <c r="BYD147" s="1785"/>
      <c r="BYE147" s="1785"/>
      <c r="BYF147" s="1785"/>
      <c r="BYG147" s="1785"/>
      <c r="BYH147" s="1785"/>
      <c r="BYI147" s="1785"/>
      <c r="BYJ147" s="1785"/>
      <c r="BYK147" s="1785"/>
      <c r="BYL147" s="1785"/>
      <c r="BYM147" s="1785"/>
      <c r="BYN147" s="1785"/>
      <c r="BYO147" s="1785"/>
      <c r="BYP147" s="1785"/>
      <c r="BYQ147" s="1785"/>
      <c r="BYR147" s="1785"/>
      <c r="BYS147" s="1785"/>
      <c r="BYT147" s="1785"/>
      <c r="BYU147" s="1785"/>
      <c r="BYV147" s="1785"/>
      <c r="BYW147" s="1785"/>
      <c r="BYX147" s="1785"/>
      <c r="BYY147" s="1785"/>
      <c r="BYZ147" s="1785"/>
      <c r="BZA147" s="1785"/>
      <c r="BZB147" s="1785"/>
      <c r="BZC147" s="1785"/>
      <c r="BZD147" s="1785"/>
      <c r="BZE147" s="1785"/>
      <c r="BZF147" s="1785"/>
      <c r="BZG147" s="1785"/>
      <c r="BZH147" s="1785"/>
      <c r="BZI147" s="1785"/>
      <c r="BZJ147" s="1785"/>
      <c r="BZK147" s="1785"/>
      <c r="BZL147" s="1785"/>
      <c r="BZM147" s="1785"/>
      <c r="BZN147" s="1785"/>
      <c r="BZO147" s="1785"/>
      <c r="BZP147" s="1785"/>
      <c r="BZQ147" s="1785"/>
      <c r="BZR147" s="1785"/>
      <c r="BZS147" s="1785"/>
      <c r="BZT147" s="1785"/>
      <c r="BZU147" s="1785"/>
      <c r="BZV147" s="1785"/>
      <c r="BZW147" s="1785"/>
      <c r="BZX147" s="1785"/>
      <c r="BZY147" s="1785"/>
      <c r="BZZ147" s="1785"/>
      <c r="CAA147" s="1785"/>
      <c r="CAB147" s="1785"/>
      <c r="CAC147" s="1785"/>
      <c r="CAD147" s="1785"/>
      <c r="CAE147" s="1785"/>
      <c r="CAF147" s="1785"/>
      <c r="CAG147" s="1785"/>
      <c r="CAH147" s="1785"/>
      <c r="CAI147" s="1785"/>
      <c r="CAJ147" s="1785"/>
      <c r="CAK147" s="1785"/>
      <c r="CAL147" s="1785"/>
      <c r="CAM147" s="1785"/>
      <c r="CAN147" s="1785"/>
      <c r="CAO147" s="1785"/>
      <c r="CAP147" s="1785"/>
      <c r="CAQ147" s="1785"/>
      <c r="CAR147" s="1785"/>
      <c r="CAS147" s="1785"/>
      <c r="CAT147" s="1785"/>
      <c r="CAU147" s="1785"/>
      <c r="CAV147" s="1785"/>
      <c r="CAW147" s="1785"/>
      <c r="CAX147" s="1785"/>
      <c r="CAY147" s="1785"/>
      <c r="CAZ147" s="1785"/>
      <c r="CBA147" s="1785"/>
      <c r="CBB147" s="1785"/>
      <c r="CBC147" s="1785"/>
      <c r="CBD147" s="1785"/>
      <c r="CBE147" s="1785"/>
      <c r="CBF147" s="1785"/>
      <c r="CBG147" s="1785"/>
      <c r="CBH147" s="1785"/>
      <c r="CBI147" s="1785"/>
      <c r="CBJ147" s="1785"/>
      <c r="CBK147" s="1785"/>
      <c r="CBL147" s="1785"/>
      <c r="CBM147" s="1785"/>
      <c r="CBN147" s="1785"/>
      <c r="CBO147" s="1785"/>
      <c r="CBP147" s="1785"/>
      <c r="CBQ147" s="1785"/>
      <c r="CBR147" s="1785"/>
      <c r="CBS147" s="1785"/>
      <c r="CBT147" s="1785"/>
      <c r="CBU147" s="1785"/>
      <c r="CBV147" s="1785"/>
      <c r="CBW147" s="1785"/>
      <c r="CBX147" s="1785"/>
      <c r="CBY147" s="1785"/>
      <c r="CBZ147" s="1785"/>
      <c r="CCA147" s="1785"/>
      <c r="CCB147" s="1785"/>
      <c r="CCC147" s="1785"/>
      <c r="CCD147" s="1785"/>
      <c r="CCE147" s="1785"/>
      <c r="CCF147" s="1785"/>
      <c r="CCG147" s="1785"/>
      <c r="CCH147" s="1785"/>
      <c r="CCI147" s="1785"/>
      <c r="CCJ147" s="1785"/>
      <c r="CCK147" s="1785"/>
      <c r="CCL147" s="1785"/>
      <c r="CCM147" s="1785"/>
      <c r="CCN147" s="1785"/>
      <c r="CCO147" s="1785"/>
      <c r="CCP147" s="1785"/>
      <c r="CCQ147" s="1785"/>
      <c r="CCR147" s="1785"/>
      <c r="CCS147" s="1785"/>
      <c r="CCT147" s="1785"/>
      <c r="CCU147" s="1785"/>
      <c r="CCV147" s="1785"/>
      <c r="CCW147" s="1785"/>
      <c r="CCX147" s="1785"/>
      <c r="CCY147" s="1785"/>
      <c r="CCZ147" s="1785"/>
      <c r="CDA147" s="1785"/>
      <c r="CDB147" s="1785"/>
      <c r="CDC147" s="1785"/>
      <c r="CDD147" s="1785"/>
      <c r="CDE147" s="1785"/>
      <c r="CDF147" s="1785"/>
      <c r="CDG147" s="1785"/>
      <c r="CDH147" s="1785"/>
      <c r="CDI147" s="1785"/>
      <c r="CDJ147" s="1785"/>
      <c r="CDK147" s="1785"/>
      <c r="CDL147" s="1785"/>
      <c r="CDM147" s="1785"/>
      <c r="CDN147" s="1785"/>
      <c r="CDO147" s="1785"/>
      <c r="CDP147" s="1785"/>
      <c r="CDQ147" s="1785"/>
      <c r="CDR147" s="1785"/>
      <c r="CDS147" s="1785"/>
      <c r="CDT147" s="1785"/>
      <c r="CDU147" s="1785"/>
      <c r="CDV147" s="1785"/>
      <c r="CDW147" s="1785"/>
      <c r="CDX147" s="1785"/>
      <c r="CDY147" s="1785"/>
      <c r="CDZ147" s="1785"/>
      <c r="CEA147" s="1785"/>
      <c r="CEB147" s="1785"/>
      <c r="CEC147" s="1785"/>
      <c r="CED147" s="1785"/>
      <c r="CEE147" s="1785"/>
      <c r="CEF147" s="1785"/>
      <c r="CEG147" s="1785"/>
      <c r="CEH147" s="1785"/>
      <c r="CEI147" s="1785"/>
      <c r="CEJ147" s="1785"/>
      <c r="CEK147" s="1785"/>
      <c r="CEL147" s="1785"/>
      <c r="CEM147" s="1785"/>
      <c r="CEN147" s="1785"/>
      <c r="CEO147" s="1785"/>
      <c r="CEP147" s="1785"/>
      <c r="CEQ147" s="1785"/>
      <c r="CER147" s="1785"/>
      <c r="CES147" s="1785"/>
      <c r="CET147" s="1785"/>
      <c r="CEU147" s="1785"/>
      <c r="CEV147" s="1785"/>
      <c r="CEW147" s="1785"/>
      <c r="CEX147" s="1785"/>
      <c r="CEY147" s="1785"/>
      <c r="CEZ147" s="1785"/>
      <c r="CFA147" s="1785"/>
      <c r="CFB147" s="1785"/>
      <c r="CFC147" s="1785"/>
      <c r="CFD147" s="1785"/>
      <c r="CFE147" s="1785"/>
      <c r="CFF147" s="1785"/>
      <c r="CFG147" s="1785"/>
      <c r="CFH147" s="1785"/>
      <c r="CFI147" s="1785"/>
      <c r="CFJ147" s="1785"/>
      <c r="CFK147" s="1785"/>
      <c r="CFL147" s="1785"/>
      <c r="CFM147" s="1785"/>
      <c r="CFN147" s="1785"/>
      <c r="CFO147" s="1785"/>
      <c r="CFP147" s="1785"/>
      <c r="CFQ147" s="1785"/>
      <c r="CFR147" s="1785"/>
      <c r="CFS147" s="1785"/>
      <c r="CFT147" s="1785"/>
      <c r="CFU147" s="1785"/>
      <c r="CFV147" s="1785"/>
      <c r="CFW147" s="1785"/>
      <c r="CFX147" s="1785"/>
      <c r="CFY147" s="1785"/>
      <c r="CFZ147" s="1785"/>
      <c r="CGA147" s="1785"/>
      <c r="CGB147" s="1785"/>
      <c r="CGC147" s="1785"/>
      <c r="CGD147" s="1785"/>
      <c r="CGE147" s="1785"/>
      <c r="CGF147" s="1785"/>
      <c r="CGG147" s="1785"/>
      <c r="CGH147" s="1785"/>
      <c r="CGI147" s="1785"/>
      <c r="CGJ147" s="1785"/>
      <c r="CGK147" s="1785"/>
      <c r="CGL147" s="1785"/>
      <c r="CGM147" s="1785"/>
      <c r="CGN147" s="1785"/>
      <c r="CGO147" s="1785"/>
      <c r="CGP147" s="1785"/>
      <c r="CGQ147" s="1785"/>
      <c r="CGR147" s="1785"/>
      <c r="CGS147" s="1785"/>
      <c r="CGT147" s="1785"/>
      <c r="CGU147" s="1785"/>
      <c r="CGV147" s="1785"/>
      <c r="CGW147" s="1785"/>
      <c r="CGX147" s="1785"/>
      <c r="CGY147" s="1785"/>
      <c r="CGZ147" s="1785"/>
      <c r="CHA147" s="1785"/>
      <c r="CHB147" s="1785"/>
      <c r="CHC147" s="1785"/>
      <c r="CHD147" s="1785"/>
      <c r="CHE147" s="1785"/>
      <c r="CHF147" s="1785"/>
      <c r="CHG147" s="1785"/>
      <c r="CHH147" s="1785"/>
      <c r="CHI147" s="1785"/>
      <c r="CHJ147" s="1785"/>
      <c r="CHK147" s="1785"/>
      <c r="CHL147" s="1785"/>
      <c r="CHM147" s="1785"/>
      <c r="CHN147" s="1785"/>
      <c r="CHO147" s="1785"/>
      <c r="CHP147" s="1785"/>
      <c r="CHQ147" s="1785"/>
      <c r="CHR147" s="1785"/>
      <c r="CHS147" s="1785"/>
      <c r="CHT147" s="1785"/>
      <c r="CHU147" s="1785"/>
      <c r="CHV147" s="1785"/>
      <c r="CHW147" s="1785"/>
      <c r="CHX147" s="1785"/>
      <c r="CHY147" s="1785"/>
      <c r="CHZ147" s="1785"/>
      <c r="CIA147" s="1785"/>
      <c r="CIB147" s="1785"/>
      <c r="CIC147" s="1785"/>
      <c r="CID147" s="1785"/>
      <c r="CIE147" s="1785"/>
      <c r="CIF147" s="1785"/>
      <c r="CIG147" s="1785"/>
      <c r="CIH147" s="1785"/>
      <c r="CII147" s="1785"/>
      <c r="CIJ147" s="1785"/>
      <c r="CIK147" s="1785"/>
      <c r="CIL147" s="1785"/>
      <c r="CIM147" s="1785"/>
      <c r="CIN147" s="1785"/>
      <c r="CIO147" s="1785"/>
      <c r="CIP147" s="1785"/>
      <c r="CIQ147" s="1785"/>
      <c r="CIR147" s="1785"/>
      <c r="CIS147" s="1785"/>
      <c r="CIT147" s="1785"/>
      <c r="CIU147" s="1785"/>
      <c r="CIV147" s="1785"/>
      <c r="CIW147" s="1785"/>
      <c r="CIX147" s="1785"/>
      <c r="CIY147" s="1785"/>
      <c r="CIZ147" s="1785"/>
      <c r="CJA147" s="1785"/>
      <c r="CJB147" s="1785"/>
      <c r="CJC147" s="1785"/>
      <c r="CJD147" s="1785"/>
      <c r="CJE147" s="1785"/>
      <c r="CJF147" s="1785"/>
      <c r="CJG147" s="1785"/>
      <c r="CJH147" s="1785"/>
      <c r="CJI147" s="1785"/>
      <c r="CJJ147" s="1785"/>
      <c r="CJK147" s="1785"/>
      <c r="CJL147" s="1785"/>
      <c r="CJM147" s="1785"/>
      <c r="CJN147" s="1785"/>
      <c r="CJO147" s="1785"/>
      <c r="CJP147" s="1785"/>
      <c r="CJQ147" s="1785"/>
      <c r="CJR147" s="1785"/>
      <c r="CJS147" s="1785"/>
      <c r="CJT147" s="1785"/>
      <c r="CJU147" s="1785"/>
      <c r="CJV147" s="1785"/>
      <c r="CJW147" s="1785"/>
      <c r="CJX147" s="1785"/>
      <c r="CJY147" s="1785"/>
      <c r="CJZ147" s="1785"/>
      <c r="CKA147" s="1785"/>
      <c r="CKB147" s="1785"/>
      <c r="CKC147" s="1785"/>
      <c r="CKD147" s="1785"/>
      <c r="CKE147" s="1785"/>
      <c r="CKF147" s="1785"/>
      <c r="CKG147" s="1785"/>
      <c r="CKH147" s="1785"/>
      <c r="CKI147" s="1785"/>
      <c r="CKJ147" s="1785"/>
      <c r="CKK147" s="1785"/>
      <c r="CKL147" s="1785"/>
      <c r="CKM147" s="1785"/>
      <c r="CKN147" s="1785"/>
      <c r="CKO147" s="1785"/>
      <c r="CKP147" s="1785"/>
      <c r="CKQ147" s="1785"/>
      <c r="CKR147" s="1785"/>
      <c r="CKS147" s="1785"/>
      <c r="CKT147" s="1785"/>
      <c r="CKU147" s="1785"/>
      <c r="CKV147" s="1785"/>
      <c r="CKW147" s="1785"/>
      <c r="CKX147" s="1785"/>
      <c r="CKY147" s="1785"/>
      <c r="CKZ147" s="1785"/>
      <c r="CLA147" s="1785"/>
      <c r="CLB147" s="1785"/>
      <c r="CLC147" s="1785"/>
      <c r="CLD147" s="1785"/>
      <c r="CLE147" s="1785"/>
      <c r="CLF147" s="1785"/>
      <c r="CLG147" s="1785"/>
      <c r="CLH147" s="1785"/>
      <c r="CLI147" s="1785"/>
      <c r="CLJ147" s="1785"/>
      <c r="CLK147" s="1785"/>
      <c r="CLL147" s="1785"/>
      <c r="CLM147" s="1785"/>
      <c r="CLN147" s="1785"/>
      <c r="CLO147" s="1785"/>
      <c r="CLP147" s="1785"/>
      <c r="CLQ147" s="1785"/>
      <c r="CLR147" s="1785"/>
      <c r="CLS147" s="1785"/>
      <c r="CLT147" s="1785"/>
      <c r="CLU147" s="1785"/>
      <c r="CLV147" s="1785"/>
      <c r="CLW147" s="1785"/>
      <c r="CLX147" s="1785"/>
      <c r="CLY147" s="1785"/>
      <c r="CLZ147" s="1785"/>
      <c r="CMA147" s="1785"/>
      <c r="CMB147" s="1785"/>
      <c r="CMC147" s="1785"/>
      <c r="CMD147" s="1785"/>
      <c r="CME147" s="1785"/>
      <c r="CMF147" s="1785"/>
      <c r="CMG147" s="1785"/>
      <c r="CMH147" s="1785"/>
      <c r="CMI147" s="1785"/>
      <c r="CMJ147" s="1785"/>
      <c r="CMK147" s="1785"/>
      <c r="CML147" s="1785"/>
      <c r="CMM147" s="1785"/>
      <c r="CMN147" s="1785"/>
      <c r="CMO147" s="1785"/>
      <c r="CMP147" s="1785"/>
      <c r="CMQ147" s="1785"/>
      <c r="CMR147" s="1785"/>
      <c r="CMS147" s="1785"/>
      <c r="CMT147" s="1785"/>
      <c r="CMU147" s="1785"/>
      <c r="CMV147" s="1785"/>
      <c r="CMW147" s="1785"/>
      <c r="CMX147" s="1785"/>
      <c r="CMY147" s="1785"/>
      <c r="CMZ147" s="1785"/>
      <c r="CNA147" s="1785"/>
      <c r="CNB147" s="1785"/>
      <c r="CNC147" s="1785"/>
      <c r="CND147" s="1785"/>
      <c r="CNE147" s="1785"/>
      <c r="CNF147" s="1785"/>
      <c r="CNG147" s="1785"/>
      <c r="CNH147" s="1785"/>
      <c r="CNI147" s="1785"/>
      <c r="CNJ147" s="1785"/>
      <c r="CNK147" s="1785"/>
      <c r="CNL147" s="1785"/>
      <c r="CNM147" s="1785"/>
      <c r="CNN147" s="1785"/>
      <c r="CNO147" s="1785"/>
      <c r="CNP147" s="1785"/>
      <c r="CNQ147" s="1785"/>
      <c r="CNR147" s="1785"/>
      <c r="CNS147" s="1785"/>
      <c r="CNT147" s="1785"/>
      <c r="CNU147" s="1785"/>
      <c r="CNV147" s="1785"/>
      <c r="CNW147" s="1785"/>
      <c r="CNX147" s="1785"/>
      <c r="CNY147" s="1785"/>
      <c r="CNZ147" s="1785"/>
      <c r="COA147" s="1785"/>
      <c r="COB147" s="1785"/>
      <c r="COC147" s="1785"/>
      <c r="COD147" s="1785"/>
      <c r="COE147" s="1785"/>
      <c r="COF147" s="1785"/>
      <c r="COG147" s="1785"/>
      <c r="COH147" s="1785"/>
      <c r="COI147" s="1785"/>
      <c r="COJ147" s="1785"/>
      <c r="COK147" s="1785"/>
      <c r="COL147" s="1785"/>
      <c r="COM147" s="1785"/>
      <c r="CON147" s="1785"/>
      <c r="COO147" s="1785"/>
      <c r="COP147" s="1785"/>
      <c r="COQ147" s="1785"/>
      <c r="COR147" s="1785"/>
      <c r="COS147" s="1785"/>
      <c r="COT147" s="1785"/>
      <c r="COU147" s="1785"/>
      <c r="COV147" s="1785"/>
      <c r="COW147" s="1785"/>
      <c r="COX147" s="1785"/>
      <c r="COY147" s="1785"/>
      <c r="COZ147" s="1785"/>
      <c r="CPA147" s="1785"/>
      <c r="CPB147" s="1785"/>
      <c r="CPC147" s="1785"/>
      <c r="CPD147" s="1785"/>
      <c r="CPE147" s="1785"/>
      <c r="CPF147" s="1785"/>
      <c r="CPG147" s="1785"/>
      <c r="CPH147" s="1785"/>
      <c r="CPI147" s="1785"/>
      <c r="CPJ147" s="1785"/>
      <c r="CPK147" s="1785"/>
      <c r="CPL147" s="1785"/>
      <c r="CPM147" s="1785"/>
      <c r="CPN147" s="1785"/>
      <c r="CPO147" s="1785"/>
      <c r="CPP147" s="1785"/>
      <c r="CPQ147" s="1785"/>
      <c r="CPR147" s="1785"/>
      <c r="CPS147" s="1785"/>
      <c r="CPT147" s="1785"/>
      <c r="CPU147" s="1785"/>
      <c r="CPV147" s="1785"/>
      <c r="CPW147" s="1785"/>
      <c r="CPX147" s="1785"/>
      <c r="CPY147" s="1785"/>
      <c r="CPZ147" s="1785"/>
      <c r="CQA147" s="1785"/>
      <c r="CQB147" s="1785"/>
      <c r="CQC147" s="1785"/>
      <c r="CQD147" s="1785"/>
      <c r="CQE147" s="1785"/>
      <c r="CQF147" s="1785"/>
      <c r="CQG147" s="1785"/>
      <c r="CQH147" s="1785"/>
      <c r="CQI147" s="1785"/>
      <c r="CQJ147" s="1785"/>
      <c r="CQK147" s="1785"/>
      <c r="CQL147" s="1785"/>
      <c r="CQM147" s="1785"/>
      <c r="CQN147" s="1785"/>
      <c r="CQO147" s="1785"/>
      <c r="CQP147" s="1785"/>
      <c r="CQQ147" s="1785"/>
      <c r="CQR147" s="1785"/>
      <c r="CQS147" s="1785"/>
      <c r="CQT147" s="1785"/>
      <c r="CQU147" s="1785"/>
      <c r="CQV147" s="1785"/>
      <c r="CQW147" s="1785"/>
      <c r="CQX147" s="1785"/>
      <c r="CQY147" s="1785"/>
      <c r="CQZ147" s="1785"/>
      <c r="CRA147" s="1785"/>
      <c r="CRB147" s="1785"/>
      <c r="CRC147" s="1785"/>
      <c r="CRD147" s="1785"/>
      <c r="CRE147" s="1785"/>
      <c r="CRF147" s="1785"/>
      <c r="CRG147" s="1785"/>
      <c r="CRH147" s="1785"/>
      <c r="CRI147" s="1785"/>
      <c r="CRJ147" s="1785"/>
      <c r="CRK147" s="1785"/>
      <c r="CRL147" s="1785"/>
      <c r="CRM147" s="1785"/>
      <c r="CRN147" s="1785"/>
      <c r="CRO147" s="1785"/>
      <c r="CRP147" s="1785"/>
      <c r="CRQ147" s="1785"/>
      <c r="CRR147" s="1785"/>
      <c r="CRS147" s="1785"/>
      <c r="CRT147" s="1785"/>
      <c r="CRU147" s="1785"/>
      <c r="CRV147" s="1785"/>
      <c r="CRW147" s="1785"/>
      <c r="CRX147" s="1785"/>
      <c r="CRY147" s="1785"/>
      <c r="CRZ147" s="1785"/>
      <c r="CSA147" s="1785"/>
      <c r="CSB147" s="1785"/>
      <c r="CSC147" s="1785"/>
      <c r="CSD147" s="1785"/>
      <c r="CSE147" s="1785"/>
      <c r="CSF147" s="1785"/>
      <c r="CSG147" s="1785"/>
      <c r="CSH147" s="1785"/>
      <c r="CSI147" s="1785"/>
      <c r="CSJ147" s="1785"/>
      <c r="CSK147" s="1785"/>
      <c r="CSL147" s="1785"/>
      <c r="CSM147" s="1785"/>
      <c r="CSN147" s="1785"/>
      <c r="CSO147" s="1785"/>
      <c r="CSP147" s="1785"/>
      <c r="CSQ147" s="1785"/>
      <c r="CSR147" s="1785"/>
      <c r="CSS147" s="1785"/>
      <c r="CST147" s="1785"/>
      <c r="CSU147" s="1785"/>
      <c r="CSV147" s="1785"/>
      <c r="CSW147" s="1785"/>
      <c r="CSX147" s="1785"/>
      <c r="CSY147" s="1785"/>
      <c r="CSZ147" s="1785"/>
      <c r="CTA147" s="1785"/>
      <c r="CTB147" s="1785"/>
      <c r="CTC147" s="1785"/>
      <c r="CTD147" s="1785"/>
      <c r="CTE147" s="1785"/>
      <c r="CTF147" s="1785"/>
      <c r="CTG147" s="1785"/>
      <c r="CTH147" s="1785"/>
      <c r="CTI147" s="1785"/>
      <c r="CTJ147" s="1785"/>
      <c r="CTK147" s="1785"/>
      <c r="CTL147" s="1785"/>
      <c r="CTM147" s="1785"/>
      <c r="CTN147" s="1785"/>
      <c r="CTO147" s="1785"/>
      <c r="CTP147" s="1785"/>
      <c r="CTQ147" s="1785"/>
      <c r="CTR147" s="1785"/>
      <c r="CTS147" s="1785"/>
      <c r="CTT147" s="1785"/>
      <c r="CTU147" s="1785"/>
      <c r="CTV147" s="1785"/>
      <c r="CTW147" s="1785"/>
      <c r="CTX147" s="1785"/>
      <c r="CTY147" s="1785"/>
      <c r="CTZ147" s="1785"/>
      <c r="CUA147" s="1785"/>
      <c r="CUB147" s="1785"/>
      <c r="CUC147" s="1785"/>
      <c r="CUD147" s="1785"/>
      <c r="CUE147" s="1785"/>
      <c r="CUF147" s="1785"/>
      <c r="CUG147" s="1785"/>
      <c r="CUH147" s="1785"/>
      <c r="CUI147" s="1785"/>
      <c r="CUJ147" s="1785"/>
      <c r="CUK147" s="1785"/>
      <c r="CUL147" s="1785"/>
      <c r="CUM147" s="1785"/>
      <c r="CUN147" s="1785"/>
      <c r="CUO147" s="1785"/>
      <c r="CUP147" s="1785"/>
      <c r="CUQ147" s="1785"/>
      <c r="CUR147" s="1785"/>
      <c r="CUS147" s="1785"/>
      <c r="CUT147" s="1785"/>
      <c r="CUU147" s="1785"/>
      <c r="CUV147" s="1785"/>
      <c r="CUW147" s="1785"/>
      <c r="CUX147" s="1785"/>
      <c r="CUY147" s="1785"/>
      <c r="CUZ147" s="1785"/>
      <c r="CVA147" s="1785"/>
      <c r="CVB147" s="1785"/>
      <c r="CVC147" s="1785"/>
      <c r="CVD147" s="1785"/>
      <c r="CVE147" s="1785"/>
      <c r="CVF147" s="1785"/>
      <c r="CVG147" s="1785"/>
      <c r="CVH147" s="1785"/>
      <c r="CVI147" s="1785"/>
      <c r="CVJ147" s="1785"/>
      <c r="CVK147" s="1785"/>
      <c r="CVL147" s="1785"/>
      <c r="CVM147" s="1785"/>
      <c r="CVN147" s="1785"/>
      <c r="CVO147" s="1785"/>
      <c r="CVP147" s="1785"/>
      <c r="CVQ147" s="1785"/>
      <c r="CVR147" s="1785"/>
      <c r="CVS147" s="1785"/>
      <c r="CVT147" s="1785"/>
      <c r="CVU147" s="1785"/>
      <c r="CVV147" s="1785"/>
      <c r="CVW147" s="1785"/>
      <c r="CVX147" s="1785"/>
      <c r="CVY147" s="1785"/>
      <c r="CVZ147" s="1785"/>
      <c r="CWA147" s="1785"/>
      <c r="CWB147" s="1785"/>
      <c r="CWC147" s="1785"/>
      <c r="CWD147" s="1785"/>
      <c r="CWE147" s="1785"/>
      <c r="CWF147" s="1785"/>
      <c r="CWG147" s="1785"/>
      <c r="CWH147" s="1785"/>
      <c r="CWI147" s="1785"/>
      <c r="CWJ147" s="1785"/>
      <c r="CWK147" s="1785"/>
      <c r="CWL147" s="1785"/>
      <c r="CWM147" s="1785"/>
      <c r="CWN147" s="1785"/>
      <c r="CWO147" s="1785"/>
      <c r="CWP147" s="1785"/>
      <c r="CWQ147" s="1785"/>
      <c r="CWR147" s="1785"/>
      <c r="CWS147" s="1785"/>
      <c r="CWT147" s="1785"/>
      <c r="CWU147" s="1785"/>
      <c r="CWV147" s="1785"/>
      <c r="CWW147" s="1785"/>
      <c r="CWX147" s="1785"/>
      <c r="CWY147" s="1785"/>
      <c r="CWZ147" s="1785"/>
      <c r="CXA147" s="1785"/>
      <c r="CXB147" s="1785"/>
      <c r="CXC147" s="1785"/>
      <c r="CXD147" s="1785"/>
      <c r="CXE147" s="1785"/>
      <c r="CXF147" s="1785"/>
      <c r="CXG147" s="1785"/>
      <c r="CXH147" s="1785"/>
      <c r="CXI147" s="1785"/>
      <c r="CXJ147" s="1785"/>
      <c r="CXK147" s="1785"/>
      <c r="CXL147" s="1785"/>
      <c r="CXM147" s="1785"/>
      <c r="CXN147" s="1785"/>
      <c r="CXO147" s="1785"/>
      <c r="CXP147" s="1785"/>
      <c r="CXQ147" s="1785"/>
      <c r="CXR147" s="1785"/>
      <c r="CXS147" s="1785"/>
      <c r="CXT147" s="1785"/>
      <c r="CXU147" s="1785"/>
      <c r="CXV147" s="1785"/>
      <c r="CXW147" s="1785"/>
      <c r="CXX147" s="1785"/>
      <c r="CXY147" s="1785"/>
      <c r="CXZ147" s="1785"/>
      <c r="CYA147" s="1785"/>
      <c r="CYB147" s="1785"/>
      <c r="CYC147" s="1785"/>
      <c r="CYD147" s="1785"/>
      <c r="CYE147" s="1785"/>
      <c r="CYF147" s="1785"/>
      <c r="CYG147" s="1785"/>
      <c r="CYH147" s="1785"/>
      <c r="CYI147" s="1785"/>
      <c r="CYJ147" s="1785"/>
      <c r="CYK147" s="1785"/>
      <c r="CYL147" s="1785"/>
      <c r="CYM147" s="1785"/>
      <c r="CYN147" s="1785"/>
      <c r="CYO147" s="1785"/>
      <c r="CYP147" s="1785"/>
      <c r="CYQ147" s="1785"/>
      <c r="CYR147" s="1785"/>
      <c r="CYS147" s="1785"/>
      <c r="CYT147" s="1785"/>
      <c r="CYU147" s="1785"/>
      <c r="CYV147" s="1785"/>
      <c r="CYW147" s="1785"/>
      <c r="CYX147" s="1785"/>
      <c r="CYY147" s="1785"/>
      <c r="CYZ147" s="1785"/>
      <c r="CZA147" s="1785"/>
      <c r="CZB147" s="1785"/>
      <c r="CZC147" s="1785"/>
      <c r="CZD147" s="1785"/>
      <c r="CZE147" s="1785"/>
      <c r="CZF147" s="1785"/>
      <c r="CZG147" s="1785"/>
      <c r="CZH147" s="1785"/>
      <c r="CZI147" s="1785"/>
      <c r="CZJ147" s="1785"/>
      <c r="CZK147" s="1785"/>
      <c r="CZL147" s="1785"/>
      <c r="CZM147" s="1785"/>
      <c r="CZN147" s="1785"/>
      <c r="CZO147" s="1785"/>
      <c r="CZP147" s="1785"/>
      <c r="CZQ147" s="1785"/>
      <c r="CZR147" s="1785"/>
      <c r="CZS147" s="1785"/>
      <c r="CZT147" s="1785"/>
      <c r="CZU147" s="1785"/>
      <c r="CZV147" s="1785"/>
      <c r="CZW147" s="1785"/>
      <c r="CZX147" s="1785"/>
      <c r="CZY147" s="1785"/>
      <c r="CZZ147" s="1785"/>
      <c r="DAA147" s="1785"/>
      <c r="DAB147" s="1785"/>
      <c r="DAC147" s="1785"/>
      <c r="DAD147" s="1785"/>
      <c r="DAE147" s="1785"/>
      <c r="DAF147" s="1785"/>
      <c r="DAG147" s="1785"/>
      <c r="DAH147" s="1785"/>
      <c r="DAI147" s="1785"/>
      <c r="DAJ147" s="1785"/>
      <c r="DAK147" s="1785"/>
      <c r="DAL147" s="1785"/>
      <c r="DAM147" s="1785"/>
      <c r="DAN147" s="1785"/>
      <c r="DAO147" s="1785"/>
    </row>
    <row r="148" spans="1:2745" s="1915" customFormat="1" x14ac:dyDescent="0.2">
      <c r="A148" s="1896"/>
      <c r="B148" s="1897"/>
      <c r="C148" s="1898"/>
      <c r="D148" s="1899"/>
      <c r="E148" s="1900"/>
      <c r="F148" s="1901"/>
      <c r="G148" s="1900"/>
      <c r="H148" s="1900"/>
      <c r="I148" s="1901"/>
      <c r="J148" s="1902"/>
      <c r="K148" s="1903"/>
      <c r="L148" s="1903"/>
      <c r="M148" s="1902"/>
      <c r="N148" s="1902"/>
      <c r="O148" s="1902"/>
      <c r="P148" s="1903"/>
      <c r="Q148" s="1904"/>
      <c r="R148" s="1905"/>
      <c r="S148" s="1903"/>
      <c r="T148" s="1903"/>
      <c r="U148" s="1906"/>
      <c r="V148" s="1905"/>
      <c r="W148" s="1907"/>
      <c r="X148" s="1908"/>
      <c r="Y148" s="1909"/>
      <c r="Z148" s="1910"/>
      <c r="AA148" s="1911"/>
      <c r="AB148" s="1911"/>
      <c r="AC148" s="1911"/>
      <c r="AD148" s="1911"/>
      <c r="AE148" s="1911"/>
      <c r="AF148" s="1911"/>
      <c r="AG148" s="1911"/>
      <c r="AH148" s="1911"/>
      <c r="AI148" s="1911"/>
      <c r="AJ148" s="1911"/>
      <c r="AK148" s="1911"/>
      <c r="AL148" s="1911"/>
      <c r="AM148" s="1911"/>
      <c r="AN148" s="1911"/>
      <c r="AO148" s="1911"/>
      <c r="AP148" s="1911"/>
      <c r="AQ148" s="1911"/>
      <c r="AR148" s="1911"/>
      <c r="AS148" s="1911"/>
      <c r="AT148" s="1911"/>
      <c r="AU148" s="1911"/>
      <c r="AV148" s="1911"/>
      <c r="AW148" s="1911"/>
      <c r="AX148" s="1911"/>
      <c r="AY148" s="1911"/>
      <c r="AZ148" s="1911"/>
      <c r="BA148" s="1911"/>
      <c r="BB148" s="1911"/>
      <c r="BC148" s="1911"/>
      <c r="BD148" s="1911"/>
      <c r="BE148" s="1911"/>
      <c r="BF148" s="1911"/>
      <c r="BG148" s="1911"/>
      <c r="BH148" s="1911"/>
      <c r="BI148" s="1911"/>
      <c r="BJ148" s="1911"/>
      <c r="BK148" s="1911"/>
      <c r="BL148" s="1911"/>
      <c r="BM148" s="1912"/>
      <c r="BN148" s="1912"/>
      <c r="BO148" s="1912"/>
      <c r="BP148" s="1913"/>
      <c r="BQ148" s="1914"/>
      <c r="BR148" s="1785"/>
      <c r="BS148" s="1785"/>
      <c r="BT148" s="1785"/>
      <c r="BU148" s="1785"/>
      <c r="BV148" s="1785"/>
      <c r="BW148" s="1785"/>
      <c r="BX148" s="1785"/>
      <c r="BY148" s="1785"/>
      <c r="BZ148" s="1785"/>
      <c r="CA148" s="1785"/>
      <c r="CB148" s="1785"/>
      <c r="CC148" s="1785"/>
      <c r="CD148" s="1785"/>
      <c r="CE148" s="1785"/>
      <c r="CF148" s="1785"/>
      <c r="CG148" s="1785"/>
      <c r="CH148" s="1785"/>
      <c r="CI148" s="1785"/>
      <c r="CJ148" s="1785"/>
      <c r="CK148" s="1785"/>
      <c r="CL148" s="1785"/>
      <c r="CM148" s="1785"/>
      <c r="CN148" s="1785"/>
      <c r="CO148" s="1785"/>
      <c r="CP148" s="1785"/>
      <c r="CQ148" s="1785"/>
      <c r="CR148" s="1785"/>
      <c r="CS148" s="1785"/>
      <c r="CT148" s="1785"/>
      <c r="CU148" s="1785"/>
      <c r="CV148" s="1785"/>
      <c r="CW148" s="1785"/>
      <c r="CX148" s="1785"/>
      <c r="CY148" s="1785"/>
      <c r="CZ148" s="1785"/>
      <c r="DA148" s="1785"/>
      <c r="DB148" s="1785"/>
      <c r="DC148" s="1785"/>
      <c r="DD148" s="1785"/>
      <c r="DE148" s="1785"/>
      <c r="DF148" s="1785"/>
      <c r="DG148" s="1785"/>
      <c r="DH148" s="1785"/>
      <c r="DI148" s="1785"/>
      <c r="DJ148" s="1785"/>
      <c r="DK148" s="1785"/>
      <c r="DL148" s="1785"/>
      <c r="DM148" s="1785"/>
      <c r="DN148" s="1785"/>
      <c r="DO148" s="1785"/>
      <c r="DP148" s="1785"/>
      <c r="DQ148" s="1785"/>
      <c r="DR148" s="1785"/>
      <c r="DS148" s="1785"/>
      <c r="DT148" s="1785"/>
      <c r="DU148" s="1785"/>
      <c r="FB148" s="1785"/>
      <c r="FC148" s="1785"/>
      <c r="FD148" s="1785"/>
      <c r="FE148" s="1785"/>
      <c r="FF148" s="1785"/>
      <c r="FG148" s="1785"/>
      <c r="FH148" s="1785"/>
      <c r="FI148" s="1785"/>
      <c r="FJ148" s="1785"/>
      <c r="FK148" s="1785"/>
      <c r="FL148" s="1785"/>
      <c r="FM148" s="1785"/>
      <c r="FN148" s="1785"/>
      <c r="FO148" s="1785"/>
      <c r="FP148" s="1785"/>
      <c r="FQ148" s="1785"/>
      <c r="FR148" s="1785"/>
      <c r="FS148" s="1785"/>
      <c r="FT148" s="1785"/>
      <c r="FU148" s="1785"/>
      <c r="FV148" s="1785"/>
      <c r="FW148" s="1785"/>
      <c r="FX148" s="1785"/>
      <c r="FY148" s="1785"/>
      <c r="FZ148" s="1785"/>
      <c r="GA148" s="1785"/>
      <c r="GB148" s="1785"/>
      <c r="GC148" s="1785"/>
      <c r="GD148" s="1785"/>
      <c r="GE148" s="1785"/>
      <c r="GF148" s="1785"/>
      <c r="GG148" s="1785"/>
      <c r="GH148" s="1785"/>
      <c r="GI148" s="1785"/>
      <c r="GJ148" s="1785"/>
      <c r="GK148" s="1785"/>
      <c r="GL148" s="1785"/>
      <c r="GM148" s="1785"/>
      <c r="GN148" s="1785"/>
      <c r="GO148" s="1785"/>
      <c r="GP148" s="1785"/>
      <c r="GQ148" s="1785"/>
      <c r="GR148" s="1785"/>
      <c r="GS148" s="1785"/>
      <c r="GT148" s="1785"/>
      <c r="GU148" s="1785"/>
      <c r="GV148" s="1785"/>
      <c r="GW148" s="1785"/>
      <c r="GX148" s="1785"/>
      <c r="GY148" s="1785"/>
      <c r="GZ148" s="1785"/>
      <c r="HA148" s="1785"/>
      <c r="HB148" s="1785"/>
      <c r="HC148" s="1785"/>
      <c r="HD148" s="1785"/>
      <c r="HE148" s="1785"/>
      <c r="HF148" s="1785"/>
      <c r="HG148" s="1785"/>
      <c r="HH148" s="1785"/>
      <c r="HI148" s="1785"/>
      <c r="HJ148" s="1785"/>
      <c r="HK148" s="1785"/>
      <c r="HL148" s="1785"/>
      <c r="HM148" s="1785"/>
      <c r="HN148" s="1785"/>
      <c r="HO148" s="1785"/>
      <c r="HP148" s="1785"/>
      <c r="HQ148" s="1785"/>
      <c r="HR148" s="1785"/>
      <c r="HS148" s="1785"/>
      <c r="HT148" s="1785"/>
      <c r="HU148" s="1785"/>
      <c r="HV148" s="1785"/>
      <c r="HW148" s="1785"/>
      <c r="HX148" s="1785"/>
      <c r="HY148" s="1785"/>
      <c r="HZ148" s="1785"/>
      <c r="IA148" s="1785"/>
      <c r="IB148" s="1785"/>
      <c r="IC148" s="1785"/>
      <c r="ID148" s="1785"/>
      <c r="IE148" s="1785"/>
      <c r="IF148" s="1785"/>
      <c r="IG148" s="1785"/>
      <c r="IH148" s="1785"/>
      <c r="II148" s="1785"/>
      <c r="IJ148" s="1785"/>
      <c r="IK148" s="1785"/>
      <c r="IL148" s="1785"/>
      <c r="IM148" s="1785"/>
      <c r="IN148" s="1785"/>
      <c r="IO148" s="1785"/>
      <c r="IP148" s="1785"/>
      <c r="IQ148" s="1785"/>
      <c r="IR148" s="1785"/>
      <c r="IS148" s="1785"/>
      <c r="IT148" s="1785"/>
      <c r="IU148" s="1785"/>
      <c r="IV148" s="1785"/>
      <c r="IW148" s="1785"/>
      <c r="IX148" s="1785"/>
      <c r="IY148" s="1785"/>
      <c r="IZ148" s="1785"/>
      <c r="JA148" s="1785"/>
      <c r="JB148" s="1785"/>
      <c r="JC148" s="1785"/>
      <c r="JD148" s="1785"/>
      <c r="JE148" s="1785"/>
      <c r="JF148" s="1785"/>
      <c r="JG148" s="1785"/>
      <c r="JH148" s="1785"/>
      <c r="JI148" s="1785"/>
      <c r="JJ148" s="1785"/>
      <c r="JK148" s="1785"/>
      <c r="JL148" s="1785"/>
      <c r="JM148" s="1785"/>
      <c r="JN148" s="1785"/>
      <c r="JO148" s="1785"/>
      <c r="JP148" s="1785"/>
      <c r="JQ148" s="1785"/>
      <c r="JR148" s="1785"/>
      <c r="JS148" s="1785"/>
      <c r="JT148" s="1785"/>
      <c r="JU148" s="1785"/>
      <c r="JV148" s="1785"/>
      <c r="JW148" s="1785"/>
      <c r="JX148" s="1785"/>
      <c r="JY148" s="1785"/>
      <c r="JZ148" s="1785"/>
      <c r="KA148" s="1785"/>
      <c r="KB148" s="1785"/>
      <c r="KC148" s="1785"/>
      <c r="KD148" s="1785"/>
      <c r="KE148" s="1785"/>
      <c r="KF148" s="1785"/>
      <c r="KG148" s="1785"/>
      <c r="KH148" s="1785"/>
      <c r="KI148" s="1785"/>
      <c r="KJ148" s="1785"/>
      <c r="KK148" s="1785"/>
      <c r="KL148" s="1785"/>
      <c r="KM148" s="1785"/>
      <c r="KN148" s="1785"/>
      <c r="KO148" s="1785"/>
      <c r="KP148" s="1785"/>
      <c r="KQ148" s="1785"/>
      <c r="KR148" s="1785"/>
      <c r="LM148" s="1785"/>
      <c r="LN148" s="1785"/>
      <c r="LO148" s="1785"/>
      <c r="LP148" s="1785"/>
      <c r="LQ148" s="1785"/>
      <c r="LR148" s="1785"/>
      <c r="LS148" s="1785"/>
      <c r="LT148" s="1785"/>
      <c r="LU148" s="1785"/>
      <c r="LV148" s="1785"/>
      <c r="LW148" s="1785"/>
      <c r="LX148" s="1785"/>
      <c r="LY148" s="1785"/>
      <c r="LZ148" s="1785"/>
      <c r="MA148" s="1785"/>
      <c r="MB148" s="1785"/>
      <c r="MC148" s="1785"/>
      <c r="MD148" s="1785"/>
      <c r="ME148" s="1785"/>
      <c r="MF148" s="1785"/>
      <c r="MG148" s="1785"/>
      <c r="MH148" s="1785"/>
      <c r="MI148" s="1785"/>
      <c r="MJ148" s="1785"/>
      <c r="MK148" s="1785"/>
      <c r="ML148" s="1785"/>
      <c r="MM148" s="1785"/>
      <c r="MN148" s="1785"/>
      <c r="MO148" s="1785"/>
      <c r="MP148" s="1785"/>
      <c r="MQ148" s="1785"/>
      <c r="MR148" s="1785"/>
      <c r="MS148" s="1785"/>
      <c r="MT148" s="1785"/>
      <c r="MU148" s="1785"/>
      <c r="MV148" s="1785"/>
      <c r="MW148" s="1785"/>
      <c r="MX148" s="1785"/>
      <c r="MY148" s="1785"/>
      <c r="MZ148" s="1785"/>
      <c r="CZR148" s="1785"/>
      <c r="CZS148" s="1785"/>
      <c r="CZT148" s="1785"/>
      <c r="CZU148" s="1785"/>
      <c r="CZV148" s="1785"/>
      <c r="CZW148" s="1785"/>
      <c r="CZX148" s="1785"/>
      <c r="CZY148" s="1785"/>
      <c r="CZZ148" s="1785"/>
      <c r="DAA148" s="1785"/>
      <c r="DAB148" s="1785"/>
      <c r="DAC148" s="1785"/>
      <c r="DAD148" s="1785"/>
      <c r="DAE148" s="1785"/>
      <c r="DAF148" s="1785"/>
      <c r="DAG148" s="1785"/>
      <c r="DAH148" s="1785"/>
      <c r="DAI148" s="1785"/>
      <c r="DAJ148" s="1785"/>
      <c r="DAK148" s="1785"/>
      <c r="DAL148" s="1785"/>
      <c r="DAM148" s="1785"/>
      <c r="DAN148" s="1785"/>
      <c r="DAO148" s="1785"/>
    </row>
    <row r="149" spans="1:2745" ht="15" x14ac:dyDescent="0.2">
      <c r="A149" s="1793"/>
      <c r="B149" s="1794"/>
      <c r="C149" s="1795"/>
      <c r="D149" s="1848"/>
      <c r="E149" s="1848"/>
      <c r="F149" s="1795"/>
      <c r="G149" s="1916">
        <v>41</v>
      </c>
      <c r="H149" s="1917" t="s">
        <v>1635</v>
      </c>
      <c r="I149" s="1917"/>
      <c r="J149" s="1799"/>
      <c r="K149" s="1800"/>
      <c r="L149" s="1800"/>
      <c r="M149" s="1799"/>
      <c r="N149" s="1801"/>
      <c r="O149" s="1799"/>
      <c r="P149" s="1800"/>
      <c r="Q149" s="1799"/>
      <c r="R149" s="1835"/>
      <c r="S149" s="1800"/>
      <c r="T149" s="1800"/>
      <c r="U149" s="1800"/>
      <c r="V149" s="1836"/>
      <c r="W149" s="1918"/>
      <c r="X149" s="1836"/>
      <c r="Y149" s="1837"/>
      <c r="Z149" s="1801"/>
      <c r="AA149" s="1801"/>
      <c r="AB149" s="1801"/>
      <c r="AC149" s="1801"/>
      <c r="AD149" s="1801"/>
      <c r="AE149" s="1801"/>
      <c r="AF149" s="1801"/>
      <c r="AG149" s="1801"/>
      <c r="AH149" s="1801"/>
      <c r="AI149" s="1801"/>
      <c r="AJ149" s="1801"/>
      <c r="AK149" s="1801"/>
      <c r="AL149" s="1801"/>
      <c r="AM149" s="1801"/>
      <c r="AN149" s="1801"/>
      <c r="AO149" s="1801"/>
      <c r="AP149" s="1801"/>
      <c r="AQ149" s="1801"/>
      <c r="AR149" s="1801"/>
      <c r="AS149" s="1801"/>
      <c r="AT149" s="1801"/>
      <c r="AU149" s="1801"/>
      <c r="AV149" s="1801"/>
      <c r="AW149" s="1801"/>
      <c r="AX149" s="1801"/>
      <c r="AY149" s="1801"/>
      <c r="AZ149" s="1801"/>
      <c r="BA149" s="1801"/>
      <c r="BB149" s="1801"/>
      <c r="BC149" s="1801"/>
      <c r="BD149" s="1801"/>
      <c r="BE149" s="1801"/>
      <c r="BF149" s="1801"/>
      <c r="BG149" s="1801"/>
      <c r="BH149" s="1801"/>
      <c r="BI149" s="1801"/>
      <c r="BJ149" s="1801"/>
      <c r="BK149" s="1801"/>
      <c r="BL149" s="1801"/>
      <c r="BM149" s="1849"/>
      <c r="BN149" s="1849"/>
      <c r="BO149" s="1849"/>
      <c r="BP149" s="1839"/>
      <c r="BQ149" s="1840"/>
    </row>
    <row r="150" spans="1:2745" ht="60" customHeight="1" x14ac:dyDescent="0.2">
      <c r="A150" s="1809"/>
      <c r="B150" s="1810"/>
      <c r="C150" s="1811"/>
      <c r="D150" s="1812"/>
      <c r="E150" s="1812"/>
      <c r="F150" s="1811"/>
      <c r="G150" s="1841"/>
      <c r="H150" s="1842"/>
      <c r="I150" s="1843"/>
      <c r="J150" s="4153">
        <v>147</v>
      </c>
      <c r="K150" s="4135" t="s">
        <v>1636</v>
      </c>
      <c r="L150" s="4135" t="s">
        <v>1637</v>
      </c>
      <c r="M150" s="4122">
        <v>14</v>
      </c>
      <c r="N150" s="4122" t="s">
        <v>1638</v>
      </c>
      <c r="O150" s="4122">
        <v>143</v>
      </c>
      <c r="P150" s="4135" t="s">
        <v>1639</v>
      </c>
      <c r="Q150" s="4132">
        <f>(V150+V151+V152)/R150</f>
        <v>0.5</v>
      </c>
      <c r="R150" s="4134">
        <f>SUM(V150:V156)</f>
        <v>20000000</v>
      </c>
      <c r="S150" s="4135" t="s">
        <v>1640</v>
      </c>
      <c r="T150" s="4135" t="s">
        <v>1641</v>
      </c>
      <c r="U150" s="162" t="s">
        <v>1642</v>
      </c>
      <c r="V150" s="1626">
        <v>6000000</v>
      </c>
      <c r="W150" s="1626">
        <v>0</v>
      </c>
      <c r="X150" s="1626">
        <v>0</v>
      </c>
      <c r="Y150" s="1816">
        <v>61</v>
      </c>
      <c r="Z150" s="1875" t="s">
        <v>1609</v>
      </c>
      <c r="AA150" s="4212">
        <v>292684</v>
      </c>
      <c r="AB150" s="4212">
        <v>0</v>
      </c>
      <c r="AC150" s="4212">
        <v>282326</v>
      </c>
      <c r="AD150" s="4212">
        <v>0</v>
      </c>
      <c r="AE150" s="4212">
        <v>135912</v>
      </c>
      <c r="AF150" s="4212">
        <v>0</v>
      </c>
      <c r="AG150" s="4212">
        <v>45122</v>
      </c>
      <c r="AH150" s="4212">
        <v>0</v>
      </c>
      <c r="AI150" s="4212">
        <v>307101</v>
      </c>
      <c r="AJ150" s="4212">
        <v>0</v>
      </c>
      <c r="AK150" s="4212">
        <v>86875</v>
      </c>
      <c r="AL150" s="4212">
        <v>0</v>
      </c>
      <c r="AM150" s="4212">
        <v>2145</v>
      </c>
      <c r="AN150" s="4212">
        <v>0</v>
      </c>
      <c r="AO150" s="4212">
        <v>12718</v>
      </c>
      <c r="AP150" s="4212">
        <v>0</v>
      </c>
      <c r="AQ150" s="4212">
        <v>26</v>
      </c>
      <c r="AR150" s="4212">
        <v>0</v>
      </c>
      <c r="AS150" s="4212">
        <v>37</v>
      </c>
      <c r="AT150" s="4212">
        <v>0</v>
      </c>
      <c r="AU150" s="4212">
        <v>0</v>
      </c>
      <c r="AV150" s="4212">
        <v>0</v>
      </c>
      <c r="AW150" s="4212">
        <v>0</v>
      </c>
      <c r="AX150" s="4212">
        <v>0</v>
      </c>
      <c r="AY150" s="4212">
        <v>0</v>
      </c>
      <c r="AZ150" s="4212">
        <v>0</v>
      </c>
      <c r="BA150" s="4212">
        <v>41.542999999999999</v>
      </c>
      <c r="BB150" s="4212">
        <v>0</v>
      </c>
      <c r="BC150" s="4212">
        <v>88.56</v>
      </c>
      <c r="BD150" s="4212">
        <v>0</v>
      </c>
      <c r="BE150" s="4212">
        <v>575010</v>
      </c>
      <c r="BF150" s="4212">
        <v>0</v>
      </c>
      <c r="BG150" s="4212">
        <v>0</v>
      </c>
      <c r="BH150" s="4218">
        <v>0</v>
      </c>
      <c r="BI150" s="4218">
        <v>0</v>
      </c>
      <c r="BJ150" s="4209">
        <v>0</v>
      </c>
      <c r="BK150" s="4212">
        <v>61</v>
      </c>
      <c r="BL150" s="4213" t="s">
        <v>1466</v>
      </c>
      <c r="BM150" s="4214">
        <v>43467</v>
      </c>
      <c r="BN150" s="4214">
        <v>44196</v>
      </c>
      <c r="BO150" s="4214">
        <v>43830</v>
      </c>
      <c r="BP150" s="4126">
        <v>44196</v>
      </c>
      <c r="BQ150" s="4167" t="s">
        <v>1432</v>
      </c>
    </row>
    <row r="151" spans="1:2745" ht="60" customHeight="1" x14ac:dyDescent="0.2">
      <c r="A151" s="1809"/>
      <c r="B151" s="1810"/>
      <c r="C151" s="1811"/>
      <c r="D151" s="1812"/>
      <c r="E151" s="1812"/>
      <c r="F151" s="1811"/>
      <c r="G151" s="1809"/>
      <c r="H151" s="1812"/>
      <c r="I151" s="1811"/>
      <c r="J151" s="4154"/>
      <c r="K151" s="4136"/>
      <c r="L151" s="4136"/>
      <c r="M151" s="4123"/>
      <c r="N151" s="4123"/>
      <c r="O151" s="4123"/>
      <c r="P151" s="4136"/>
      <c r="Q151" s="4133"/>
      <c r="R151" s="2908"/>
      <c r="S151" s="4136"/>
      <c r="T151" s="4136"/>
      <c r="U151" s="161" t="s">
        <v>1643</v>
      </c>
      <c r="V151" s="1626">
        <v>2000000</v>
      </c>
      <c r="W151" s="1626">
        <v>0</v>
      </c>
      <c r="X151" s="1626">
        <v>0</v>
      </c>
      <c r="Y151" s="1816">
        <v>61</v>
      </c>
      <c r="Z151" s="1875" t="s">
        <v>1609</v>
      </c>
      <c r="AA151" s="2858"/>
      <c r="AB151" s="2858"/>
      <c r="AC151" s="2858"/>
      <c r="AD151" s="2858"/>
      <c r="AE151" s="2858"/>
      <c r="AF151" s="2858"/>
      <c r="AG151" s="2858"/>
      <c r="AH151" s="2858"/>
      <c r="AI151" s="2858"/>
      <c r="AJ151" s="2858"/>
      <c r="AK151" s="2858"/>
      <c r="AL151" s="2858"/>
      <c r="AM151" s="2858"/>
      <c r="AN151" s="2858"/>
      <c r="AO151" s="2858"/>
      <c r="AP151" s="2858"/>
      <c r="AQ151" s="2858"/>
      <c r="AR151" s="2858"/>
      <c r="AS151" s="2858"/>
      <c r="AT151" s="2858"/>
      <c r="AU151" s="2858"/>
      <c r="AV151" s="2858"/>
      <c r="AW151" s="2858"/>
      <c r="AX151" s="2858"/>
      <c r="AY151" s="2858"/>
      <c r="AZ151" s="2858"/>
      <c r="BA151" s="2858"/>
      <c r="BB151" s="2858"/>
      <c r="BC151" s="2858"/>
      <c r="BD151" s="2858"/>
      <c r="BE151" s="2858"/>
      <c r="BF151" s="2858"/>
      <c r="BG151" s="2858"/>
      <c r="BH151" s="4219"/>
      <c r="BI151" s="4219"/>
      <c r="BJ151" s="4210"/>
      <c r="BK151" s="2858"/>
      <c r="BL151" s="2896"/>
      <c r="BM151" s="3052"/>
      <c r="BN151" s="3052"/>
      <c r="BO151" s="3052"/>
      <c r="BP151" s="4127"/>
      <c r="BQ151" s="4168"/>
    </row>
    <row r="152" spans="1:2745" ht="60" customHeight="1" x14ac:dyDescent="0.2">
      <c r="A152" s="1809"/>
      <c r="B152" s="1810"/>
      <c r="C152" s="1811"/>
      <c r="D152" s="1812"/>
      <c r="E152" s="1812"/>
      <c r="F152" s="1811"/>
      <c r="G152" s="1809"/>
      <c r="H152" s="1812"/>
      <c r="I152" s="1811"/>
      <c r="J152" s="4155"/>
      <c r="K152" s="4137"/>
      <c r="L152" s="4137"/>
      <c r="M152" s="4171"/>
      <c r="N152" s="4123"/>
      <c r="O152" s="4123"/>
      <c r="P152" s="4136"/>
      <c r="Q152" s="4175"/>
      <c r="R152" s="2908"/>
      <c r="S152" s="4136"/>
      <c r="T152" s="4137"/>
      <c r="U152" s="161" t="s">
        <v>1644</v>
      </c>
      <c r="V152" s="1626">
        <v>2000000</v>
      </c>
      <c r="W152" s="1626">
        <v>0</v>
      </c>
      <c r="X152" s="1626">
        <v>0</v>
      </c>
      <c r="Y152" s="1816">
        <v>61</v>
      </c>
      <c r="Z152" s="1875" t="s">
        <v>1609</v>
      </c>
      <c r="AA152" s="2858"/>
      <c r="AB152" s="2858"/>
      <c r="AC152" s="2858"/>
      <c r="AD152" s="2858"/>
      <c r="AE152" s="2858"/>
      <c r="AF152" s="2858"/>
      <c r="AG152" s="2858"/>
      <c r="AH152" s="2858"/>
      <c r="AI152" s="2858"/>
      <c r="AJ152" s="2858"/>
      <c r="AK152" s="2858"/>
      <c r="AL152" s="2858"/>
      <c r="AM152" s="2858"/>
      <c r="AN152" s="2858"/>
      <c r="AO152" s="2858"/>
      <c r="AP152" s="2858"/>
      <c r="AQ152" s="2858"/>
      <c r="AR152" s="2858"/>
      <c r="AS152" s="2858"/>
      <c r="AT152" s="2858"/>
      <c r="AU152" s="2858"/>
      <c r="AV152" s="2858"/>
      <c r="AW152" s="2858"/>
      <c r="AX152" s="2858"/>
      <c r="AY152" s="2858"/>
      <c r="AZ152" s="2858"/>
      <c r="BA152" s="2858"/>
      <c r="BB152" s="2858"/>
      <c r="BC152" s="2858"/>
      <c r="BD152" s="2858"/>
      <c r="BE152" s="2858"/>
      <c r="BF152" s="2858"/>
      <c r="BG152" s="2858"/>
      <c r="BH152" s="4219"/>
      <c r="BI152" s="4219"/>
      <c r="BJ152" s="4210"/>
      <c r="BK152" s="2858"/>
      <c r="BL152" s="2896"/>
      <c r="BM152" s="3052"/>
      <c r="BN152" s="3052"/>
      <c r="BO152" s="3052"/>
      <c r="BP152" s="4127"/>
      <c r="BQ152" s="4168"/>
    </row>
    <row r="153" spans="1:2745" ht="60" customHeight="1" x14ac:dyDescent="0.2">
      <c r="A153" s="1809"/>
      <c r="B153" s="1810"/>
      <c r="C153" s="1811"/>
      <c r="D153" s="1812"/>
      <c r="E153" s="1812"/>
      <c r="F153" s="1811"/>
      <c r="G153" s="1809"/>
      <c r="H153" s="1812"/>
      <c r="I153" s="1811"/>
      <c r="J153" s="4153">
        <v>148</v>
      </c>
      <c r="K153" s="4135" t="s">
        <v>1645</v>
      </c>
      <c r="L153" s="4135" t="s">
        <v>1646</v>
      </c>
      <c r="M153" s="4122">
        <v>11</v>
      </c>
      <c r="N153" s="4123"/>
      <c r="O153" s="4123"/>
      <c r="P153" s="4136"/>
      <c r="Q153" s="4132">
        <f>(V153+V154+V155+V156)/R150</f>
        <v>0.5</v>
      </c>
      <c r="R153" s="2908"/>
      <c r="S153" s="4136"/>
      <c r="T153" s="4135" t="s">
        <v>1647</v>
      </c>
      <c r="U153" s="161" t="s">
        <v>1648</v>
      </c>
      <c r="V153" s="1626">
        <v>7000000</v>
      </c>
      <c r="W153" s="1626">
        <v>0</v>
      </c>
      <c r="X153" s="1626">
        <v>0</v>
      </c>
      <c r="Y153" s="1816">
        <v>61</v>
      </c>
      <c r="Z153" s="1875" t="s">
        <v>1609</v>
      </c>
      <c r="AA153" s="2858"/>
      <c r="AB153" s="2858"/>
      <c r="AC153" s="2858"/>
      <c r="AD153" s="2858"/>
      <c r="AE153" s="2858"/>
      <c r="AF153" s="2858"/>
      <c r="AG153" s="2858"/>
      <c r="AH153" s="2858"/>
      <c r="AI153" s="2858"/>
      <c r="AJ153" s="2858"/>
      <c r="AK153" s="2858"/>
      <c r="AL153" s="2858"/>
      <c r="AM153" s="2858"/>
      <c r="AN153" s="2858"/>
      <c r="AO153" s="2858"/>
      <c r="AP153" s="2858"/>
      <c r="AQ153" s="2858"/>
      <c r="AR153" s="2858"/>
      <c r="AS153" s="2858"/>
      <c r="AT153" s="2858"/>
      <c r="AU153" s="2858"/>
      <c r="AV153" s="2858"/>
      <c r="AW153" s="2858"/>
      <c r="AX153" s="2858"/>
      <c r="AY153" s="2858"/>
      <c r="AZ153" s="2858"/>
      <c r="BA153" s="2858"/>
      <c r="BB153" s="2858"/>
      <c r="BC153" s="2858"/>
      <c r="BD153" s="2858"/>
      <c r="BE153" s="2858"/>
      <c r="BF153" s="2858"/>
      <c r="BG153" s="2858"/>
      <c r="BH153" s="4219"/>
      <c r="BI153" s="4219"/>
      <c r="BJ153" s="4210"/>
      <c r="BK153" s="2858"/>
      <c r="BL153" s="2896"/>
      <c r="BM153" s="3052"/>
      <c r="BN153" s="3052"/>
      <c r="BO153" s="3052"/>
      <c r="BP153" s="4127"/>
      <c r="BQ153" s="4168"/>
    </row>
    <row r="154" spans="1:2745" ht="60" customHeight="1" x14ac:dyDescent="0.2">
      <c r="A154" s="1809"/>
      <c r="B154" s="1810"/>
      <c r="C154" s="1811"/>
      <c r="D154" s="1812"/>
      <c r="E154" s="1812"/>
      <c r="F154" s="1811"/>
      <c r="G154" s="1809"/>
      <c r="H154" s="1812"/>
      <c r="I154" s="1811"/>
      <c r="J154" s="4154"/>
      <c r="K154" s="4136"/>
      <c r="L154" s="4136"/>
      <c r="M154" s="4123"/>
      <c r="N154" s="4123"/>
      <c r="O154" s="4123"/>
      <c r="P154" s="4136"/>
      <c r="Q154" s="4133"/>
      <c r="R154" s="2908"/>
      <c r="S154" s="4136"/>
      <c r="T154" s="4136"/>
      <c r="U154" s="161" t="s">
        <v>1649</v>
      </c>
      <c r="V154" s="1626">
        <v>1000000</v>
      </c>
      <c r="W154" s="1626">
        <v>0</v>
      </c>
      <c r="X154" s="1626">
        <v>0</v>
      </c>
      <c r="Y154" s="1816">
        <v>61</v>
      </c>
      <c r="Z154" s="1875" t="s">
        <v>1609</v>
      </c>
      <c r="AA154" s="2858"/>
      <c r="AB154" s="2858"/>
      <c r="AC154" s="2858"/>
      <c r="AD154" s="2858"/>
      <c r="AE154" s="2858"/>
      <c r="AF154" s="2858"/>
      <c r="AG154" s="2858"/>
      <c r="AH154" s="2858"/>
      <c r="AI154" s="2858"/>
      <c r="AJ154" s="2858"/>
      <c r="AK154" s="2858"/>
      <c r="AL154" s="2858"/>
      <c r="AM154" s="2858"/>
      <c r="AN154" s="2858"/>
      <c r="AO154" s="2858"/>
      <c r="AP154" s="2858"/>
      <c r="AQ154" s="2858"/>
      <c r="AR154" s="2858"/>
      <c r="AS154" s="2858"/>
      <c r="AT154" s="2858"/>
      <c r="AU154" s="2858"/>
      <c r="AV154" s="2858"/>
      <c r="AW154" s="2858"/>
      <c r="AX154" s="2858"/>
      <c r="AY154" s="2858"/>
      <c r="AZ154" s="2858"/>
      <c r="BA154" s="2858"/>
      <c r="BB154" s="2858"/>
      <c r="BC154" s="2858"/>
      <c r="BD154" s="2858"/>
      <c r="BE154" s="2858"/>
      <c r="BF154" s="2858"/>
      <c r="BG154" s="2858"/>
      <c r="BH154" s="4219"/>
      <c r="BI154" s="4219"/>
      <c r="BJ154" s="4210"/>
      <c r="BK154" s="2858"/>
      <c r="BL154" s="2896"/>
      <c r="BM154" s="3052"/>
      <c r="BN154" s="3052"/>
      <c r="BO154" s="3052"/>
      <c r="BP154" s="4127"/>
      <c r="BQ154" s="4168"/>
    </row>
    <row r="155" spans="1:2745" ht="60" customHeight="1" x14ac:dyDescent="0.2">
      <c r="A155" s="1809"/>
      <c r="B155" s="1810"/>
      <c r="C155" s="1811"/>
      <c r="D155" s="1812"/>
      <c r="E155" s="1812"/>
      <c r="F155" s="1811"/>
      <c r="G155" s="1809"/>
      <c r="H155" s="1812"/>
      <c r="I155" s="1811"/>
      <c r="J155" s="4154"/>
      <c r="K155" s="4136"/>
      <c r="L155" s="4136"/>
      <c r="M155" s="4123"/>
      <c r="N155" s="4123"/>
      <c r="O155" s="4123"/>
      <c r="P155" s="4136"/>
      <c r="Q155" s="4133"/>
      <c r="R155" s="2908"/>
      <c r="S155" s="4136"/>
      <c r="T155" s="4136"/>
      <c r="U155" s="161" t="s">
        <v>1650</v>
      </c>
      <c r="V155" s="1626">
        <v>1000000</v>
      </c>
      <c r="W155" s="1626">
        <v>0</v>
      </c>
      <c r="X155" s="1626">
        <v>0</v>
      </c>
      <c r="Y155" s="1816">
        <v>61</v>
      </c>
      <c r="Z155" s="1875" t="s">
        <v>1609</v>
      </c>
      <c r="AA155" s="2858"/>
      <c r="AB155" s="2858"/>
      <c r="AC155" s="2858"/>
      <c r="AD155" s="2858"/>
      <c r="AE155" s="2858"/>
      <c r="AF155" s="2858"/>
      <c r="AG155" s="2858"/>
      <c r="AH155" s="2858"/>
      <c r="AI155" s="2858"/>
      <c r="AJ155" s="2858"/>
      <c r="AK155" s="2858"/>
      <c r="AL155" s="2858"/>
      <c r="AM155" s="2858"/>
      <c r="AN155" s="2858"/>
      <c r="AO155" s="2858"/>
      <c r="AP155" s="2858"/>
      <c r="AQ155" s="2858"/>
      <c r="AR155" s="2858"/>
      <c r="AS155" s="2858"/>
      <c r="AT155" s="2858"/>
      <c r="AU155" s="2858"/>
      <c r="AV155" s="2858"/>
      <c r="AW155" s="2858"/>
      <c r="AX155" s="2858"/>
      <c r="AY155" s="2858"/>
      <c r="AZ155" s="2858"/>
      <c r="BA155" s="2858"/>
      <c r="BB155" s="2858"/>
      <c r="BC155" s="2858"/>
      <c r="BD155" s="2858"/>
      <c r="BE155" s="2858"/>
      <c r="BF155" s="2858"/>
      <c r="BG155" s="2858"/>
      <c r="BH155" s="4219"/>
      <c r="BI155" s="4219"/>
      <c r="BJ155" s="4210"/>
      <c r="BK155" s="2858"/>
      <c r="BL155" s="2896"/>
      <c r="BM155" s="3052"/>
      <c r="BN155" s="3052"/>
      <c r="BO155" s="3052"/>
      <c r="BP155" s="4127"/>
      <c r="BQ155" s="4168"/>
    </row>
    <row r="156" spans="1:2745" ht="60" customHeight="1" x14ac:dyDescent="0.2">
      <c r="A156" s="1809"/>
      <c r="B156" s="1810"/>
      <c r="C156" s="1811"/>
      <c r="D156" s="1812"/>
      <c r="E156" s="1812"/>
      <c r="F156" s="1811"/>
      <c r="G156" s="1819"/>
      <c r="H156" s="1817"/>
      <c r="I156" s="1818"/>
      <c r="J156" s="4155"/>
      <c r="K156" s="4137"/>
      <c r="L156" s="4137"/>
      <c r="M156" s="4171"/>
      <c r="N156" s="4171"/>
      <c r="O156" s="4171"/>
      <c r="P156" s="4137"/>
      <c r="Q156" s="4175"/>
      <c r="R156" s="2909"/>
      <c r="S156" s="4137"/>
      <c r="T156" s="4137"/>
      <c r="U156" s="161" t="s">
        <v>1651</v>
      </c>
      <c r="V156" s="1626">
        <v>1000000</v>
      </c>
      <c r="W156" s="1626">
        <v>0</v>
      </c>
      <c r="X156" s="1626">
        <v>0</v>
      </c>
      <c r="Y156" s="1816">
        <v>61</v>
      </c>
      <c r="Z156" s="1875" t="s">
        <v>1609</v>
      </c>
      <c r="AA156" s="2859"/>
      <c r="AB156" s="2859"/>
      <c r="AC156" s="2859"/>
      <c r="AD156" s="2859"/>
      <c r="AE156" s="2859"/>
      <c r="AF156" s="2859"/>
      <c r="AG156" s="2859"/>
      <c r="AH156" s="2859"/>
      <c r="AI156" s="2859"/>
      <c r="AJ156" s="2859"/>
      <c r="AK156" s="2859"/>
      <c r="AL156" s="2859"/>
      <c r="AM156" s="2859"/>
      <c r="AN156" s="2859"/>
      <c r="AO156" s="2859"/>
      <c r="AP156" s="2859"/>
      <c r="AQ156" s="2859"/>
      <c r="AR156" s="2859"/>
      <c r="AS156" s="2859"/>
      <c r="AT156" s="2859"/>
      <c r="AU156" s="2859"/>
      <c r="AV156" s="2859"/>
      <c r="AW156" s="2859"/>
      <c r="AX156" s="2859"/>
      <c r="AY156" s="2859"/>
      <c r="AZ156" s="2859"/>
      <c r="BA156" s="2859"/>
      <c r="BB156" s="2859"/>
      <c r="BC156" s="2859"/>
      <c r="BD156" s="2859"/>
      <c r="BE156" s="2859"/>
      <c r="BF156" s="2859"/>
      <c r="BG156" s="2859"/>
      <c r="BH156" s="4220"/>
      <c r="BI156" s="4220"/>
      <c r="BJ156" s="4211"/>
      <c r="BK156" s="2859"/>
      <c r="BL156" s="2897"/>
      <c r="BM156" s="3053"/>
      <c r="BN156" s="3053"/>
      <c r="BO156" s="3053"/>
      <c r="BP156" s="4166"/>
      <c r="BQ156" s="4169"/>
    </row>
    <row r="157" spans="1:2745" ht="23.25" customHeight="1" x14ac:dyDescent="0.2">
      <c r="A157" s="1793"/>
      <c r="B157" s="1794"/>
      <c r="C157" s="1795"/>
      <c r="D157" s="1848"/>
      <c r="E157" s="1848"/>
      <c r="F157" s="1795"/>
      <c r="G157" s="1834">
        <v>42</v>
      </c>
      <c r="H157" s="1799" t="s">
        <v>1652</v>
      </c>
      <c r="I157" s="1799"/>
      <c r="J157" s="1799"/>
      <c r="K157" s="1800"/>
      <c r="L157" s="1800"/>
      <c r="M157" s="1799"/>
      <c r="N157" s="1801"/>
      <c r="O157" s="1799"/>
      <c r="P157" s="1800"/>
      <c r="Q157" s="1799"/>
      <c r="R157" s="1835"/>
      <c r="S157" s="1800"/>
      <c r="T157" s="1800"/>
      <c r="U157" s="1800"/>
      <c r="V157" s="1836"/>
      <c r="W157" s="1836"/>
      <c r="X157" s="1836"/>
      <c r="Y157" s="1837"/>
      <c r="Z157" s="1801"/>
      <c r="AA157" s="1801"/>
      <c r="AB157" s="1801"/>
      <c r="AC157" s="1801"/>
      <c r="AD157" s="1801"/>
      <c r="AE157" s="1801"/>
      <c r="AF157" s="1801"/>
      <c r="AG157" s="1801"/>
      <c r="AH157" s="1801"/>
      <c r="AI157" s="1801"/>
      <c r="AJ157" s="1801"/>
      <c r="AK157" s="1801"/>
      <c r="AL157" s="1801"/>
      <c r="AM157" s="1801"/>
      <c r="AN157" s="1801"/>
      <c r="AO157" s="1801"/>
      <c r="AP157" s="1801"/>
      <c r="AQ157" s="1801"/>
      <c r="AR157" s="1801"/>
      <c r="AS157" s="1801"/>
      <c r="AT157" s="1801"/>
      <c r="AU157" s="1801"/>
      <c r="AV157" s="1801"/>
      <c r="AW157" s="1801"/>
      <c r="AX157" s="1801"/>
      <c r="AY157" s="1801"/>
      <c r="AZ157" s="1801"/>
      <c r="BA157" s="1801"/>
      <c r="BB157" s="1801"/>
      <c r="BC157" s="1801"/>
      <c r="BD157" s="1801"/>
      <c r="BE157" s="1801"/>
      <c r="BF157" s="1801"/>
      <c r="BG157" s="1801"/>
      <c r="BH157" s="1801"/>
      <c r="BI157" s="1801"/>
      <c r="BJ157" s="1801"/>
      <c r="BK157" s="1801"/>
      <c r="BL157" s="1801"/>
      <c r="BM157" s="1849"/>
      <c r="BN157" s="1849"/>
      <c r="BO157" s="1849"/>
      <c r="BP157" s="1839"/>
      <c r="BQ157" s="1840"/>
    </row>
    <row r="158" spans="1:2745" ht="66" customHeight="1" x14ac:dyDescent="0.2">
      <c r="A158" s="1857"/>
      <c r="B158" s="1858"/>
      <c r="C158" s="1859"/>
      <c r="D158" s="1860"/>
      <c r="E158" s="1860"/>
      <c r="F158" s="1859"/>
      <c r="G158" s="1861"/>
      <c r="H158" s="1862"/>
      <c r="I158" s="1863"/>
      <c r="J158" s="4153">
        <v>149</v>
      </c>
      <c r="K158" s="4147" t="s">
        <v>1653</v>
      </c>
      <c r="L158" s="4147" t="s">
        <v>1654</v>
      </c>
      <c r="M158" s="4153">
        <v>8</v>
      </c>
      <c r="N158" s="4153" t="s">
        <v>1655</v>
      </c>
      <c r="O158" s="4153">
        <v>145</v>
      </c>
      <c r="P158" s="4147" t="s">
        <v>1656</v>
      </c>
      <c r="Q158" s="4204">
        <f>SUM(V158:V163)/R158</f>
        <v>0.63157894736842102</v>
      </c>
      <c r="R158" s="4134">
        <f>SUM(V158:V168)</f>
        <v>76000000</v>
      </c>
      <c r="S158" s="4147" t="s">
        <v>1657</v>
      </c>
      <c r="T158" s="4147" t="s">
        <v>1658</v>
      </c>
      <c r="U158" s="161" t="s">
        <v>1659</v>
      </c>
      <c r="V158" s="1867">
        <v>8000000</v>
      </c>
      <c r="W158" s="1867">
        <v>0</v>
      </c>
      <c r="X158" s="1867">
        <v>0</v>
      </c>
      <c r="Y158" s="1852">
        <v>61</v>
      </c>
      <c r="Z158" s="1875" t="s">
        <v>1609</v>
      </c>
      <c r="AA158" s="4153">
        <v>292684</v>
      </c>
      <c r="AB158" s="4153">
        <v>0</v>
      </c>
      <c r="AC158" s="4153">
        <v>282326</v>
      </c>
      <c r="AD158" s="4153">
        <v>0</v>
      </c>
      <c r="AE158" s="4153">
        <v>135912</v>
      </c>
      <c r="AF158" s="4153">
        <v>0</v>
      </c>
      <c r="AG158" s="4153">
        <v>45122</v>
      </c>
      <c r="AH158" s="4153">
        <v>0</v>
      </c>
      <c r="AI158" s="4153">
        <v>307101</v>
      </c>
      <c r="AJ158" s="4153">
        <v>0</v>
      </c>
      <c r="AK158" s="4153">
        <v>86875</v>
      </c>
      <c r="AL158" s="4153">
        <v>0</v>
      </c>
      <c r="AM158" s="4153">
        <v>2145</v>
      </c>
      <c r="AN158" s="4153">
        <v>0</v>
      </c>
      <c r="AO158" s="4153">
        <v>12718</v>
      </c>
      <c r="AP158" s="4153">
        <v>0</v>
      </c>
      <c r="AQ158" s="4153">
        <v>26</v>
      </c>
      <c r="AR158" s="4153">
        <v>0</v>
      </c>
      <c r="AS158" s="4153">
        <v>37</v>
      </c>
      <c r="AT158" s="4153">
        <v>0</v>
      </c>
      <c r="AU158" s="4153" t="s">
        <v>1164</v>
      </c>
      <c r="AV158" s="4153">
        <v>0</v>
      </c>
      <c r="AW158" s="4153" t="s">
        <v>1164</v>
      </c>
      <c r="AX158" s="4153">
        <v>0</v>
      </c>
      <c r="AY158" s="4153">
        <v>53164</v>
      </c>
      <c r="AZ158" s="4153">
        <v>0</v>
      </c>
      <c r="BA158" s="4153">
        <v>16982</v>
      </c>
      <c r="BB158" s="4153">
        <v>0</v>
      </c>
      <c r="BC158" s="4153">
        <v>60013</v>
      </c>
      <c r="BD158" s="4153">
        <v>0</v>
      </c>
      <c r="BE158" s="4153">
        <v>575010</v>
      </c>
      <c r="BF158" s="4153">
        <v>0</v>
      </c>
      <c r="BG158" s="4153">
        <v>1</v>
      </c>
      <c r="BH158" s="4159">
        <f>SUM(W158:W168)</f>
        <v>6066665</v>
      </c>
      <c r="BI158" s="4159">
        <f>SUM(X158:X168)</f>
        <v>0</v>
      </c>
      <c r="BJ158" s="4160">
        <f>SUM(BI158/R158)</f>
        <v>0</v>
      </c>
      <c r="BK158" s="4153">
        <v>61</v>
      </c>
      <c r="BL158" s="4153" t="s">
        <v>1466</v>
      </c>
      <c r="BM158" s="4156">
        <v>43467</v>
      </c>
      <c r="BN158" s="4156">
        <v>44196</v>
      </c>
      <c r="BO158" s="4156">
        <v>43830</v>
      </c>
      <c r="BP158" s="4156">
        <v>44196</v>
      </c>
      <c r="BQ158" s="4143" t="s">
        <v>1432</v>
      </c>
    </row>
    <row r="159" spans="1:2745" ht="66" customHeight="1" x14ac:dyDescent="0.2">
      <c r="A159" s="1857"/>
      <c r="B159" s="1858"/>
      <c r="C159" s="1859"/>
      <c r="D159" s="1860"/>
      <c r="E159" s="1860"/>
      <c r="F159" s="1859"/>
      <c r="G159" s="1857"/>
      <c r="H159" s="1860"/>
      <c r="I159" s="1859"/>
      <c r="J159" s="4154"/>
      <c r="K159" s="4148"/>
      <c r="L159" s="4148"/>
      <c r="M159" s="4154"/>
      <c r="N159" s="4154"/>
      <c r="O159" s="4154"/>
      <c r="P159" s="4148"/>
      <c r="Q159" s="4205"/>
      <c r="R159" s="2908"/>
      <c r="S159" s="4148"/>
      <c r="T159" s="4148"/>
      <c r="U159" s="161" t="s">
        <v>1660</v>
      </c>
      <c r="V159" s="1867">
        <v>8000000</v>
      </c>
      <c r="W159" s="1867">
        <v>0</v>
      </c>
      <c r="X159" s="1867">
        <v>0</v>
      </c>
      <c r="Y159" s="1852">
        <v>61</v>
      </c>
      <c r="Z159" s="1875" t="s">
        <v>1609</v>
      </c>
      <c r="AA159" s="4154"/>
      <c r="AB159" s="4154"/>
      <c r="AC159" s="4154"/>
      <c r="AD159" s="4154"/>
      <c r="AE159" s="4154"/>
      <c r="AF159" s="4154"/>
      <c r="AG159" s="4154"/>
      <c r="AH159" s="4154"/>
      <c r="AI159" s="4154"/>
      <c r="AJ159" s="4154"/>
      <c r="AK159" s="4154"/>
      <c r="AL159" s="4154"/>
      <c r="AM159" s="4154"/>
      <c r="AN159" s="4154"/>
      <c r="AO159" s="4154"/>
      <c r="AP159" s="4154"/>
      <c r="AQ159" s="4154"/>
      <c r="AR159" s="4154"/>
      <c r="AS159" s="4154"/>
      <c r="AT159" s="4154"/>
      <c r="AU159" s="4154"/>
      <c r="AV159" s="4154"/>
      <c r="AW159" s="4154"/>
      <c r="AX159" s="4154"/>
      <c r="AY159" s="4154"/>
      <c r="AZ159" s="4154"/>
      <c r="BA159" s="4154"/>
      <c r="BB159" s="4154"/>
      <c r="BC159" s="4154"/>
      <c r="BD159" s="4154"/>
      <c r="BE159" s="4154"/>
      <c r="BF159" s="4154"/>
      <c r="BG159" s="4154"/>
      <c r="BH159" s="4154"/>
      <c r="BI159" s="4154"/>
      <c r="BJ159" s="2692"/>
      <c r="BK159" s="4154"/>
      <c r="BL159" s="4154"/>
      <c r="BM159" s="4157"/>
      <c r="BN159" s="4157"/>
      <c r="BO159" s="4157"/>
      <c r="BP159" s="4157"/>
      <c r="BQ159" s="4144"/>
    </row>
    <row r="160" spans="1:2745" ht="66" customHeight="1" x14ac:dyDescent="0.2">
      <c r="A160" s="1857"/>
      <c r="B160" s="1858"/>
      <c r="C160" s="1859"/>
      <c r="D160" s="1860"/>
      <c r="E160" s="1860"/>
      <c r="F160" s="1859"/>
      <c r="G160" s="1857"/>
      <c r="H160" s="1860"/>
      <c r="I160" s="1859"/>
      <c r="J160" s="4154"/>
      <c r="K160" s="4148"/>
      <c r="L160" s="4148"/>
      <c r="M160" s="4154"/>
      <c r="N160" s="4154"/>
      <c r="O160" s="4154"/>
      <c r="P160" s="4148"/>
      <c r="Q160" s="4205"/>
      <c r="R160" s="2908"/>
      <c r="S160" s="4148"/>
      <c r="T160" s="4148"/>
      <c r="U160" s="161" t="s">
        <v>1661</v>
      </c>
      <c r="V160" s="1867">
        <v>8000000</v>
      </c>
      <c r="W160" s="1867">
        <v>0</v>
      </c>
      <c r="X160" s="1867">
        <v>0</v>
      </c>
      <c r="Y160" s="1852">
        <v>61</v>
      </c>
      <c r="Z160" s="1875" t="s">
        <v>1609</v>
      </c>
      <c r="AA160" s="4154"/>
      <c r="AB160" s="4154"/>
      <c r="AC160" s="4154"/>
      <c r="AD160" s="4154"/>
      <c r="AE160" s="4154"/>
      <c r="AF160" s="4154"/>
      <c r="AG160" s="4154"/>
      <c r="AH160" s="4154"/>
      <c r="AI160" s="4154"/>
      <c r="AJ160" s="4154"/>
      <c r="AK160" s="4154"/>
      <c r="AL160" s="4154"/>
      <c r="AM160" s="4154"/>
      <c r="AN160" s="4154"/>
      <c r="AO160" s="4154"/>
      <c r="AP160" s="4154"/>
      <c r="AQ160" s="4154"/>
      <c r="AR160" s="4154"/>
      <c r="AS160" s="4154"/>
      <c r="AT160" s="4154"/>
      <c r="AU160" s="4154"/>
      <c r="AV160" s="4154"/>
      <c r="AW160" s="4154"/>
      <c r="AX160" s="4154"/>
      <c r="AY160" s="4154"/>
      <c r="AZ160" s="4154"/>
      <c r="BA160" s="4154"/>
      <c r="BB160" s="4154"/>
      <c r="BC160" s="4154"/>
      <c r="BD160" s="4154"/>
      <c r="BE160" s="4154"/>
      <c r="BF160" s="4154"/>
      <c r="BG160" s="4154"/>
      <c r="BH160" s="4154"/>
      <c r="BI160" s="4154"/>
      <c r="BJ160" s="2692"/>
      <c r="BK160" s="4154"/>
      <c r="BL160" s="4154"/>
      <c r="BM160" s="4157"/>
      <c r="BN160" s="4157"/>
      <c r="BO160" s="4157"/>
      <c r="BP160" s="4157"/>
      <c r="BQ160" s="4144"/>
    </row>
    <row r="161" spans="1:69" ht="66" customHeight="1" x14ac:dyDescent="0.2">
      <c r="A161" s="1857"/>
      <c r="B161" s="1858"/>
      <c r="C161" s="1859"/>
      <c r="D161" s="1860"/>
      <c r="E161" s="1860"/>
      <c r="F161" s="1859"/>
      <c r="G161" s="1857"/>
      <c r="H161" s="1860"/>
      <c r="I161" s="1859"/>
      <c r="J161" s="4154"/>
      <c r="K161" s="4148"/>
      <c r="L161" s="4148"/>
      <c r="M161" s="4154"/>
      <c r="N161" s="4154"/>
      <c r="O161" s="4154"/>
      <c r="P161" s="4148"/>
      <c r="Q161" s="4205"/>
      <c r="R161" s="2908"/>
      <c r="S161" s="4148"/>
      <c r="T161" s="4148"/>
      <c r="U161" s="161" t="s">
        <v>1662</v>
      </c>
      <c r="V161" s="1867">
        <v>8000000</v>
      </c>
      <c r="W161" s="1867">
        <v>0</v>
      </c>
      <c r="X161" s="1867">
        <v>0</v>
      </c>
      <c r="Y161" s="1852">
        <v>61</v>
      </c>
      <c r="Z161" s="1875" t="s">
        <v>1609</v>
      </c>
      <c r="AA161" s="4154"/>
      <c r="AB161" s="4154"/>
      <c r="AC161" s="4154"/>
      <c r="AD161" s="4154"/>
      <c r="AE161" s="4154"/>
      <c r="AF161" s="4154"/>
      <c r="AG161" s="4154"/>
      <c r="AH161" s="4154"/>
      <c r="AI161" s="4154"/>
      <c r="AJ161" s="4154"/>
      <c r="AK161" s="4154"/>
      <c r="AL161" s="4154"/>
      <c r="AM161" s="4154"/>
      <c r="AN161" s="4154"/>
      <c r="AO161" s="4154"/>
      <c r="AP161" s="4154"/>
      <c r="AQ161" s="4154"/>
      <c r="AR161" s="4154"/>
      <c r="AS161" s="4154"/>
      <c r="AT161" s="4154"/>
      <c r="AU161" s="4154"/>
      <c r="AV161" s="4154"/>
      <c r="AW161" s="4154"/>
      <c r="AX161" s="4154"/>
      <c r="AY161" s="4154"/>
      <c r="AZ161" s="4154"/>
      <c r="BA161" s="4154"/>
      <c r="BB161" s="4154"/>
      <c r="BC161" s="4154"/>
      <c r="BD161" s="4154"/>
      <c r="BE161" s="4154"/>
      <c r="BF161" s="4154"/>
      <c r="BG161" s="4154"/>
      <c r="BH161" s="4154"/>
      <c r="BI161" s="4154"/>
      <c r="BJ161" s="2692"/>
      <c r="BK161" s="4154"/>
      <c r="BL161" s="4154"/>
      <c r="BM161" s="4157"/>
      <c r="BN161" s="4157"/>
      <c r="BO161" s="4157"/>
      <c r="BP161" s="4157"/>
      <c r="BQ161" s="4144"/>
    </row>
    <row r="162" spans="1:69" ht="66" customHeight="1" x14ac:dyDescent="0.2">
      <c r="A162" s="1857"/>
      <c r="B162" s="1858"/>
      <c r="C162" s="1859"/>
      <c r="D162" s="1860"/>
      <c r="E162" s="1860"/>
      <c r="F162" s="1859"/>
      <c r="G162" s="1857"/>
      <c r="H162" s="1860"/>
      <c r="I162" s="1859"/>
      <c r="J162" s="4154"/>
      <c r="K162" s="4148"/>
      <c r="L162" s="4148"/>
      <c r="M162" s="4154"/>
      <c r="N162" s="4154"/>
      <c r="O162" s="4154"/>
      <c r="P162" s="4148"/>
      <c r="Q162" s="4205"/>
      <c r="R162" s="2908"/>
      <c r="S162" s="4148"/>
      <c r="T162" s="4148"/>
      <c r="U162" s="161" t="s">
        <v>1663</v>
      </c>
      <c r="V162" s="1867">
        <v>8000000</v>
      </c>
      <c r="W162" s="1867">
        <v>0</v>
      </c>
      <c r="X162" s="1867">
        <v>0</v>
      </c>
      <c r="Y162" s="1852">
        <v>61</v>
      </c>
      <c r="Z162" s="1875" t="s">
        <v>1609</v>
      </c>
      <c r="AA162" s="4154"/>
      <c r="AB162" s="4154"/>
      <c r="AC162" s="4154"/>
      <c r="AD162" s="4154"/>
      <c r="AE162" s="4154"/>
      <c r="AF162" s="4154"/>
      <c r="AG162" s="4154"/>
      <c r="AH162" s="4154"/>
      <c r="AI162" s="4154"/>
      <c r="AJ162" s="4154"/>
      <c r="AK162" s="4154"/>
      <c r="AL162" s="4154"/>
      <c r="AM162" s="4154"/>
      <c r="AN162" s="4154"/>
      <c r="AO162" s="4154"/>
      <c r="AP162" s="4154"/>
      <c r="AQ162" s="4154"/>
      <c r="AR162" s="4154"/>
      <c r="AS162" s="4154"/>
      <c r="AT162" s="4154"/>
      <c r="AU162" s="4154"/>
      <c r="AV162" s="4154"/>
      <c r="AW162" s="4154"/>
      <c r="AX162" s="4154"/>
      <c r="AY162" s="4154"/>
      <c r="AZ162" s="4154"/>
      <c r="BA162" s="4154"/>
      <c r="BB162" s="4154"/>
      <c r="BC162" s="4154"/>
      <c r="BD162" s="4154"/>
      <c r="BE162" s="4154"/>
      <c r="BF162" s="4154"/>
      <c r="BG162" s="4154"/>
      <c r="BH162" s="4154"/>
      <c r="BI162" s="4154"/>
      <c r="BJ162" s="2692"/>
      <c r="BK162" s="4154"/>
      <c r="BL162" s="4154"/>
      <c r="BM162" s="4157"/>
      <c r="BN162" s="4157"/>
      <c r="BO162" s="4157"/>
      <c r="BP162" s="4157"/>
      <c r="BQ162" s="4144"/>
    </row>
    <row r="163" spans="1:69" ht="66" customHeight="1" x14ac:dyDescent="0.2">
      <c r="A163" s="1857"/>
      <c r="B163" s="1858"/>
      <c r="C163" s="1859"/>
      <c r="D163" s="1860"/>
      <c r="E163" s="1860"/>
      <c r="F163" s="1859"/>
      <c r="G163" s="1857"/>
      <c r="H163" s="1860"/>
      <c r="I163" s="1859"/>
      <c r="J163" s="4154"/>
      <c r="K163" s="4148"/>
      <c r="L163" s="4148"/>
      <c r="M163" s="4154"/>
      <c r="N163" s="4154"/>
      <c r="O163" s="4154"/>
      <c r="P163" s="4148"/>
      <c r="Q163" s="4205"/>
      <c r="R163" s="2908"/>
      <c r="S163" s="4148"/>
      <c r="T163" s="4148"/>
      <c r="U163" s="161" t="s">
        <v>1664</v>
      </c>
      <c r="V163" s="1867">
        <v>8000000</v>
      </c>
      <c r="W163" s="1867">
        <v>0</v>
      </c>
      <c r="X163" s="1867">
        <v>0</v>
      </c>
      <c r="Y163" s="1852"/>
      <c r="Z163" s="1875" t="s">
        <v>1609</v>
      </c>
      <c r="AA163" s="4154"/>
      <c r="AB163" s="4154"/>
      <c r="AC163" s="4154"/>
      <c r="AD163" s="4154"/>
      <c r="AE163" s="4154"/>
      <c r="AF163" s="4154"/>
      <c r="AG163" s="4154"/>
      <c r="AH163" s="4154"/>
      <c r="AI163" s="4154"/>
      <c r="AJ163" s="4154"/>
      <c r="AK163" s="4154"/>
      <c r="AL163" s="4154"/>
      <c r="AM163" s="4154"/>
      <c r="AN163" s="4154"/>
      <c r="AO163" s="4154"/>
      <c r="AP163" s="4154"/>
      <c r="AQ163" s="4154"/>
      <c r="AR163" s="4154"/>
      <c r="AS163" s="4154"/>
      <c r="AT163" s="4154"/>
      <c r="AU163" s="4154"/>
      <c r="AV163" s="4154"/>
      <c r="AW163" s="4154"/>
      <c r="AX163" s="4154"/>
      <c r="AY163" s="4154"/>
      <c r="AZ163" s="4154"/>
      <c r="BA163" s="4154"/>
      <c r="BB163" s="4154"/>
      <c r="BC163" s="4154"/>
      <c r="BD163" s="4154"/>
      <c r="BE163" s="4154"/>
      <c r="BF163" s="4154"/>
      <c r="BG163" s="4154"/>
      <c r="BH163" s="4154"/>
      <c r="BI163" s="4154"/>
      <c r="BJ163" s="2692"/>
      <c r="BK163" s="4154"/>
      <c r="BL163" s="4154"/>
      <c r="BM163" s="4157"/>
      <c r="BN163" s="4157"/>
      <c r="BO163" s="4157"/>
      <c r="BP163" s="4157"/>
      <c r="BQ163" s="4144"/>
    </row>
    <row r="164" spans="1:69" ht="52.5" customHeight="1" x14ac:dyDescent="0.2">
      <c r="A164" s="1857"/>
      <c r="B164" s="1858"/>
      <c r="C164" s="1859"/>
      <c r="D164" s="1860"/>
      <c r="E164" s="1860"/>
      <c r="F164" s="1859"/>
      <c r="G164" s="1857"/>
      <c r="H164" s="1860"/>
      <c r="I164" s="1859"/>
      <c r="J164" s="4153">
        <v>150</v>
      </c>
      <c r="K164" s="4147" t="s">
        <v>1665</v>
      </c>
      <c r="L164" s="4147" t="s">
        <v>1666</v>
      </c>
      <c r="M164" s="4153">
        <v>14</v>
      </c>
      <c r="N164" s="4154"/>
      <c r="O164" s="4154"/>
      <c r="P164" s="4148"/>
      <c r="Q164" s="4204">
        <f>SUM(V164:V168)/R158</f>
        <v>0.36842105263157893</v>
      </c>
      <c r="R164" s="2908"/>
      <c r="S164" s="4148"/>
      <c r="T164" s="4147" t="s">
        <v>1667</v>
      </c>
      <c r="U164" s="161" t="s">
        <v>1668</v>
      </c>
      <c r="V164" s="1867">
        <v>5000000</v>
      </c>
      <c r="W164" s="1867">
        <v>3000000</v>
      </c>
      <c r="X164" s="1867">
        <v>0</v>
      </c>
      <c r="Y164" s="1852">
        <v>61</v>
      </c>
      <c r="Z164" s="1875" t="s">
        <v>1609</v>
      </c>
      <c r="AA164" s="4154"/>
      <c r="AB164" s="4154"/>
      <c r="AC164" s="4154"/>
      <c r="AD164" s="4154"/>
      <c r="AE164" s="4154"/>
      <c r="AF164" s="4154"/>
      <c r="AG164" s="4154"/>
      <c r="AH164" s="4154"/>
      <c r="AI164" s="4154"/>
      <c r="AJ164" s="4154"/>
      <c r="AK164" s="4154"/>
      <c r="AL164" s="4154"/>
      <c r="AM164" s="4154"/>
      <c r="AN164" s="4154"/>
      <c r="AO164" s="4154"/>
      <c r="AP164" s="4154"/>
      <c r="AQ164" s="4154"/>
      <c r="AR164" s="4154"/>
      <c r="AS164" s="4154"/>
      <c r="AT164" s="4154"/>
      <c r="AU164" s="4154"/>
      <c r="AV164" s="4154"/>
      <c r="AW164" s="4154"/>
      <c r="AX164" s="4154"/>
      <c r="AY164" s="4154"/>
      <c r="AZ164" s="4154"/>
      <c r="BA164" s="4154"/>
      <c r="BB164" s="4154"/>
      <c r="BC164" s="4154"/>
      <c r="BD164" s="4154"/>
      <c r="BE164" s="4154"/>
      <c r="BF164" s="4154"/>
      <c r="BG164" s="4154"/>
      <c r="BH164" s="4154"/>
      <c r="BI164" s="4154"/>
      <c r="BJ164" s="2692"/>
      <c r="BK164" s="4154"/>
      <c r="BL164" s="4154"/>
      <c r="BM164" s="4157"/>
      <c r="BN164" s="4157"/>
      <c r="BO164" s="4157"/>
      <c r="BP164" s="4157"/>
      <c r="BQ164" s="4144"/>
    </row>
    <row r="165" spans="1:69" ht="52.5" customHeight="1" x14ac:dyDescent="0.2">
      <c r="A165" s="1857"/>
      <c r="B165" s="1858"/>
      <c r="C165" s="1859"/>
      <c r="D165" s="1860"/>
      <c r="E165" s="1860"/>
      <c r="F165" s="1859"/>
      <c r="G165" s="1857"/>
      <c r="H165" s="1860"/>
      <c r="I165" s="1859"/>
      <c r="J165" s="4154"/>
      <c r="K165" s="4148"/>
      <c r="L165" s="4148"/>
      <c r="M165" s="4154"/>
      <c r="N165" s="4154"/>
      <c r="O165" s="4154"/>
      <c r="P165" s="4148"/>
      <c r="Q165" s="4205"/>
      <c r="R165" s="2908"/>
      <c r="S165" s="4148"/>
      <c r="T165" s="4148"/>
      <c r="U165" s="161" t="s">
        <v>1669</v>
      </c>
      <c r="V165" s="1867">
        <v>5000000</v>
      </c>
      <c r="W165" s="1867">
        <v>0</v>
      </c>
      <c r="X165" s="1867">
        <v>0</v>
      </c>
      <c r="Y165" s="1852">
        <v>61</v>
      </c>
      <c r="Z165" s="1875" t="s">
        <v>1609</v>
      </c>
      <c r="AA165" s="4154"/>
      <c r="AB165" s="4154"/>
      <c r="AC165" s="4154"/>
      <c r="AD165" s="4154"/>
      <c r="AE165" s="4154"/>
      <c r="AF165" s="4154"/>
      <c r="AG165" s="4154"/>
      <c r="AH165" s="4154"/>
      <c r="AI165" s="4154"/>
      <c r="AJ165" s="4154"/>
      <c r="AK165" s="4154"/>
      <c r="AL165" s="4154"/>
      <c r="AM165" s="4154"/>
      <c r="AN165" s="4154"/>
      <c r="AO165" s="4154"/>
      <c r="AP165" s="4154"/>
      <c r="AQ165" s="4154"/>
      <c r="AR165" s="4154"/>
      <c r="AS165" s="4154"/>
      <c r="AT165" s="4154"/>
      <c r="AU165" s="4154"/>
      <c r="AV165" s="4154"/>
      <c r="AW165" s="4154"/>
      <c r="AX165" s="4154"/>
      <c r="AY165" s="4154"/>
      <c r="AZ165" s="4154"/>
      <c r="BA165" s="4154"/>
      <c r="BB165" s="4154"/>
      <c r="BC165" s="4154"/>
      <c r="BD165" s="4154"/>
      <c r="BE165" s="4154"/>
      <c r="BF165" s="4154"/>
      <c r="BG165" s="4154"/>
      <c r="BH165" s="4154"/>
      <c r="BI165" s="4154"/>
      <c r="BJ165" s="2692"/>
      <c r="BK165" s="4154"/>
      <c r="BL165" s="4154"/>
      <c r="BM165" s="4157"/>
      <c r="BN165" s="4157"/>
      <c r="BO165" s="4157"/>
      <c r="BP165" s="4157"/>
      <c r="BQ165" s="4144"/>
    </row>
    <row r="166" spans="1:69" ht="75.75" customHeight="1" x14ac:dyDescent="0.2">
      <c r="A166" s="1857"/>
      <c r="B166" s="1858"/>
      <c r="C166" s="1859"/>
      <c r="D166" s="1860"/>
      <c r="E166" s="1860"/>
      <c r="F166" s="1859"/>
      <c r="G166" s="1857"/>
      <c r="H166" s="1860"/>
      <c r="I166" s="1859"/>
      <c r="J166" s="4154"/>
      <c r="K166" s="4148"/>
      <c r="L166" s="4148"/>
      <c r="M166" s="4154"/>
      <c r="N166" s="4154"/>
      <c r="O166" s="4154"/>
      <c r="P166" s="4148"/>
      <c r="Q166" s="4205"/>
      <c r="R166" s="2908"/>
      <c r="S166" s="4148"/>
      <c r="T166" s="4148"/>
      <c r="U166" s="161" t="s">
        <v>1670</v>
      </c>
      <c r="V166" s="1867">
        <v>5000000</v>
      </c>
      <c r="W166" s="1867">
        <v>0</v>
      </c>
      <c r="X166" s="1867">
        <v>0</v>
      </c>
      <c r="Y166" s="1852">
        <v>61</v>
      </c>
      <c r="Z166" s="1875" t="s">
        <v>1609</v>
      </c>
      <c r="AA166" s="4154"/>
      <c r="AB166" s="4154"/>
      <c r="AC166" s="4154"/>
      <c r="AD166" s="4154"/>
      <c r="AE166" s="4154"/>
      <c r="AF166" s="4154"/>
      <c r="AG166" s="4154"/>
      <c r="AH166" s="4154"/>
      <c r="AI166" s="4154"/>
      <c r="AJ166" s="4154"/>
      <c r="AK166" s="4154"/>
      <c r="AL166" s="4154"/>
      <c r="AM166" s="4154"/>
      <c r="AN166" s="4154"/>
      <c r="AO166" s="4154"/>
      <c r="AP166" s="4154"/>
      <c r="AQ166" s="4154"/>
      <c r="AR166" s="4154"/>
      <c r="AS166" s="4154"/>
      <c r="AT166" s="4154"/>
      <c r="AU166" s="4154"/>
      <c r="AV166" s="4154"/>
      <c r="AW166" s="4154"/>
      <c r="AX166" s="4154"/>
      <c r="AY166" s="4154"/>
      <c r="AZ166" s="4154"/>
      <c r="BA166" s="4154"/>
      <c r="BB166" s="4154"/>
      <c r="BC166" s="4154"/>
      <c r="BD166" s="4154"/>
      <c r="BE166" s="4154"/>
      <c r="BF166" s="4154"/>
      <c r="BG166" s="4154"/>
      <c r="BH166" s="4154"/>
      <c r="BI166" s="4154"/>
      <c r="BJ166" s="2692"/>
      <c r="BK166" s="4154"/>
      <c r="BL166" s="4154"/>
      <c r="BM166" s="4157"/>
      <c r="BN166" s="4157"/>
      <c r="BO166" s="4157"/>
      <c r="BP166" s="4157"/>
      <c r="BQ166" s="4144"/>
    </row>
    <row r="167" spans="1:69" ht="52.5" customHeight="1" x14ac:dyDescent="0.2">
      <c r="A167" s="1857"/>
      <c r="B167" s="1858"/>
      <c r="C167" s="1859"/>
      <c r="D167" s="1860"/>
      <c r="E167" s="1860"/>
      <c r="F167" s="1859"/>
      <c r="G167" s="1857"/>
      <c r="H167" s="1860"/>
      <c r="I167" s="1859"/>
      <c r="J167" s="4154"/>
      <c r="K167" s="4148"/>
      <c r="L167" s="4148"/>
      <c r="M167" s="4154"/>
      <c r="N167" s="4154"/>
      <c r="O167" s="4154"/>
      <c r="P167" s="4148"/>
      <c r="Q167" s="4205"/>
      <c r="R167" s="2908"/>
      <c r="S167" s="4148"/>
      <c r="T167" s="4148"/>
      <c r="U167" s="161" t="s">
        <v>1671</v>
      </c>
      <c r="V167" s="1867">
        <v>5000000</v>
      </c>
      <c r="W167" s="1867">
        <v>2000000</v>
      </c>
      <c r="X167" s="1867">
        <v>0</v>
      </c>
      <c r="Y167" s="1852">
        <v>61</v>
      </c>
      <c r="Z167" s="1875" t="s">
        <v>1609</v>
      </c>
      <c r="AA167" s="4154"/>
      <c r="AB167" s="4154"/>
      <c r="AC167" s="4154"/>
      <c r="AD167" s="4154"/>
      <c r="AE167" s="4154"/>
      <c r="AF167" s="4154"/>
      <c r="AG167" s="4154"/>
      <c r="AH167" s="4154"/>
      <c r="AI167" s="4154"/>
      <c r="AJ167" s="4154"/>
      <c r="AK167" s="4154"/>
      <c r="AL167" s="4154"/>
      <c r="AM167" s="4154"/>
      <c r="AN167" s="4154"/>
      <c r="AO167" s="4154"/>
      <c r="AP167" s="4154"/>
      <c r="AQ167" s="4154"/>
      <c r="AR167" s="4154"/>
      <c r="AS167" s="4154"/>
      <c r="AT167" s="4154"/>
      <c r="AU167" s="4154"/>
      <c r="AV167" s="4154"/>
      <c r="AW167" s="4154"/>
      <c r="AX167" s="4154"/>
      <c r="AY167" s="4154"/>
      <c r="AZ167" s="4154"/>
      <c r="BA167" s="4154"/>
      <c r="BB167" s="4154"/>
      <c r="BC167" s="4154"/>
      <c r="BD167" s="4154"/>
      <c r="BE167" s="4154"/>
      <c r="BF167" s="4154"/>
      <c r="BG167" s="4154"/>
      <c r="BH167" s="4154"/>
      <c r="BI167" s="4154"/>
      <c r="BJ167" s="2692"/>
      <c r="BK167" s="4154"/>
      <c r="BL167" s="4154"/>
      <c r="BM167" s="4157"/>
      <c r="BN167" s="4157"/>
      <c r="BO167" s="4157"/>
      <c r="BP167" s="4157"/>
      <c r="BQ167" s="4144"/>
    </row>
    <row r="168" spans="1:69" ht="52.5" customHeight="1" x14ac:dyDescent="0.2">
      <c r="A168" s="1857"/>
      <c r="B168" s="1858"/>
      <c r="C168" s="1859"/>
      <c r="D168" s="1860"/>
      <c r="E168" s="1860"/>
      <c r="F168" s="1859"/>
      <c r="G168" s="1864"/>
      <c r="H168" s="1865"/>
      <c r="I168" s="1866"/>
      <c r="J168" s="4155"/>
      <c r="K168" s="4149"/>
      <c r="L168" s="4149"/>
      <c r="M168" s="4155"/>
      <c r="N168" s="4155"/>
      <c r="O168" s="4155"/>
      <c r="P168" s="4149"/>
      <c r="Q168" s="4206"/>
      <c r="R168" s="2909"/>
      <c r="S168" s="4149"/>
      <c r="T168" s="4149"/>
      <c r="U168" s="161" t="s">
        <v>1672</v>
      </c>
      <c r="V168" s="1867">
        <v>8000000</v>
      </c>
      <c r="W168" s="1867">
        <v>1066665</v>
      </c>
      <c r="X168" s="1867">
        <v>0</v>
      </c>
      <c r="Y168" s="1852">
        <v>61</v>
      </c>
      <c r="Z168" s="1875" t="s">
        <v>1609</v>
      </c>
      <c r="AA168" s="4155"/>
      <c r="AB168" s="4155"/>
      <c r="AC168" s="4155"/>
      <c r="AD168" s="4155"/>
      <c r="AE168" s="4155"/>
      <c r="AF168" s="4155"/>
      <c r="AG168" s="4155"/>
      <c r="AH168" s="4155"/>
      <c r="AI168" s="4155"/>
      <c r="AJ168" s="4155"/>
      <c r="AK168" s="4155"/>
      <c r="AL168" s="4155"/>
      <c r="AM168" s="4155"/>
      <c r="AN168" s="4155"/>
      <c r="AO168" s="4155"/>
      <c r="AP168" s="4155"/>
      <c r="AQ168" s="4155"/>
      <c r="AR168" s="4155"/>
      <c r="AS168" s="4155"/>
      <c r="AT168" s="4155"/>
      <c r="AU168" s="4155"/>
      <c r="AV168" s="4155"/>
      <c r="AW168" s="4155"/>
      <c r="AX168" s="4155"/>
      <c r="AY168" s="4155"/>
      <c r="AZ168" s="4155"/>
      <c r="BA168" s="4155"/>
      <c r="BB168" s="4155"/>
      <c r="BC168" s="4155"/>
      <c r="BD168" s="4155"/>
      <c r="BE168" s="4155"/>
      <c r="BF168" s="4155"/>
      <c r="BG168" s="4155"/>
      <c r="BH168" s="4155"/>
      <c r="BI168" s="4155"/>
      <c r="BJ168" s="4161"/>
      <c r="BK168" s="4155"/>
      <c r="BL168" s="4155"/>
      <c r="BM168" s="4158"/>
      <c r="BN168" s="4158"/>
      <c r="BO168" s="4158"/>
      <c r="BP168" s="4158"/>
      <c r="BQ168" s="4145"/>
    </row>
    <row r="169" spans="1:69" ht="15" x14ac:dyDescent="0.2">
      <c r="A169" s="1793"/>
      <c r="B169" s="1794"/>
      <c r="C169" s="1795"/>
      <c r="D169" s="1848"/>
      <c r="E169" s="1848"/>
      <c r="F169" s="1795"/>
      <c r="G169" s="1834">
        <v>43</v>
      </c>
      <c r="H169" s="1799" t="s">
        <v>1673</v>
      </c>
      <c r="I169" s="1799"/>
      <c r="J169" s="1799"/>
      <c r="K169" s="1800"/>
      <c r="L169" s="1800"/>
      <c r="M169" s="1799"/>
      <c r="N169" s="1801"/>
      <c r="O169" s="1799"/>
      <c r="P169" s="1800"/>
      <c r="Q169" s="1799"/>
      <c r="R169" s="1835"/>
      <c r="S169" s="1800"/>
      <c r="T169" s="1800"/>
      <c r="U169" s="1800"/>
      <c r="V169" s="1836"/>
      <c r="W169" s="1919"/>
      <c r="X169" s="1919"/>
      <c r="Y169" s="1837"/>
      <c r="Z169" s="1801"/>
      <c r="AA169" s="1801"/>
      <c r="AB169" s="1801"/>
      <c r="AC169" s="1801"/>
      <c r="AD169" s="1801"/>
      <c r="AE169" s="1801"/>
      <c r="AF169" s="1801"/>
      <c r="AG169" s="1801"/>
      <c r="AH169" s="1801"/>
      <c r="AI169" s="1801"/>
      <c r="AJ169" s="1801"/>
      <c r="AK169" s="1801"/>
      <c r="AL169" s="1801"/>
      <c r="AM169" s="1801"/>
      <c r="AN169" s="1801"/>
      <c r="AO169" s="1801"/>
      <c r="AP169" s="1801"/>
      <c r="AQ169" s="1801"/>
      <c r="AR169" s="1801"/>
      <c r="AS169" s="1801"/>
      <c r="AT169" s="1801"/>
      <c r="AU169" s="1801"/>
      <c r="AV169" s="1801"/>
      <c r="AW169" s="1801"/>
      <c r="AX169" s="1801"/>
      <c r="AY169" s="1801"/>
      <c r="AZ169" s="1801"/>
      <c r="BA169" s="1801"/>
      <c r="BB169" s="1801"/>
      <c r="BC169" s="1801"/>
      <c r="BD169" s="1801"/>
      <c r="BE169" s="1801"/>
      <c r="BF169" s="1801"/>
      <c r="BG169" s="1801"/>
      <c r="BH169" s="1801"/>
      <c r="BI169" s="1801"/>
      <c r="BJ169" s="1801"/>
      <c r="BK169" s="1801"/>
      <c r="BL169" s="1801"/>
      <c r="BM169" s="1849"/>
      <c r="BN169" s="1849"/>
      <c r="BO169" s="1849"/>
      <c r="BP169" s="1839"/>
      <c r="BQ169" s="1840"/>
    </row>
    <row r="170" spans="1:69" ht="81.75" customHeight="1" x14ac:dyDescent="0.2">
      <c r="A170" s="1793"/>
      <c r="B170" s="1794"/>
      <c r="C170" s="1795"/>
      <c r="D170" s="1848"/>
      <c r="E170" s="1848"/>
      <c r="F170" s="1795"/>
      <c r="G170" s="1850"/>
      <c r="H170" s="1796"/>
      <c r="I170" s="1797"/>
      <c r="J170" s="4153">
        <v>151</v>
      </c>
      <c r="K170" s="4147" t="s">
        <v>1674</v>
      </c>
      <c r="L170" s="4152" t="s">
        <v>1675</v>
      </c>
      <c r="M170" s="4138">
        <v>12</v>
      </c>
      <c r="N170" s="1844"/>
      <c r="O170" s="4153">
        <v>146</v>
      </c>
      <c r="P170" s="4147" t="s">
        <v>1676</v>
      </c>
      <c r="Q170" s="4204">
        <f>+(V170+V172+V171)/R170</f>
        <v>7.0900397614291566E-2</v>
      </c>
      <c r="R170" s="4134">
        <f>SUM(V170:V180)</f>
        <v>987300528</v>
      </c>
      <c r="S170" s="4147" t="s">
        <v>1677</v>
      </c>
      <c r="T170" s="4147" t="s">
        <v>1678</v>
      </c>
      <c r="U170" s="161" t="s">
        <v>1679</v>
      </c>
      <c r="V170" s="1867">
        <v>21875000</v>
      </c>
      <c r="W170" s="1920">
        <v>0</v>
      </c>
      <c r="X170" s="1920">
        <v>0</v>
      </c>
      <c r="Y170" s="1852" t="s">
        <v>1680</v>
      </c>
      <c r="Z170" s="1875" t="s">
        <v>1609</v>
      </c>
      <c r="AA170" s="4212">
        <v>289394</v>
      </c>
      <c r="AB170" s="4212">
        <f>AA170*0.03</f>
        <v>8681.82</v>
      </c>
      <c r="AC170" s="4212">
        <v>279112</v>
      </c>
      <c r="AD170" s="4212">
        <f>AC170*0.03</f>
        <v>8373.36</v>
      </c>
      <c r="AE170" s="4212">
        <v>63164</v>
      </c>
      <c r="AF170" s="4212">
        <f>AE170*0.03</f>
        <v>1894.9199999999998</v>
      </c>
      <c r="AG170" s="4212">
        <v>45607</v>
      </c>
      <c r="AH170" s="4212">
        <f>AG170*0.03</f>
        <v>1368.21</v>
      </c>
      <c r="AI170" s="4212">
        <v>365607</v>
      </c>
      <c r="AJ170" s="4212">
        <f>AI170*0.03</f>
        <v>10968.21</v>
      </c>
      <c r="AK170" s="4212">
        <v>75612</v>
      </c>
      <c r="AL170" s="4212">
        <f>AK170*0.03</f>
        <v>2268.36</v>
      </c>
      <c r="AM170" s="4212">
        <v>2145</v>
      </c>
      <c r="AN170" s="4212">
        <f>AM170*0.03</f>
        <v>64.349999999999994</v>
      </c>
      <c r="AO170" s="4212">
        <v>12718</v>
      </c>
      <c r="AP170" s="4212">
        <f>AO170*0.03</f>
        <v>381.53999999999996</v>
      </c>
      <c r="AQ170" s="4212">
        <v>26</v>
      </c>
      <c r="AR170" s="4212">
        <f>AQ170*0.03</f>
        <v>0.78</v>
      </c>
      <c r="AS170" s="4212">
        <v>37</v>
      </c>
      <c r="AT170" s="4212">
        <f>AS170*0.03</f>
        <v>1.1099999999999999</v>
      </c>
      <c r="AU170" s="4212">
        <v>0</v>
      </c>
      <c r="AV170" s="4212">
        <f>AU170*0.03</f>
        <v>0</v>
      </c>
      <c r="AW170" s="4212">
        <v>0</v>
      </c>
      <c r="AX170" s="4212">
        <f>AW170*0.03</f>
        <v>0</v>
      </c>
      <c r="AY170" s="4212">
        <v>78</v>
      </c>
      <c r="AZ170" s="4212">
        <f>AY170*0.03</f>
        <v>2.34</v>
      </c>
      <c r="BA170" s="4212">
        <v>16897</v>
      </c>
      <c r="BB170" s="4212">
        <f>BA170*0.03</f>
        <v>506.90999999999997</v>
      </c>
      <c r="BC170" s="4212">
        <f>SUM('[4]P. 100'!$W$5+'[4]P. 100'!$X$5)</f>
        <v>852</v>
      </c>
      <c r="BD170" s="4212">
        <f>BC170*0.03</f>
        <v>25.56</v>
      </c>
      <c r="BE170" s="4212">
        <f>SUM(AA170:AC170)</f>
        <v>577187.82000000007</v>
      </c>
      <c r="BF170" s="4212">
        <f>BE170*0.03</f>
        <v>17315.634600000001</v>
      </c>
      <c r="BG170" s="4212">
        <v>3</v>
      </c>
      <c r="BH170" s="4212">
        <f>SUM(W170:W180)</f>
        <v>52430895</v>
      </c>
      <c r="BI170" s="4212">
        <f>SUM(X170:X180)</f>
        <v>30577562</v>
      </c>
      <c r="BJ170" s="4209">
        <f>SUM(BI170/R170)</f>
        <v>3.0970875769652177E-2</v>
      </c>
      <c r="BK170" s="4212" t="s">
        <v>1681</v>
      </c>
      <c r="BL170" s="4213" t="s">
        <v>1466</v>
      </c>
      <c r="BM170" s="4214">
        <f>+BM158</f>
        <v>43467</v>
      </c>
      <c r="BN170" s="4214">
        <v>44196</v>
      </c>
      <c r="BO170" s="4214">
        <v>43830</v>
      </c>
      <c r="BP170" s="4140">
        <v>44196</v>
      </c>
      <c r="BQ170" s="4143" t="s">
        <v>1432</v>
      </c>
    </row>
    <row r="171" spans="1:69" ht="81.75" customHeight="1" x14ac:dyDescent="0.2">
      <c r="A171" s="1793"/>
      <c r="B171" s="1794"/>
      <c r="C171" s="1795"/>
      <c r="D171" s="1848"/>
      <c r="E171" s="1848"/>
      <c r="F171" s="1795"/>
      <c r="G171" s="1793"/>
      <c r="H171" s="1848"/>
      <c r="I171" s="1795"/>
      <c r="J171" s="4154"/>
      <c r="K171" s="4148"/>
      <c r="L171" s="4152"/>
      <c r="M171" s="4138"/>
      <c r="N171" s="1880"/>
      <c r="O171" s="4154"/>
      <c r="P171" s="4148"/>
      <c r="Q171" s="4205"/>
      <c r="R171" s="2908"/>
      <c r="S171" s="4148"/>
      <c r="T171" s="4148"/>
      <c r="U171" s="161" t="s">
        <v>1682</v>
      </c>
      <c r="V171" s="1867">
        <v>13125000</v>
      </c>
      <c r="W171" s="1920">
        <v>0</v>
      </c>
      <c r="X171" s="1920">
        <v>0</v>
      </c>
      <c r="Y171" s="1852">
        <v>61</v>
      </c>
      <c r="Z171" s="1875" t="s">
        <v>1609</v>
      </c>
      <c r="AA171" s="2858"/>
      <c r="AB171" s="2858"/>
      <c r="AC171" s="2858"/>
      <c r="AD171" s="2858"/>
      <c r="AE171" s="2858"/>
      <c r="AF171" s="2858"/>
      <c r="AG171" s="2858"/>
      <c r="AH171" s="2858"/>
      <c r="AI171" s="2858"/>
      <c r="AJ171" s="2858"/>
      <c r="AK171" s="2858"/>
      <c r="AL171" s="2858"/>
      <c r="AM171" s="2858"/>
      <c r="AN171" s="2858"/>
      <c r="AO171" s="2858"/>
      <c r="AP171" s="2858"/>
      <c r="AQ171" s="2858"/>
      <c r="AR171" s="2858"/>
      <c r="AS171" s="2858"/>
      <c r="AT171" s="2858"/>
      <c r="AU171" s="2858"/>
      <c r="AV171" s="2858"/>
      <c r="AW171" s="2858"/>
      <c r="AX171" s="2858"/>
      <c r="AY171" s="2858"/>
      <c r="AZ171" s="2858"/>
      <c r="BA171" s="2858"/>
      <c r="BB171" s="2858"/>
      <c r="BC171" s="2858"/>
      <c r="BD171" s="2858"/>
      <c r="BE171" s="2858"/>
      <c r="BF171" s="2858"/>
      <c r="BG171" s="2858"/>
      <c r="BH171" s="2858"/>
      <c r="BI171" s="2858"/>
      <c r="BJ171" s="4210"/>
      <c r="BK171" s="2858"/>
      <c r="BL171" s="2896"/>
      <c r="BM171" s="3052"/>
      <c r="BN171" s="3052"/>
      <c r="BO171" s="3052"/>
      <c r="BP171" s="4141"/>
      <c r="BQ171" s="4144"/>
    </row>
    <row r="172" spans="1:69" ht="81.75" customHeight="1" x14ac:dyDescent="0.2">
      <c r="A172" s="1793"/>
      <c r="B172" s="1794"/>
      <c r="C172" s="1795"/>
      <c r="D172" s="1848"/>
      <c r="E172" s="1848"/>
      <c r="F172" s="1795"/>
      <c r="G172" s="1793"/>
      <c r="H172" s="1848"/>
      <c r="I172" s="1795"/>
      <c r="J172" s="4155"/>
      <c r="K172" s="4149"/>
      <c r="L172" s="4152"/>
      <c r="M172" s="4138"/>
      <c r="N172" s="1880"/>
      <c r="O172" s="4154"/>
      <c r="P172" s="4148"/>
      <c r="Q172" s="4206"/>
      <c r="R172" s="2908"/>
      <c r="S172" s="4148"/>
      <c r="T172" s="4149"/>
      <c r="U172" s="161" t="s">
        <v>1683</v>
      </c>
      <c r="V172" s="1867">
        <v>35000000</v>
      </c>
      <c r="W172" s="1920">
        <v>0</v>
      </c>
      <c r="X172" s="1920">
        <v>0</v>
      </c>
      <c r="Y172" s="1852">
        <v>61</v>
      </c>
      <c r="Z172" s="1875" t="s">
        <v>1609</v>
      </c>
      <c r="AA172" s="2858"/>
      <c r="AB172" s="2858"/>
      <c r="AC172" s="2858"/>
      <c r="AD172" s="2858"/>
      <c r="AE172" s="2858"/>
      <c r="AF172" s="2858"/>
      <c r="AG172" s="2858"/>
      <c r="AH172" s="2858"/>
      <c r="AI172" s="2858"/>
      <c r="AJ172" s="2858"/>
      <c r="AK172" s="2858"/>
      <c r="AL172" s="2858"/>
      <c r="AM172" s="2858"/>
      <c r="AN172" s="2858"/>
      <c r="AO172" s="2858"/>
      <c r="AP172" s="2858"/>
      <c r="AQ172" s="2858"/>
      <c r="AR172" s="2858"/>
      <c r="AS172" s="2858"/>
      <c r="AT172" s="2858"/>
      <c r="AU172" s="2858"/>
      <c r="AV172" s="2858"/>
      <c r="AW172" s="2858"/>
      <c r="AX172" s="2858"/>
      <c r="AY172" s="2858"/>
      <c r="AZ172" s="2858"/>
      <c r="BA172" s="2858"/>
      <c r="BB172" s="2858"/>
      <c r="BC172" s="2858"/>
      <c r="BD172" s="2858"/>
      <c r="BE172" s="2858"/>
      <c r="BF172" s="2858"/>
      <c r="BG172" s="2858"/>
      <c r="BH172" s="2858"/>
      <c r="BI172" s="2858"/>
      <c r="BJ172" s="4210"/>
      <c r="BK172" s="2858"/>
      <c r="BL172" s="2896"/>
      <c r="BM172" s="3052"/>
      <c r="BN172" s="3052"/>
      <c r="BO172" s="3052"/>
      <c r="BP172" s="4141"/>
      <c r="BQ172" s="4144"/>
    </row>
    <row r="173" spans="1:69" ht="81.75" customHeight="1" x14ac:dyDescent="0.2">
      <c r="A173" s="1793"/>
      <c r="B173" s="1794"/>
      <c r="C173" s="1795"/>
      <c r="D173" s="1848"/>
      <c r="E173" s="1848"/>
      <c r="F173" s="1795"/>
      <c r="G173" s="1793"/>
      <c r="H173" s="1848"/>
      <c r="I173" s="1795"/>
      <c r="J173" s="1844">
        <v>152</v>
      </c>
      <c r="K173" s="1921" t="s">
        <v>1684</v>
      </c>
      <c r="L173" s="1922" t="s">
        <v>1424</v>
      </c>
      <c r="M173" s="1875">
        <v>1</v>
      </c>
      <c r="N173" s="1880" t="s">
        <v>1685</v>
      </c>
      <c r="O173" s="4154"/>
      <c r="P173" s="4148"/>
      <c r="Q173" s="1923">
        <f>+(V173)/R170</f>
        <v>7.0900397614291566E-2</v>
      </c>
      <c r="R173" s="2908"/>
      <c r="S173" s="4148"/>
      <c r="T173" s="4147" t="s">
        <v>1686</v>
      </c>
      <c r="U173" s="161" t="s">
        <v>1687</v>
      </c>
      <c r="V173" s="1867">
        <v>70000000</v>
      </c>
      <c r="W173" s="1867">
        <v>20253333</v>
      </c>
      <c r="X173" s="1920">
        <v>5600000</v>
      </c>
      <c r="Y173" s="1852">
        <v>61</v>
      </c>
      <c r="Z173" s="1875" t="s">
        <v>1609</v>
      </c>
      <c r="AA173" s="2858"/>
      <c r="AB173" s="2858"/>
      <c r="AC173" s="2858"/>
      <c r="AD173" s="2858"/>
      <c r="AE173" s="2858"/>
      <c r="AF173" s="2858"/>
      <c r="AG173" s="2858"/>
      <c r="AH173" s="2858"/>
      <c r="AI173" s="2858"/>
      <c r="AJ173" s="2858"/>
      <c r="AK173" s="2858"/>
      <c r="AL173" s="2858"/>
      <c r="AM173" s="2858"/>
      <c r="AN173" s="2858"/>
      <c r="AO173" s="2858"/>
      <c r="AP173" s="2858"/>
      <c r="AQ173" s="2858"/>
      <c r="AR173" s="2858"/>
      <c r="AS173" s="2858"/>
      <c r="AT173" s="2858"/>
      <c r="AU173" s="2858"/>
      <c r="AV173" s="2858"/>
      <c r="AW173" s="2858"/>
      <c r="AX173" s="2858"/>
      <c r="AY173" s="2858"/>
      <c r="AZ173" s="2858"/>
      <c r="BA173" s="2858"/>
      <c r="BB173" s="2858"/>
      <c r="BC173" s="2858"/>
      <c r="BD173" s="2858"/>
      <c r="BE173" s="2858"/>
      <c r="BF173" s="2858"/>
      <c r="BG173" s="2858"/>
      <c r="BH173" s="2858"/>
      <c r="BI173" s="2858"/>
      <c r="BJ173" s="4210"/>
      <c r="BK173" s="2858"/>
      <c r="BL173" s="2896"/>
      <c r="BM173" s="3052"/>
      <c r="BN173" s="3052"/>
      <c r="BO173" s="3052"/>
      <c r="BP173" s="4141"/>
      <c r="BQ173" s="4144"/>
    </row>
    <row r="174" spans="1:69" ht="81.75" customHeight="1" x14ac:dyDescent="0.2">
      <c r="A174" s="1793"/>
      <c r="B174" s="1794"/>
      <c r="C174" s="1795"/>
      <c r="D174" s="1848"/>
      <c r="E174" s="1848"/>
      <c r="F174" s="1795"/>
      <c r="G174" s="1793"/>
      <c r="H174" s="1848"/>
      <c r="I174" s="1795"/>
      <c r="J174" s="4138">
        <v>153</v>
      </c>
      <c r="K174" s="4147" t="s">
        <v>1688</v>
      </c>
      <c r="L174" s="4148" t="s">
        <v>1689</v>
      </c>
      <c r="M174" s="4154">
        <v>150</v>
      </c>
      <c r="N174" s="1880" t="s">
        <v>1690</v>
      </c>
      <c r="O174" s="4154"/>
      <c r="P174" s="4148"/>
      <c r="Q174" s="4204">
        <f>SUM(V174:V180)/R170</f>
        <v>0.85819920477141687</v>
      </c>
      <c r="R174" s="2908"/>
      <c r="S174" s="4148"/>
      <c r="T174" s="4148"/>
      <c r="U174" s="161" t="s">
        <v>1691</v>
      </c>
      <c r="V174" s="1867">
        <v>23500000</v>
      </c>
      <c r="W174" s="1867">
        <v>0</v>
      </c>
      <c r="X174" s="1920">
        <v>0</v>
      </c>
      <c r="Y174" s="1852">
        <v>63</v>
      </c>
      <c r="Z174" s="1875" t="s">
        <v>1692</v>
      </c>
      <c r="AA174" s="2858"/>
      <c r="AB174" s="2858"/>
      <c r="AC174" s="2858"/>
      <c r="AD174" s="2858"/>
      <c r="AE174" s="2858"/>
      <c r="AF174" s="2858"/>
      <c r="AG174" s="2858"/>
      <c r="AH174" s="2858"/>
      <c r="AI174" s="2858"/>
      <c r="AJ174" s="2858"/>
      <c r="AK174" s="2858"/>
      <c r="AL174" s="2858"/>
      <c r="AM174" s="2858"/>
      <c r="AN174" s="2858"/>
      <c r="AO174" s="2858"/>
      <c r="AP174" s="2858"/>
      <c r="AQ174" s="2858"/>
      <c r="AR174" s="2858"/>
      <c r="AS174" s="2858"/>
      <c r="AT174" s="2858"/>
      <c r="AU174" s="2858"/>
      <c r="AV174" s="2858"/>
      <c r="AW174" s="2858"/>
      <c r="AX174" s="2858"/>
      <c r="AY174" s="2858"/>
      <c r="AZ174" s="2858"/>
      <c r="BA174" s="2858"/>
      <c r="BB174" s="2858"/>
      <c r="BC174" s="2858"/>
      <c r="BD174" s="2858"/>
      <c r="BE174" s="2858"/>
      <c r="BF174" s="2858"/>
      <c r="BG174" s="2858"/>
      <c r="BH174" s="2858"/>
      <c r="BI174" s="2858"/>
      <c r="BJ174" s="4210"/>
      <c r="BK174" s="2858"/>
      <c r="BL174" s="2896"/>
      <c r="BM174" s="3052"/>
      <c r="BN174" s="3052"/>
      <c r="BO174" s="3052"/>
      <c r="BP174" s="4141"/>
      <c r="BQ174" s="4144"/>
    </row>
    <row r="175" spans="1:69" ht="81.75" customHeight="1" x14ac:dyDescent="0.2">
      <c r="A175" s="1793"/>
      <c r="B175" s="1794"/>
      <c r="C175" s="1795"/>
      <c r="D175" s="1848"/>
      <c r="E175" s="1848"/>
      <c r="F175" s="1795"/>
      <c r="G175" s="1793"/>
      <c r="H175" s="1848"/>
      <c r="I175" s="1795"/>
      <c r="J175" s="4138"/>
      <c r="K175" s="4148"/>
      <c r="L175" s="4148"/>
      <c r="M175" s="4154"/>
      <c r="N175" s="1880"/>
      <c r="O175" s="4154"/>
      <c r="P175" s="4148"/>
      <c r="Q175" s="4205"/>
      <c r="R175" s="2908"/>
      <c r="S175" s="4148"/>
      <c r="T175" s="4148"/>
      <c r="U175" s="161" t="s">
        <v>1693</v>
      </c>
      <c r="V175" s="1867">
        <v>719800528</v>
      </c>
      <c r="W175" s="1867">
        <v>32177562</v>
      </c>
      <c r="X175" s="1920">
        <v>24977562</v>
      </c>
      <c r="Y175" s="1852">
        <v>63</v>
      </c>
      <c r="Z175" s="1875" t="s">
        <v>1692</v>
      </c>
      <c r="AA175" s="2858"/>
      <c r="AB175" s="2858"/>
      <c r="AC175" s="2858"/>
      <c r="AD175" s="2858"/>
      <c r="AE175" s="2858"/>
      <c r="AF175" s="2858"/>
      <c r="AG175" s="2858"/>
      <c r="AH175" s="2858"/>
      <c r="AI175" s="2858"/>
      <c r="AJ175" s="2858"/>
      <c r="AK175" s="2858"/>
      <c r="AL175" s="2858"/>
      <c r="AM175" s="2858"/>
      <c r="AN175" s="2858"/>
      <c r="AO175" s="2858"/>
      <c r="AP175" s="2858"/>
      <c r="AQ175" s="2858"/>
      <c r="AR175" s="2858"/>
      <c r="AS175" s="2858"/>
      <c r="AT175" s="2858"/>
      <c r="AU175" s="2858"/>
      <c r="AV175" s="2858"/>
      <c r="AW175" s="2858"/>
      <c r="AX175" s="2858"/>
      <c r="AY175" s="2858"/>
      <c r="AZ175" s="2858"/>
      <c r="BA175" s="2858"/>
      <c r="BB175" s="2858"/>
      <c r="BC175" s="2858"/>
      <c r="BD175" s="2858"/>
      <c r="BE175" s="2858"/>
      <c r="BF175" s="2858"/>
      <c r="BG175" s="2858"/>
      <c r="BH175" s="2858"/>
      <c r="BI175" s="2858"/>
      <c r="BJ175" s="4210"/>
      <c r="BK175" s="2858"/>
      <c r="BL175" s="2896"/>
      <c r="BM175" s="3052"/>
      <c r="BN175" s="3052"/>
      <c r="BO175" s="3052"/>
      <c r="BP175" s="4141"/>
      <c r="BQ175" s="4144"/>
    </row>
    <row r="176" spans="1:69" ht="81.75" customHeight="1" x14ac:dyDescent="0.2">
      <c r="A176" s="1793"/>
      <c r="B176" s="1794"/>
      <c r="C176" s="1795"/>
      <c r="D176" s="1848"/>
      <c r="E176" s="1848"/>
      <c r="F176" s="1795"/>
      <c r="G176" s="1793"/>
      <c r="H176" s="1848"/>
      <c r="I176" s="1795"/>
      <c r="J176" s="4138"/>
      <c r="K176" s="4148"/>
      <c r="L176" s="4148"/>
      <c r="M176" s="4154"/>
      <c r="N176" s="1880"/>
      <c r="O176" s="4154"/>
      <c r="P176" s="4148"/>
      <c r="Q176" s="4205"/>
      <c r="R176" s="2908"/>
      <c r="S176" s="4148"/>
      <c r="T176" s="4148"/>
      <c r="U176" s="161" t="s">
        <v>1694</v>
      </c>
      <c r="V176" s="1867">
        <v>21000000</v>
      </c>
      <c r="W176" s="1867">
        <v>0</v>
      </c>
      <c r="X176" s="1920">
        <v>0</v>
      </c>
      <c r="Y176" s="1852">
        <v>63</v>
      </c>
      <c r="Z176" s="1875" t="s">
        <v>1692</v>
      </c>
      <c r="AA176" s="2858"/>
      <c r="AB176" s="2858"/>
      <c r="AC176" s="2858"/>
      <c r="AD176" s="2858"/>
      <c r="AE176" s="2858"/>
      <c r="AF176" s="2858"/>
      <c r="AG176" s="2858"/>
      <c r="AH176" s="2858"/>
      <c r="AI176" s="2858"/>
      <c r="AJ176" s="2858"/>
      <c r="AK176" s="2858"/>
      <c r="AL176" s="2858"/>
      <c r="AM176" s="2858"/>
      <c r="AN176" s="2858"/>
      <c r="AO176" s="2858"/>
      <c r="AP176" s="2858"/>
      <c r="AQ176" s="2858"/>
      <c r="AR176" s="2858"/>
      <c r="AS176" s="2858"/>
      <c r="AT176" s="2858"/>
      <c r="AU176" s="2858"/>
      <c r="AV176" s="2858"/>
      <c r="AW176" s="2858"/>
      <c r="AX176" s="2858"/>
      <c r="AY176" s="2858"/>
      <c r="AZ176" s="2858"/>
      <c r="BA176" s="2858"/>
      <c r="BB176" s="2858"/>
      <c r="BC176" s="2858"/>
      <c r="BD176" s="2858"/>
      <c r="BE176" s="2858"/>
      <c r="BF176" s="2858"/>
      <c r="BG176" s="2858"/>
      <c r="BH176" s="2858"/>
      <c r="BI176" s="2858"/>
      <c r="BJ176" s="4210"/>
      <c r="BK176" s="2858"/>
      <c r="BL176" s="2896"/>
      <c r="BM176" s="3052"/>
      <c r="BN176" s="3052"/>
      <c r="BO176" s="3052"/>
      <c r="BP176" s="4141"/>
      <c r="BQ176" s="4144"/>
    </row>
    <row r="177" spans="1:69" ht="81.75" customHeight="1" x14ac:dyDescent="0.2">
      <c r="A177" s="1793"/>
      <c r="B177" s="1794"/>
      <c r="C177" s="1795"/>
      <c r="D177" s="1848"/>
      <c r="E177" s="1848"/>
      <c r="F177" s="1795"/>
      <c r="G177" s="1793"/>
      <c r="H177" s="1848"/>
      <c r="I177" s="1795"/>
      <c r="J177" s="4138"/>
      <c r="K177" s="4148"/>
      <c r="L177" s="4148"/>
      <c r="M177" s="4154"/>
      <c r="N177" s="1880"/>
      <c r="O177" s="4154"/>
      <c r="P177" s="4148"/>
      <c r="Q177" s="4205"/>
      <c r="R177" s="2908"/>
      <c r="S177" s="4148"/>
      <c r="T177" s="4148"/>
      <c r="U177" s="161" t="s">
        <v>1695</v>
      </c>
      <c r="V177" s="1867">
        <v>21000000</v>
      </c>
      <c r="W177" s="1867">
        <v>0</v>
      </c>
      <c r="X177" s="1920">
        <v>0</v>
      </c>
      <c r="Y177" s="1852">
        <v>63</v>
      </c>
      <c r="Z177" s="1875" t="s">
        <v>1692</v>
      </c>
      <c r="AA177" s="2858"/>
      <c r="AB177" s="2858"/>
      <c r="AC177" s="2858"/>
      <c r="AD177" s="2858"/>
      <c r="AE177" s="2858"/>
      <c r="AF177" s="2858"/>
      <c r="AG177" s="2858"/>
      <c r="AH177" s="2858"/>
      <c r="AI177" s="2858"/>
      <c r="AJ177" s="2858"/>
      <c r="AK177" s="2858"/>
      <c r="AL177" s="2858"/>
      <c r="AM177" s="2858"/>
      <c r="AN177" s="2858"/>
      <c r="AO177" s="2858"/>
      <c r="AP177" s="2858"/>
      <c r="AQ177" s="2858"/>
      <c r="AR177" s="2858"/>
      <c r="AS177" s="2858"/>
      <c r="AT177" s="2858"/>
      <c r="AU177" s="2858"/>
      <c r="AV177" s="2858"/>
      <c r="AW177" s="2858"/>
      <c r="AX177" s="2858"/>
      <c r="AY177" s="2858"/>
      <c r="AZ177" s="2858"/>
      <c r="BA177" s="2858"/>
      <c r="BB177" s="2858"/>
      <c r="BC177" s="2858"/>
      <c r="BD177" s="2858"/>
      <c r="BE177" s="2858"/>
      <c r="BF177" s="2858"/>
      <c r="BG177" s="2858"/>
      <c r="BH177" s="2858"/>
      <c r="BI177" s="2858"/>
      <c r="BJ177" s="4210"/>
      <c r="BK177" s="2858"/>
      <c r="BL177" s="2896"/>
      <c r="BM177" s="3052"/>
      <c r="BN177" s="3052"/>
      <c r="BO177" s="3052"/>
      <c r="BP177" s="4141"/>
      <c r="BQ177" s="4144"/>
    </row>
    <row r="178" spans="1:69" ht="81.75" customHeight="1" x14ac:dyDescent="0.2">
      <c r="A178" s="1793"/>
      <c r="B178" s="1794"/>
      <c r="C178" s="1795"/>
      <c r="D178" s="1848"/>
      <c r="E178" s="1848"/>
      <c r="F178" s="1795"/>
      <c r="G178" s="1793"/>
      <c r="H178" s="1848"/>
      <c r="I178" s="1795"/>
      <c r="J178" s="4138"/>
      <c r="K178" s="4148"/>
      <c r="L178" s="4148"/>
      <c r="M178" s="4154"/>
      <c r="N178" s="1924"/>
      <c r="O178" s="4154"/>
      <c r="P178" s="4148"/>
      <c r="Q178" s="4205"/>
      <c r="R178" s="2908"/>
      <c r="S178" s="4148"/>
      <c r="T178" s="4148"/>
      <c r="U178" s="161" t="s">
        <v>1696</v>
      </c>
      <c r="V178" s="1867">
        <v>21000000</v>
      </c>
      <c r="W178" s="1867">
        <v>0</v>
      </c>
      <c r="X178" s="1920">
        <v>0</v>
      </c>
      <c r="Y178" s="1852">
        <v>63</v>
      </c>
      <c r="Z178" s="1875" t="s">
        <v>1692</v>
      </c>
      <c r="AA178" s="2858"/>
      <c r="AB178" s="2858"/>
      <c r="AC178" s="2858"/>
      <c r="AD178" s="2858"/>
      <c r="AE178" s="2858"/>
      <c r="AF178" s="2858"/>
      <c r="AG178" s="2858"/>
      <c r="AH178" s="2858"/>
      <c r="AI178" s="2858"/>
      <c r="AJ178" s="2858"/>
      <c r="AK178" s="2858"/>
      <c r="AL178" s="2858"/>
      <c r="AM178" s="2858"/>
      <c r="AN178" s="2858"/>
      <c r="AO178" s="2858"/>
      <c r="AP178" s="2858"/>
      <c r="AQ178" s="2858"/>
      <c r="AR178" s="2858"/>
      <c r="AS178" s="2858"/>
      <c r="AT178" s="2858"/>
      <c r="AU178" s="2858"/>
      <c r="AV178" s="2858"/>
      <c r="AW178" s="2858"/>
      <c r="AX178" s="2858"/>
      <c r="AY178" s="2858"/>
      <c r="AZ178" s="2858"/>
      <c r="BA178" s="2858"/>
      <c r="BB178" s="2858"/>
      <c r="BC178" s="2858"/>
      <c r="BD178" s="2858"/>
      <c r="BE178" s="2858"/>
      <c r="BF178" s="2858"/>
      <c r="BG178" s="2858"/>
      <c r="BH178" s="2858"/>
      <c r="BI178" s="2858"/>
      <c r="BJ178" s="4210"/>
      <c r="BK178" s="2858"/>
      <c r="BL178" s="2896"/>
      <c r="BM178" s="3052"/>
      <c r="BN178" s="3052"/>
      <c r="BO178" s="3052"/>
      <c r="BP178" s="4141"/>
      <c r="BQ178" s="4144"/>
    </row>
    <row r="179" spans="1:69" ht="81.75" customHeight="1" x14ac:dyDescent="0.2">
      <c r="A179" s="1793"/>
      <c r="B179" s="1794"/>
      <c r="C179" s="1795"/>
      <c r="D179" s="1848"/>
      <c r="E179" s="1848"/>
      <c r="F179" s="1795"/>
      <c r="G179" s="1793"/>
      <c r="H179" s="1848"/>
      <c r="I179" s="1795"/>
      <c r="J179" s="4138"/>
      <c r="K179" s="4148"/>
      <c r="L179" s="4148"/>
      <c r="M179" s="4154"/>
      <c r="N179" s="1925"/>
      <c r="O179" s="4154"/>
      <c r="P179" s="4148"/>
      <c r="Q179" s="4205"/>
      <c r="R179" s="2908"/>
      <c r="S179" s="4148"/>
      <c r="T179" s="4148"/>
      <c r="U179" s="161" t="s">
        <v>1697</v>
      </c>
      <c r="V179" s="1867">
        <v>21000000</v>
      </c>
      <c r="W179" s="1867">
        <v>0</v>
      </c>
      <c r="X179" s="1920">
        <v>0</v>
      </c>
      <c r="Y179" s="1852">
        <v>63</v>
      </c>
      <c r="Z179" s="1875" t="s">
        <v>1692</v>
      </c>
      <c r="AA179" s="2858"/>
      <c r="AB179" s="2858"/>
      <c r="AC179" s="2858"/>
      <c r="AD179" s="2858"/>
      <c r="AE179" s="2858"/>
      <c r="AF179" s="2858"/>
      <c r="AG179" s="2858"/>
      <c r="AH179" s="2858"/>
      <c r="AI179" s="2858"/>
      <c r="AJ179" s="2858"/>
      <c r="AK179" s="2858"/>
      <c r="AL179" s="2858"/>
      <c r="AM179" s="2858"/>
      <c r="AN179" s="2858"/>
      <c r="AO179" s="2858"/>
      <c r="AP179" s="2858"/>
      <c r="AQ179" s="2858"/>
      <c r="AR179" s="2858"/>
      <c r="AS179" s="2858"/>
      <c r="AT179" s="2858"/>
      <c r="AU179" s="2858"/>
      <c r="AV179" s="2858"/>
      <c r="AW179" s="2858"/>
      <c r="AX179" s="2858"/>
      <c r="AY179" s="2858"/>
      <c r="AZ179" s="2858"/>
      <c r="BA179" s="2858"/>
      <c r="BB179" s="2858"/>
      <c r="BC179" s="2858"/>
      <c r="BD179" s="2858"/>
      <c r="BE179" s="2858"/>
      <c r="BF179" s="2858"/>
      <c r="BG179" s="2858"/>
      <c r="BH179" s="2858"/>
      <c r="BI179" s="2858"/>
      <c r="BJ179" s="4210"/>
      <c r="BK179" s="2858"/>
      <c r="BL179" s="2896"/>
      <c r="BM179" s="3052"/>
      <c r="BN179" s="3052"/>
      <c r="BO179" s="3052"/>
      <c r="BP179" s="4141"/>
      <c r="BQ179" s="4144"/>
    </row>
    <row r="180" spans="1:69" ht="81.75" customHeight="1" x14ac:dyDescent="0.2">
      <c r="A180" s="1857"/>
      <c r="B180" s="1858"/>
      <c r="C180" s="1859"/>
      <c r="D180" s="1860"/>
      <c r="E180" s="1860"/>
      <c r="F180" s="1859"/>
      <c r="G180" s="1864"/>
      <c r="H180" s="1865"/>
      <c r="I180" s="1866"/>
      <c r="J180" s="4138"/>
      <c r="K180" s="4149"/>
      <c r="L180" s="4149"/>
      <c r="M180" s="4155"/>
      <c r="N180" s="1892"/>
      <c r="O180" s="4155"/>
      <c r="P180" s="4149"/>
      <c r="Q180" s="4206"/>
      <c r="R180" s="2909"/>
      <c r="S180" s="4149"/>
      <c r="T180" s="4149"/>
      <c r="U180" s="161" t="s">
        <v>1698</v>
      </c>
      <c r="V180" s="1867">
        <v>20000000</v>
      </c>
      <c r="W180" s="1867">
        <v>0</v>
      </c>
      <c r="X180" s="1920">
        <v>0</v>
      </c>
      <c r="Y180" s="1852">
        <v>61</v>
      </c>
      <c r="Z180" s="1875" t="s">
        <v>1609</v>
      </c>
      <c r="AA180" s="2859"/>
      <c r="AB180" s="2859"/>
      <c r="AC180" s="2859"/>
      <c r="AD180" s="2859"/>
      <c r="AE180" s="2859"/>
      <c r="AF180" s="2859"/>
      <c r="AG180" s="2859"/>
      <c r="AH180" s="2859"/>
      <c r="AI180" s="2859"/>
      <c r="AJ180" s="2859"/>
      <c r="AK180" s="2859"/>
      <c r="AL180" s="2859"/>
      <c r="AM180" s="2859"/>
      <c r="AN180" s="2859"/>
      <c r="AO180" s="2859"/>
      <c r="AP180" s="2859"/>
      <c r="AQ180" s="2859"/>
      <c r="AR180" s="2859"/>
      <c r="AS180" s="2859"/>
      <c r="AT180" s="2859"/>
      <c r="AU180" s="2859"/>
      <c r="AV180" s="2859"/>
      <c r="AW180" s="2859"/>
      <c r="AX180" s="2859"/>
      <c r="AY180" s="2859"/>
      <c r="AZ180" s="2859"/>
      <c r="BA180" s="2859"/>
      <c r="BB180" s="2859"/>
      <c r="BC180" s="2859"/>
      <c r="BD180" s="2859"/>
      <c r="BE180" s="2859"/>
      <c r="BF180" s="2859"/>
      <c r="BG180" s="2859"/>
      <c r="BH180" s="2859"/>
      <c r="BI180" s="2859"/>
      <c r="BJ180" s="4211"/>
      <c r="BK180" s="2859"/>
      <c r="BL180" s="2897"/>
      <c r="BM180" s="3053"/>
      <c r="BN180" s="3053"/>
      <c r="BO180" s="3053"/>
      <c r="BP180" s="4142"/>
      <c r="BQ180" s="4145"/>
    </row>
    <row r="181" spans="1:69" ht="15" x14ac:dyDescent="0.2">
      <c r="A181" s="1793"/>
      <c r="B181" s="1794"/>
      <c r="C181" s="1795"/>
      <c r="D181" s="1848"/>
      <c r="E181" s="1848"/>
      <c r="F181" s="1795"/>
      <c r="G181" s="1834">
        <v>44</v>
      </c>
      <c r="H181" s="1799" t="s">
        <v>1699</v>
      </c>
      <c r="I181" s="1799"/>
      <c r="J181" s="1799"/>
      <c r="K181" s="1800"/>
      <c r="L181" s="1800"/>
      <c r="M181" s="1799"/>
      <c r="N181" s="1801"/>
      <c r="O181" s="1799"/>
      <c r="P181" s="1800"/>
      <c r="Q181" s="1799"/>
      <c r="R181" s="1835"/>
      <c r="S181" s="1800"/>
      <c r="T181" s="1802"/>
      <c r="U181" s="1800"/>
      <c r="V181" s="1926"/>
      <c r="W181" s="1926"/>
      <c r="X181" s="1926"/>
      <c r="Y181" s="1837"/>
      <c r="Z181" s="1801"/>
      <c r="AA181" s="1801"/>
      <c r="AB181" s="1801"/>
      <c r="AC181" s="1801"/>
      <c r="AD181" s="1801"/>
      <c r="AE181" s="1801"/>
      <c r="AF181" s="1801"/>
      <c r="AG181" s="1801"/>
      <c r="AH181" s="1801"/>
      <c r="AI181" s="1801"/>
      <c r="AJ181" s="1801"/>
      <c r="AK181" s="1801"/>
      <c r="AL181" s="1801"/>
      <c r="AM181" s="1801"/>
      <c r="AN181" s="1801"/>
      <c r="AO181" s="1801"/>
      <c r="AP181" s="1801"/>
      <c r="AQ181" s="1801"/>
      <c r="AR181" s="1801"/>
      <c r="AS181" s="1801"/>
      <c r="AT181" s="1801"/>
      <c r="AU181" s="1801"/>
      <c r="AV181" s="1801"/>
      <c r="AW181" s="1801"/>
      <c r="AX181" s="1801"/>
      <c r="AY181" s="1801"/>
      <c r="AZ181" s="1801"/>
      <c r="BA181" s="1801"/>
      <c r="BB181" s="1801"/>
      <c r="BC181" s="1801"/>
      <c r="BD181" s="1801"/>
      <c r="BE181" s="1801"/>
      <c r="BF181" s="1801"/>
      <c r="BG181" s="1801"/>
      <c r="BH181" s="1801"/>
      <c r="BI181" s="1801"/>
      <c r="BJ181" s="1801"/>
      <c r="BK181" s="1801"/>
      <c r="BL181" s="1801"/>
      <c r="BM181" s="1849"/>
      <c r="BN181" s="1849"/>
      <c r="BO181" s="1849"/>
      <c r="BP181" s="1839"/>
      <c r="BQ181" s="1840"/>
    </row>
    <row r="182" spans="1:69" ht="49.5" customHeight="1" x14ac:dyDescent="0.2">
      <c r="A182" s="1857"/>
      <c r="B182" s="1858"/>
      <c r="C182" s="1859"/>
      <c r="D182" s="1860"/>
      <c r="E182" s="1860"/>
      <c r="F182" s="1859"/>
      <c r="G182" s="1861"/>
      <c r="H182" s="1862"/>
      <c r="I182" s="1863"/>
      <c r="J182" s="4153">
        <v>154</v>
      </c>
      <c r="K182" s="4147" t="s">
        <v>1700</v>
      </c>
      <c r="L182" s="4147" t="s">
        <v>1701</v>
      </c>
      <c r="M182" s="4153">
        <v>5</v>
      </c>
      <c r="N182" s="4122" t="s">
        <v>1702</v>
      </c>
      <c r="O182" s="4122">
        <v>148</v>
      </c>
      <c r="P182" s="4135" t="s">
        <v>1703</v>
      </c>
      <c r="Q182" s="4204">
        <f>(V182++V187+V183+V184+V185+V186)/R182</f>
        <v>0.25662267300847325</v>
      </c>
      <c r="R182" s="4134">
        <f>SUM(V182:V209)</f>
        <v>317470000</v>
      </c>
      <c r="S182" s="4135" t="s">
        <v>1704</v>
      </c>
      <c r="T182" s="4147" t="s">
        <v>1705</v>
      </c>
      <c r="U182" s="161" t="s">
        <v>1706</v>
      </c>
      <c r="V182" s="1867">
        <v>7000000</v>
      </c>
      <c r="W182" s="1867">
        <v>1500000</v>
      </c>
      <c r="X182" s="1867">
        <v>0</v>
      </c>
      <c r="Y182" s="1852">
        <v>61</v>
      </c>
      <c r="Z182" s="1875" t="s">
        <v>1692</v>
      </c>
      <c r="AA182" s="4212">
        <v>289394</v>
      </c>
      <c r="AB182" s="4212">
        <f>AA182*0.02</f>
        <v>5787.88</v>
      </c>
      <c r="AC182" s="4212">
        <v>279112</v>
      </c>
      <c r="AD182" s="4212">
        <f>AC182*0.02</f>
        <v>5582.24</v>
      </c>
      <c r="AE182" s="4212">
        <v>63164</v>
      </c>
      <c r="AF182" s="4212">
        <f>AE182*0.02</f>
        <v>1263.28</v>
      </c>
      <c r="AG182" s="4212">
        <v>45607</v>
      </c>
      <c r="AH182" s="4212">
        <f>AG182*0.02</f>
        <v>912.14</v>
      </c>
      <c r="AI182" s="4212">
        <v>365607</v>
      </c>
      <c r="AJ182" s="4212">
        <f>AI182*0.02</f>
        <v>7312.14</v>
      </c>
      <c r="AK182" s="4212">
        <v>75612</v>
      </c>
      <c r="AL182" s="4212">
        <f>AK182*0.02</f>
        <v>1512.24</v>
      </c>
      <c r="AM182" s="4212">
        <v>2145</v>
      </c>
      <c r="AN182" s="4212">
        <f>AM182*0.02</f>
        <v>42.9</v>
      </c>
      <c r="AO182" s="4212">
        <v>12718</v>
      </c>
      <c r="AP182" s="4212">
        <f>AO182*0.02</f>
        <v>254.36</v>
      </c>
      <c r="AQ182" s="4212">
        <v>26</v>
      </c>
      <c r="AR182" s="4212">
        <f>AQ182*0.02</f>
        <v>0.52</v>
      </c>
      <c r="AS182" s="4212">
        <v>37</v>
      </c>
      <c r="AT182" s="4212">
        <f>AS182*0.02</f>
        <v>0.74</v>
      </c>
      <c r="AU182" s="4212">
        <v>0</v>
      </c>
      <c r="AV182" s="4212">
        <f>AU182*0.02</f>
        <v>0</v>
      </c>
      <c r="AW182" s="4212">
        <v>0</v>
      </c>
      <c r="AX182" s="4212">
        <f>AW182*0.02</f>
        <v>0</v>
      </c>
      <c r="AY182" s="4212">
        <v>78</v>
      </c>
      <c r="AZ182" s="4212">
        <f>AY182*0.02</f>
        <v>1.56</v>
      </c>
      <c r="BA182" s="4212">
        <v>16897</v>
      </c>
      <c r="BB182" s="4212">
        <f>BA182*0.02</f>
        <v>337.94</v>
      </c>
      <c r="BC182" s="4212">
        <f>SUM('[4]P. 100'!$W$5+'[4]P. 100'!$X$5)</f>
        <v>852</v>
      </c>
      <c r="BD182" s="4212">
        <f>BC182*0.02</f>
        <v>17.04</v>
      </c>
      <c r="BE182" s="4212">
        <f>SUM(AA182:AC182)</f>
        <v>574293.88</v>
      </c>
      <c r="BF182" s="4212">
        <f>BE182*0.02</f>
        <v>11485.8776</v>
      </c>
      <c r="BG182" s="4212">
        <v>6</v>
      </c>
      <c r="BH182" s="4212">
        <f>SUM(W182:W209)</f>
        <v>50213333</v>
      </c>
      <c r="BI182" s="4212">
        <f>SUM(X182:X209)</f>
        <v>5600000</v>
      </c>
      <c r="BJ182" s="4209">
        <f>SUM(BI182/R182)</f>
        <v>1.763946199640911E-2</v>
      </c>
      <c r="BK182" s="4212">
        <v>61</v>
      </c>
      <c r="BL182" s="4213" t="s">
        <v>1466</v>
      </c>
      <c r="BM182" s="4214">
        <v>43467</v>
      </c>
      <c r="BN182" s="4214">
        <v>44196</v>
      </c>
      <c r="BO182" s="4214">
        <v>43830</v>
      </c>
      <c r="BP182" s="4126">
        <v>44196</v>
      </c>
      <c r="BQ182" s="4221" t="s">
        <v>1432</v>
      </c>
    </row>
    <row r="183" spans="1:69" ht="49.5" customHeight="1" x14ac:dyDescent="0.2">
      <c r="A183" s="1857"/>
      <c r="B183" s="1858"/>
      <c r="C183" s="1859"/>
      <c r="D183" s="1860"/>
      <c r="E183" s="1860"/>
      <c r="F183" s="1859"/>
      <c r="G183" s="1857"/>
      <c r="H183" s="1860"/>
      <c r="I183" s="1859"/>
      <c r="J183" s="4154"/>
      <c r="K183" s="4148"/>
      <c r="L183" s="4148"/>
      <c r="M183" s="4154"/>
      <c r="N183" s="4123"/>
      <c r="O183" s="4123"/>
      <c r="P183" s="4136"/>
      <c r="Q183" s="4205"/>
      <c r="R183" s="2908"/>
      <c r="S183" s="4136"/>
      <c r="T183" s="4148"/>
      <c r="U183" s="161" t="s">
        <v>1707</v>
      </c>
      <c r="V183" s="1867">
        <v>5000000</v>
      </c>
      <c r="W183" s="1867">
        <v>1500000</v>
      </c>
      <c r="X183" s="1867">
        <v>0</v>
      </c>
      <c r="Y183" s="1852">
        <v>61</v>
      </c>
      <c r="Z183" s="1875" t="s">
        <v>1692</v>
      </c>
      <c r="AA183" s="2858"/>
      <c r="AB183" s="2858"/>
      <c r="AC183" s="2858"/>
      <c r="AD183" s="2858"/>
      <c r="AE183" s="2858"/>
      <c r="AF183" s="2858"/>
      <c r="AG183" s="2858"/>
      <c r="AH183" s="2858"/>
      <c r="AI183" s="2858"/>
      <c r="AJ183" s="2858"/>
      <c r="AK183" s="2858"/>
      <c r="AL183" s="2858"/>
      <c r="AM183" s="2858"/>
      <c r="AN183" s="2858"/>
      <c r="AO183" s="2858"/>
      <c r="AP183" s="2858"/>
      <c r="AQ183" s="2858"/>
      <c r="AR183" s="2858"/>
      <c r="AS183" s="2858"/>
      <c r="AT183" s="2858"/>
      <c r="AU183" s="2858"/>
      <c r="AV183" s="2858"/>
      <c r="AW183" s="2858"/>
      <c r="AX183" s="2858"/>
      <c r="AY183" s="2858"/>
      <c r="AZ183" s="2858"/>
      <c r="BA183" s="2858"/>
      <c r="BB183" s="2858"/>
      <c r="BC183" s="2858"/>
      <c r="BD183" s="2858"/>
      <c r="BE183" s="2858"/>
      <c r="BF183" s="2858"/>
      <c r="BG183" s="2858"/>
      <c r="BH183" s="2858"/>
      <c r="BI183" s="2858"/>
      <c r="BJ183" s="4210"/>
      <c r="BK183" s="2858"/>
      <c r="BL183" s="2896"/>
      <c r="BM183" s="3052"/>
      <c r="BN183" s="3052"/>
      <c r="BO183" s="3052"/>
      <c r="BP183" s="4127"/>
      <c r="BQ183" s="4222"/>
    </row>
    <row r="184" spans="1:69" ht="49.5" customHeight="1" x14ac:dyDescent="0.2">
      <c r="A184" s="1857"/>
      <c r="B184" s="1858"/>
      <c r="C184" s="1859"/>
      <c r="D184" s="1860"/>
      <c r="E184" s="1860"/>
      <c r="F184" s="1859"/>
      <c r="G184" s="1857"/>
      <c r="H184" s="1860"/>
      <c r="I184" s="1859"/>
      <c r="J184" s="4154"/>
      <c r="K184" s="4148"/>
      <c r="L184" s="4148"/>
      <c r="M184" s="4154"/>
      <c r="N184" s="4123"/>
      <c r="O184" s="4123"/>
      <c r="P184" s="4136"/>
      <c r="Q184" s="4205"/>
      <c r="R184" s="2908"/>
      <c r="S184" s="4136"/>
      <c r="T184" s="4148"/>
      <c r="U184" s="161" t="s">
        <v>1708</v>
      </c>
      <c r="V184" s="1867">
        <v>31000000</v>
      </c>
      <c r="W184" s="1867">
        <v>1500000</v>
      </c>
      <c r="X184" s="1867">
        <v>0</v>
      </c>
      <c r="Y184" s="1852">
        <v>61</v>
      </c>
      <c r="Z184" s="1875" t="s">
        <v>1692</v>
      </c>
      <c r="AA184" s="2858"/>
      <c r="AB184" s="2858"/>
      <c r="AC184" s="2858"/>
      <c r="AD184" s="2858"/>
      <c r="AE184" s="2858"/>
      <c r="AF184" s="2858"/>
      <c r="AG184" s="2858"/>
      <c r="AH184" s="2858"/>
      <c r="AI184" s="2858"/>
      <c r="AJ184" s="2858"/>
      <c r="AK184" s="2858"/>
      <c r="AL184" s="2858"/>
      <c r="AM184" s="2858"/>
      <c r="AN184" s="2858"/>
      <c r="AO184" s="2858"/>
      <c r="AP184" s="2858"/>
      <c r="AQ184" s="2858"/>
      <c r="AR184" s="2858"/>
      <c r="AS184" s="2858"/>
      <c r="AT184" s="2858"/>
      <c r="AU184" s="2858"/>
      <c r="AV184" s="2858"/>
      <c r="AW184" s="2858"/>
      <c r="AX184" s="2858"/>
      <c r="AY184" s="2858"/>
      <c r="AZ184" s="2858"/>
      <c r="BA184" s="2858"/>
      <c r="BB184" s="2858"/>
      <c r="BC184" s="2858"/>
      <c r="BD184" s="2858"/>
      <c r="BE184" s="2858"/>
      <c r="BF184" s="2858"/>
      <c r="BG184" s="2858"/>
      <c r="BH184" s="2858"/>
      <c r="BI184" s="2858"/>
      <c r="BJ184" s="4210"/>
      <c r="BK184" s="2858"/>
      <c r="BL184" s="2896"/>
      <c r="BM184" s="3052"/>
      <c r="BN184" s="3052"/>
      <c r="BO184" s="3052"/>
      <c r="BP184" s="4127"/>
      <c r="BQ184" s="4222"/>
    </row>
    <row r="185" spans="1:69" ht="49.5" customHeight="1" x14ac:dyDescent="0.2">
      <c r="A185" s="1857"/>
      <c r="B185" s="1858"/>
      <c r="C185" s="1859"/>
      <c r="D185" s="1860"/>
      <c r="E185" s="1860"/>
      <c r="F185" s="1859"/>
      <c r="G185" s="1857"/>
      <c r="H185" s="1860"/>
      <c r="I185" s="1859"/>
      <c r="J185" s="4154"/>
      <c r="K185" s="4148"/>
      <c r="L185" s="4148"/>
      <c r="M185" s="4154"/>
      <c r="N185" s="4123"/>
      <c r="O185" s="4123"/>
      <c r="P185" s="4136"/>
      <c r="Q185" s="4205"/>
      <c r="R185" s="2908"/>
      <c r="S185" s="4136"/>
      <c r="T185" s="4148"/>
      <c r="U185" s="161" t="s">
        <v>1709</v>
      </c>
      <c r="V185" s="1867">
        <v>11000000</v>
      </c>
      <c r="W185" s="1867"/>
      <c r="X185" s="1867">
        <v>0</v>
      </c>
      <c r="Y185" s="1852">
        <v>61</v>
      </c>
      <c r="Z185" s="1875" t="s">
        <v>1692</v>
      </c>
      <c r="AA185" s="2858"/>
      <c r="AB185" s="2858"/>
      <c r="AC185" s="2858"/>
      <c r="AD185" s="2858"/>
      <c r="AE185" s="2858"/>
      <c r="AF185" s="2858"/>
      <c r="AG185" s="2858"/>
      <c r="AH185" s="2858"/>
      <c r="AI185" s="2858"/>
      <c r="AJ185" s="2858"/>
      <c r="AK185" s="2858"/>
      <c r="AL185" s="2858"/>
      <c r="AM185" s="2858"/>
      <c r="AN185" s="2858"/>
      <c r="AO185" s="2858"/>
      <c r="AP185" s="2858"/>
      <c r="AQ185" s="2858"/>
      <c r="AR185" s="2858"/>
      <c r="AS185" s="2858"/>
      <c r="AT185" s="2858"/>
      <c r="AU185" s="2858"/>
      <c r="AV185" s="2858"/>
      <c r="AW185" s="2858"/>
      <c r="AX185" s="2858"/>
      <c r="AY185" s="2858"/>
      <c r="AZ185" s="2858"/>
      <c r="BA185" s="2858"/>
      <c r="BB185" s="2858"/>
      <c r="BC185" s="2858"/>
      <c r="BD185" s="2858"/>
      <c r="BE185" s="2858"/>
      <c r="BF185" s="2858"/>
      <c r="BG185" s="2858"/>
      <c r="BH185" s="2858"/>
      <c r="BI185" s="2858"/>
      <c r="BJ185" s="4210"/>
      <c r="BK185" s="2858"/>
      <c r="BL185" s="2896"/>
      <c r="BM185" s="3052"/>
      <c r="BN185" s="3052"/>
      <c r="BO185" s="3052"/>
      <c r="BP185" s="4127"/>
      <c r="BQ185" s="4222"/>
    </row>
    <row r="186" spans="1:69" ht="114.75" customHeight="1" x14ac:dyDescent="0.2">
      <c r="A186" s="1857"/>
      <c r="B186" s="1858"/>
      <c r="C186" s="1859"/>
      <c r="D186" s="1860"/>
      <c r="E186" s="1860"/>
      <c r="F186" s="1859"/>
      <c r="G186" s="1857"/>
      <c r="H186" s="1860"/>
      <c r="I186" s="1859"/>
      <c r="J186" s="4154"/>
      <c r="K186" s="4148"/>
      <c r="L186" s="4148"/>
      <c r="M186" s="4154"/>
      <c r="N186" s="4123"/>
      <c r="O186" s="4123"/>
      <c r="P186" s="4136"/>
      <c r="Q186" s="4205"/>
      <c r="R186" s="2908"/>
      <c r="S186" s="4136"/>
      <c r="T186" s="4148"/>
      <c r="U186" s="161" t="s">
        <v>1710</v>
      </c>
      <c r="V186" s="1867">
        <v>5000000</v>
      </c>
      <c r="W186" s="1867">
        <v>2000000</v>
      </c>
      <c r="X186" s="1867">
        <v>0</v>
      </c>
      <c r="Y186" s="1852">
        <v>61</v>
      </c>
      <c r="Z186" s="1875" t="s">
        <v>1692</v>
      </c>
      <c r="AA186" s="2858"/>
      <c r="AB186" s="2858"/>
      <c r="AC186" s="2858"/>
      <c r="AD186" s="2858"/>
      <c r="AE186" s="2858"/>
      <c r="AF186" s="2858"/>
      <c r="AG186" s="2858"/>
      <c r="AH186" s="2858"/>
      <c r="AI186" s="2858"/>
      <c r="AJ186" s="2858"/>
      <c r="AK186" s="2858"/>
      <c r="AL186" s="2858"/>
      <c r="AM186" s="2858"/>
      <c r="AN186" s="2858"/>
      <c r="AO186" s="2858"/>
      <c r="AP186" s="2858"/>
      <c r="AQ186" s="2858"/>
      <c r="AR186" s="2858"/>
      <c r="AS186" s="2858"/>
      <c r="AT186" s="2858"/>
      <c r="AU186" s="2858"/>
      <c r="AV186" s="2858"/>
      <c r="AW186" s="2858"/>
      <c r="AX186" s="2858"/>
      <c r="AY186" s="2858"/>
      <c r="AZ186" s="2858"/>
      <c r="BA186" s="2858"/>
      <c r="BB186" s="2858"/>
      <c r="BC186" s="2858"/>
      <c r="BD186" s="2858"/>
      <c r="BE186" s="2858"/>
      <c r="BF186" s="2858"/>
      <c r="BG186" s="2858"/>
      <c r="BH186" s="2858"/>
      <c r="BI186" s="2858"/>
      <c r="BJ186" s="4210"/>
      <c r="BK186" s="2858"/>
      <c r="BL186" s="2896"/>
      <c r="BM186" s="3052"/>
      <c r="BN186" s="3052"/>
      <c r="BO186" s="3052"/>
      <c r="BP186" s="4127"/>
      <c r="BQ186" s="4222"/>
    </row>
    <row r="187" spans="1:69" ht="86.25" customHeight="1" x14ac:dyDescent="0.2">
      <c r="A187" s="1857"/>
      <c r="B187" s="1858"/>
      <c r="C187" s="1859"/>
      <c r="D187" s="1860"/>
      <c r="E187" s="1860"/>
      <c r="F187" s="1859"/>
      <c r="G187" s="1857"/>
      <c r="H187" s="1860"/>
      <c r="I187" s="1859"/>
      <c r="J187" s="4154"/>
      <c r="K187" s="4148"/>
      <c r="L187" s="4149"/>
      <c r="M187" s="4155"/>
      <c r="N187" s="4123"/>
      <c r="O187" s="4123"/>
      <c r="P187" s="4136"/>
      <c r="Q187" s="4206"/>
      <c r="R187" s="2908"/>
      <c r="S187" s="4136"/>
      <c r="T187" s="4149"/>
      <c r="U187" s="161" t="s">
        <v>1711</v>
      </c>
      <c r="V187" s="1867">
        <v>22470000</v>
      </c>
      <c r="W187" s="1867">
        <v>8433333</v>
      </c>
      <c r="X187" s="1867">
        <v>0</v>
      </c>
      <c r="Y187" s="1852">
        <v>61</v>
      </c>
      <c r="Z187" s="1875" t="s">
        <v>1692</v>
      </c>
      <c r="AA187" s="2858"/>
      <c r="AB187" s="2858"/>
      <c r="AC187" s="2858"/>
      <c r="AD187" s="2858"/>
      <c r="AE187" s="2858"/>
      <c r="AF187" s="2858"/>
      <c r="AG187" s="2858"/>
      <c r="AH187" s="2858"/>
      <c r="AI187" s="2858"/>
      <c r="AJ187" s="2858"/>
      <c r="AK187" s="2858"/>
      <c r="AL187" s="2858"/>
      <c r="AM187" s="2858"/>
      <c r="AN187" s="2858"/>
      <c r="AO187" s="2858"/>
      <c r="AP187" s="2858"/>
      <c r="AQ187" s="2858"/>
      <c r="AR187" s="2858"/>
      <c r="AS187" s="2858"/>
      <c r="AT187" s="2858"/>
      <c r="AU187" s="2858"/>
      <c r="AV187" s="2858"/>
      <c r="AW187" s="2858"/>
      <c r="AX187" s="2858"/>
      <c r="AY187" s="2858"/>
      <c r="AZ187" s="2858"/>
      <c r="BA187" s="2858"/>
      <c r="BB187" s="2858"/>
      <c r="BC187" s="2858"/>
      <c r="BD187" s="2858"/>
      <c r="BE187" s="2858"/>
      <c r="BF187" s="2858"/>
      <c r="BG187" s="2858"/>
      <c r="BH187" s="2858"/>
      <c r="BI187" s="2858"/>
      <c r="BJ187" s="4210"/>
      <c r="BK187" s="2858"/>
      <c r="BL187" s="2896"/>
      <c r="BM187" s="3052"/>
      <c r="BN187" s="3052"/>
      <c r="BO187" s="3052"/>
      <c r="BP187" s="4127"/>
      <c r="BQ187" s="4222"/>
    </row>
    <row r="188" spans="1:69" ht="63.75" customHeight="1" x14ac:dyDescent="0.2">
      <c r="A188" s="1857"/>
      <c r="B188" s="1858"/>
      <c r="C188" s="1859"/>
      <c r="D188" s="1860"/>
      <c r="E188" s="1860"/>
      <c r="F188" s="1859"/>
      <c r="G188" s="1857"/>
      <c r="H188" s="1860"/>
      <c r="I188" s="1860"/>
      <c r="J188" s="4224">
        <v>155</v>
      </c>
      <c r="K188" s="4225" t="s">
        <v>1712</v>
      </c>
      <c r="L188" s="4226" t="s">
        <v>1713</v>
      </c>
      <c r="M188" s="4153">
        <v>1</v>
      </c>
      <c r="N188" s="4123"/>
      <c r="O188" s="4123"/>
      <c r="P188" s="4136"/>
      <c r="Q188" s="4204">
        <f>(V188+V194+V195+V189+V190+V191+V192+V193)/R182</f>
        <v>0.28349135351371785</v>
      </c>
      <c r="R188" s="2908"/>
      <c r="S188" s="4136"/>
      <c r="T188" s="4147" t="s">
        <v>1714</v>
      </c>
      <c r="U188" s="161" t="s">
        <v>1715</v>
      </c>
      <c r="V188" s="1867">
        <v>2000000</v>
      </c>
      <c r="W188" s="1867">
        <v>0</v>
      </c>
      <c r="X188" s="1867">
        <v>0</v>
      </c>
      <c r="Y188" s="1852">
        <v>61</v>
      </c>
      <c r="Z188" s="1875" t="s">
        <v>1692</v>
      </c>
      <c r="AA188" s="2858"/>
      <c r="AB188" s="2858"/>
      <c r="AC188" s="2858"/>
      <c r="AD188" s="2858"/>
      <c r="AE188" s="2858"/>
      <c r="AF188" s="2858"/>
      <c r="AG188" s="2858"/>
      <c r="AH188" s="2858"/>
      <c r="AI188" s="2858"/>
      <c r="AJ188" s="2858"/>
      <c r="AK188" s="2858"/>
      <c r="AL188" s="2858"/>
      <c r="AM188" s="2858"/>
      <c r="AN188" s="2858"/>
      <c r="AO188" s="2858"/>
      <c r="AP188" s="2858"/>
      <c r="AQ188" s="2858"/>
      <c r="AR188" s="2858"/>
      <c r="AS188" s="2858"/>
      <c r="AT188" s="2858"/>
      <c r="AU188" s="2858"/>
      <c r="AV188" s="2858"/>
      <c r="AW188" s="2858"/>
      <c r="AX188" s="2858"/>
      <c r="AY188" s="2858"/>
      <c r="AZ188" s="2858"/>
      <c r="BA188" s="2858"/>
      <c r="BB188" s="2858"/>
      <c r="BC188" s="2858"/>
      <c r="BD188" s="2858"/>
      <c r="BE188" s="2858"/>
      <c r="BF188" s="2858"/>
      <c r="BG188" s="2858"/>
      <c r="BH188" s="2858"/>
      <c r="BI188" s="2858"/>
      <c r="BJ188" s="4210"/>
      <c r="BK188" s="2858"/>
      <c r="BL188" s="2896"/>
      <c r="BM188" s="3052"/>
      <c r="BN188" s="3052"/>
      <c r="BO188" s="3052"/>
      <c r="BP188" s="4127"/>
      <c r="BQ188" s="4222"/>
    </row>
    <row r="189" spans="1:69" ht="87.75" customHeight="1" x14ac:dyDescent="0.2">
      <c r="A189" s="1857"/>
      <c r="B189" s="1858"/>
      <c r="C189" s="1859"/>
      <c r="D189" s="1860"/>
      <c r="E189" s="1860"/>
      <c r="F189" s="1859"/>
      <c r="G189" s="1857"/>
      <c r="H189" s="1860"/>
      <c r="I189" s="1860"/>
      <c r="J189" s="4224"/>
      <c r="K189" s="4225"/>
      <c r="L189" s="4227"/>
      <c r="M189" s="4154"/>
      <c r="N189" s="4123"/>
      <c r="O189" s="4123"/>
      <c r="P189" s="4136"/>
      <c r="Q189" s="4205"/>
      <c r="R189" s="2908"/>
      <c r="S189" s="4136"/>
      <c r="T189" s="4148"/>
      <c r="U189" s="161" t="s">
        <v>1716</v>
      </c>
      <c r="V189" s="1867">
        <v>18500000</v>
      </c>
      <c r="W189" s="1867">
        <v>0</v>
      </c>
      <c r="X189" s="1867">
        <v>0</v>
      </c>
      <c r="Y189" s="1852">
        <v>61</v>
      </c>
      <c r="Z189" s="1875" t="s">
        <v>1692</v>
      </c>
      <c r="AA189" s="2858"/>
      <c r="AB189" s="2858"/>
      <c r="AC189" s="2858"/>
      <c r="AD189" s="2858"/>
      <c r="AE189" s="2858"/>
      <c r="AF189" s="2858"/>
      <c r="AG189" s="2858"/>
      <c r="AH189" s="2858"/>
      <c r="AI189" s="2858"/>
      <c r="AJ189" s="2858"/>
      <c r="AK189" s="2858"/>
      <c r="AL189" s="2858"/>
      <c r="AM189" s="2858"/>
      <c r="AN189" s="2858"/>
      <c r="AO189" s="2858"/>
      <c r="AP189" s="2858"/>
      <c r="AQ189" s="2858"/>
      <c r="AR189" s="2858"/>
      <c r="AS189" s="2858"/>
      <c r="AT189" s="2858"/>
      <c r="AU189" s="2858"/>
      <c r="AV189" s="2858"/>
      <c r="AW189" s="2858"/>
      <c r="AX189" s="2858"/>
      <c r="AY189" s="2858"/>
      <c r="AZ189" s="2858"/>
      <c r="BA189" s="2858"/>
      <c r="BB189" s="2858"/>
      <c r="BC189" s="2858"/>
      <c r="BD189" s="2858"/>
      <c r="BE189" s="2858"/>
      <c r="BF189" s="2858"/>
      <c r="BG189" s="2858"/>
      <c r="BH189" s="2858"/>
      <c r="BI189" s="2858"/>
      <c r="BJ189" s="4210"/>
      <c r="BK189" s="2858"/>
      <c r="BL189" s="2896"/>
      <c r="BM189" s="3052"/>
      <c r="BN189" s="3052"/>
      <c r="BO189" s="3052"/>
      <c r="BP189" s="4127"/>
      <c r="BQ189" s="4222"/>
    </row>
    <row r="190" spans="1:69" ht="49.5" customHeight="1" x14ac:dyDescent="0.2">
      <c r="A190" s="1857"/>
      <c r="B190" s="1858"/>
      <c r="C190" s="1859"/>
      <c r="D190" s="1860"/>
      <c r="E190" s="1860"/>
      <c r="F190" s="1859"/>
      <c r="G190" s="1857"/>
      <c r="H190" s="1860"/>
      <c r="I190" s="1860"/>
      <c r="J190" s="4224"/>
      <c r="K190" s="4225"/>
      <c r="L190" s="4227"/>
      <c r="M190" s="4154"/>
      <c r="N190" s="4123"/>
      <c r="O190" s="4123"/>
      <c r="P190" s="4136"/>
      <c r="Q190" s="4205"/>
      <c r="R190" s="2908"/>
      <c r="S190" s="4136"/>
      <c r="T190" s="4148"/>
      <c r="U190" s="161" t="s">
        <v>1717</v>
      </c>
      <c r="V190" s="1867">
        <v>45500000</v>
      </c>
      <c r="W190" s="1867">
        <v>15413334</v>
      </c>
      <c r="X190" s="1867">
        <v>0</v>
      </c>
      <c r="Y190" s="1852">
        <v>61</v>
      </c>
      <c r="Z190" s="1875" t="s">
        <v>1692</v>
      </c>
      <c r="AA190" s="2858"/>
      <c r="AB190" s="2858"/>
      <c r="AC190" s="2858"/>
      <c r="AD190" s="2858"/>
      <c r="AE190" s="2858"/>
      <c r="AF190" s="2858"/>
      <c r="AG190" s="2858"/>
      <c r="AH190" s="2858"/>
      <c r="AI190" s="2858"/>
      <c r="AJ190" s="2858"/>
      <c r="AK190" s="2858"/>
      <c r="AL190" s="2858"/>
      <c r="AM190" s="2858"/>
      <c r="AN190" s="2858"/>
      <c r="AO190" s="2858"/>
      <c r="AP190" s="2858"/>
      <c r="AQ190" s="2858"/>
      <c r="AR190" s="2858"/>
      <c r="AS190" s="2858"/>
      <c r="AT190" s="2858"/>
      <c r="AU190" s="2858"/>
      <c r="AV190" s="2858"/>
      <c r="AW190" s="2858"/>
      <c r="AX190" s="2858"/>
      <c r="AY190" s="2858"/>
      <c r="AZ190" s="2858"/>
      <c r="BA190" s="2858"/>
      <c r="BB190" s="2858"/>
      <c r="BC190" s="2858"/>
      <c r="BD190" s="2858"/>
      <c r="BE190" s="2858"/>
      <c r="BF190" s="2858"/>
      <c r="BG190" s="2858"/>
      <c r="BH190" s="2858"/>
      <c r="BI190" s="2858"/>
      <c r="BJ190" s="4210"/>
      <c r="BK190" s="2858"/>
      <c r="BL190" s="2896"/>
      <c r="BM190" s="3052"/>
      <c r="BN190" s="3052"/>
      <c r="BO190" s="3052"/>
      <c r="BP190" s="4127"/>
      <c r="BQ190" s="4222"/>
    </row>
    <row r="191" spans="1:69" ht="49.5" customHeight="1" x14ac:dyDescent="0.2">
      <c r="A191" s="1857"/>
      <c r="B191" s="1858"/>
      <c r="C191" s="1859"/>
      <c r="D191" s="1860"/>
      <c r="E191" s="1860"/>
      <c r="F191" s="1859"/>
      <c r="G191" s="1857"/>
      <c r="H191" s="1860"/>
      <c r="I191" s="1860"/>
      <c r="J191" s="4224"/>
      <c r="K191" s="4225"/>
      <c r="L191" s="4227"/>
      <c r="M191" s="4154"/>
      <c r="N191" s="4123"/>
      <c r="O191" s="4123"/>
      <c r="P191" s="4136"/>
      <c r="Q191" s="4205"/>
      <c r="R191" s="2908"/>
      <c r="S191" s="4136"/>
      <c r="T191" s="4148"/>
      <c r="U191" s="161" t="s">
        <v>1718</v>
      </c>
      <c r="V191" s="1867">
        <v>2000000</v>
      </c>
      <c r="W191" s="1867">
        <v>0</v>
      </c>
      <c r="X191" s="1626">
        <v>0</v>
      </c>
      <c r="Y191" s="1852">
        <v>61</v>
      </c>
      <c r="Z191" s="1875" t="s">
        <v>1692</v>
      </c>
      <c r="AA191" s="2858"/>
      <c r="AB191" s="2858"/>
      <c r="AC191" s="2858"/>
      <c r="AD191" s="2858"/>
      <c r="AE191" s="2858"/>
      <c r="AF191" s="2858"/>
      <c r="AG191" s="2858"/>
      <c r="AH191" s="2858"/>
      <c r="AI191" s="2858"/>
      <c r="AJ191" s="2858"/>
      <c r="AK191" s="2858"/>
      <c r="AL191" s="2858"/>
      <c r="AM191" s="2858"/>
      <c r="AN191" s="2858"/>
      <c r="AO191" s="2858"/>
      <c r="AP191" s="2858"/>
      <c r="AQ191" s="2858"/>
      <c r="AR191" s="2858"/>
      <c r="AS191" s="2858"/>
      <c r="AT191" s="2858"/>
      <c r="AU191" s="2858"/>
      <c r="AV191" s="2858"/>
      <c r="AW191" s="2858"/>
      <c r="AX191" s="2858"/>
      <c r="AY191" s="2858"/>
      <c r="AZ191" s="2858"/>
      <c r="BA191" s="2858"/>
      <c r="BB191" s="2858"/>
      <c r="BC191" s="2858"/>
      <c r="BD191" s="2858"/>
      <c r="BE191" s="2858"/>
      <c r="BF191" s="2858"/>
      <c r="BG191" s="2858"/>
      <c r="BH191" s="2858"/>
      <c r="BI191" s="2858"/>
      <c r="BJ191" s="4210"/>
      <c r="BK191" s="2858"/>
      <c r="BL191" s="2896"/>
      <c r="BM191" s="3052"/>
      <c r="BN191" s="3052"/>
      <c r="BO191" s="3052"/>
      <c r="BP191" s="4127"/>
      <c r="BQ191" s="4222"/>
    </row>
    <row r="192" spans="1:69" ht="49.5" customHeight="1" x14ac:dyDescent="0.2">
      <c r="A192" s="1857"/>
      <c r="B192" s="1858"/>
      <c r="C192" s="1859"/>
      <c r="D192" s="1860"/>
      <c r="E192" s="1860"/>
      <c r="F192" s="1859"/>
      <c r="G192" s="1857"/>
      <c r="H192" s="1860"/>
      <c r="I192" s="1860"/>
      <c r="J192" s="4224"/>
      <c r="K192" s="4225"/>
      <c r="L192" s="4227"/>
      <c r="M192" s="4154"/>
      <c r="N192" s="4123"/>
      <c r="O192" s="4123"/>
      <c r="P192" s="4136"/>
      <c r="Q192" s="4205"/>
      <c r="R192" s="2908"/>
      <c r="S192" s="4136"/>
      <c r="T192" s="4148"/>
      <c r="U192" s="161" t="s">
        <v>1719</v>
      </c>
      <c r="V192" s="1867">
        <v>2000000</v>
      </c>
      <c r="W192" s="1867">
        <v>0</v>
      </c>
      <c r="X192" s="1867">
        <v>0</v>
      </c>
      <c r="Y192" s="1852">
        <v>61</v>
      </c>
      <c r="Z192" s="1875" t="s">
        <v>1692</v>
      </c>
      <c r="AA192" s="2858"/>
      <c r="AB192" s="2858"/>
      <c r="AC192" s="2858"/>
      <c r="AD192" s="2858"/>
      <c r="AE192" s="2858"/>
      <c r="AF192" s="2858"/>
      <c r="AG192" s="2858"/>
      <c r="AH192" s="2858"/>
      <c r="AI192" s="2858"/>
      <c r="AJ192" s="2858"/>
      <c r="AK192" s="2858"/>
      <c r="AL192" s="2858"/>
      <c r="AM192" s="2858"/>
      <c r="AN192" s="2858"/>
      <c r="AO192" s="2858"/>
      <c r="AP192" s="2858"/>
      <c r="AQ192" s="2858"/>
      <c r="AR192" s="2858"/>
      <c r="AS192" s="2858"/>
      <c r="AT192" s="2858"/>
      <c r="AU192" s="2858"/>
      <c r="AV192" s="2858"/>
      <c r="AW192" s="2858"/>
      <c r="AX192" s="2858"/>
      <c r="AY192" s="2858"/>
      <c r="AZ192" s="2858"/>
      <c r="BA192" s="2858"/>
      <c r="BB192" s="2858"/>
      <c r="BC192" s="2858"/>
      <c r="BD192" s="2858"/>
      <c r="BE192" s="2858"/>
      <c r="BF192" s="2858"/>
      <c r="BG192" s="2858"/>
      <c r="BH192" s="2858"/>
      <c r="BI192" s="2858"/>
      <c r="BJ192" s="4210"/>
      <c r="BK192" s="2858"/>
      <c r="BL192" s="2896"/>
      <c r="BM192" s="3052"/>
      <c r="BN192" s="3052"/>
      <c r="BO192" s="3052"/>
      <c r="BP192" s="4127"/>
      <c r="BQ192" s="4222"/>
    </row>
    <row r="193" spans="1:69" ht="49.5" customHeight="1" x14ac:dyDescent="0.2">
      <c r="A193" s="1857"/>
      <c r="B193" s="1858"/>
      <c r="C193" s="1859"/>
      <c r="D193" s="1860"/>
      <c r="E193" s="1860"/>
      <c r="F193" s="1859"/>
      <c r="G193" s="1857"/>
      <c r="H193" s="1860"/>
      <c r="I193" s="1860"/>
      <c r="J193" s="4224"/>
      <c r="K193" s="4225"/>
      <c r="L193" s="4227"/>
      <c r="M193" s="4154"/>
      <c r="N193" s="4123"/>
      <c r="O193" s="4123"/>
      <c r="P193" s="4136"/>
      <c r="Q193" s="4205"/>
      <c r="R193" s="2908"/>
      <c r="S193" s="4136"/>
      <c r="T193" s="4148"/>
      <c r="U193" s="161" t="s">
        <v>1720</v>
      </c>
      <c r="V193" s="1867">
        <v>14000000</v>
      </c>
      <c r="W193" s="1867">
        <v>0</v>
      </c>
      <c r="X193" s="1867">
        <v>0</v>
      </c>
      <c r="Y193" s="1852">
        <v>61</v>
      </c>
      <c r="Z193" s="1875" t="s">
        <v>1692</v>
      </c>
      <c r="AA193" s="2858"/>
      <c r="AB193" s="2858"/>
      <c r="AC193" s="2858"/>
      <c r="AD193" s="2858"/>
      <c r="AE193" s="2858"/>
      <c r="AF193" s="2858"/>
      <c r="AG193" s="2858"/>
      <c r="AH193" s="2858"/>
      <c r="AI193" s="2858"/>
      <c r="AJ193" s="2858"/>
      <c r="AK193" s="2858"/>
      <c r="AL193" s="2858"/>
      <c r="AM193" s="2858"/>
      <c r="AN193" s="2858"/>
      <c r="AO193" s="2858"/>
      <c r="AP193" s="2858"/>
      <c r="AQ193" s="2858"/>
      <c r="AR193" s="2858"/>
      <c r="AS193" s="2858"/>
      <c r="AT193" s="2858"/>
      <c r="AU193" s="2858"/>
      <c r="AV193" s="2858"/>
      <c r="AW193" s="2858"/>
      <c r="AX193" s="2858"/>
      <c r="AY193" s="2858"/>
      <c r="AZ193" s="2858"/>
      <c r="BA193" s="2858"/>
      <c r="BB193" s="2858"/>
      <c r="BC193" s="2858"/>
      <c r="BD193" s="2858"/>
      <c r="BE193" s="2858"/>
      <c r="BF193" s="2858"/>
      <c r="BG193" s="2858"/>
      <c r="BH193" s="2858"/>
      <c r="BI193" s="2858"/>
      <c r="BJ193" s="4210"/>
      <c r="BK193" s="2858"/>
      <c r="BL193" s="2896"/>
      <c r="BM193" s="3052"/>
      <c r="BN193" s="3052"/>
      <c r="BO193" s="3052"/>
      <c r="BP193" s="4127"/>
      <c r="BQ193" s="4222"/>
    </row>
    <row r="194" spans="1:69" ht="49.5" customHeight="1" x14ac:dyDescent="0.2">
      <c r="A194" s="1857"/>
      <c r="B194" s="1858"/>
      <c r="C194" s="1859"/>
      <c r="D194" s="1860"/>
      <c r="E194" s="1860"/>
      <c r="F194" s="1859"/>
      <c r="G194" s="1857"/>
      <c r="H194" s="1860"/>
      <c r="I194" s="1860"/>
      <c r="J194" s="4224"/>
      <c r="K194" s="4225"/>
      <c r="L194" s="4227"/>
      <c r="M194" s="4154"/>
      <c r="N194" s="4123"/>
      <c r="O194" s="4123"/>
      <c r="P194" s="4136"/>
      <c r="Q194" s="4205"/>
      <c r="R194" s="2908"/>
      <c r="S194" s="4136"/>
      <c r="T194" s="4148"/>
      <c r="U194" s="161" t="s">
        <v>1721</v>
      </c>
      <c r="V194" s="1867">
        <v>4000000</v>
      </c>
      <c r="W194" s="1867">
        <v>4000000</v>
      </c>
      <c r="X194" s="1867"/>
      <c r="Y194" s="1852">
        <v>61</v>
      </c>
      <c r="Z194" s="1875" t="s">
        <v>1692</v>
      </c>
      <c r="AA194" s="2858"/>
      <c r="AB194" s="2858"/>
      <c r="AC194" s="2858"/>
      <c r="AD194" s="2858"/>
      <c r="AE194" s="2858"/>
      <c r="AF194" s="2858"/>
      <c r="AG194" s="2858"/>
      <c r="AH194" s="2858"/>
      <c r="AI194" s="2858"/>
      <c r="AJ194" s="2858"/>
      <c r="AK194" s="2858"/>
      <c r="AL194" s="2858"/>
      <c r="AM194" s="2858"/>
      <c r="AN194" s="2858"/>
      <c r="AO194" s="2858"/>
      <c r="AP194" s="2858"/>
      <c r="AQ194" s="2858"/>
      <c r="AR194" s="2858"/>
      <c r="AS194" s="2858"/>
      <c r="AT194" s="2858"/>
      <c r="AU194" s="2858"/>
      <c r="AV194" s="2858"/>
      <c r="AW194" s="2858"/>
      <c r="AX194" s="2858"/>
      <c r="AY194" s="2858"/>
      <c r="AZ194" s="2858"/>
      <c r="BA194" s="2858"/>
      <c r="BB194" s="2858"/>
      <c r="BC194" s="2858"/>
      <c r="BD194" s="2858"/>
      <c r="BE194" s="2858"/>
      <c r="BF194" s="2858"/>
      <c r="BG194" s="2858"/>
      <c r="BH194" s="2858"/>
      <c r="BI194" s="2858"/>
      <c r="BJ194" s="4210"/>
      <c r="BK194" s="2858"/>
      <c r="BL194" s="2896"/>
      <c r="BM194" s="3052"/>
      <c r="BN194" s="3052"/>
      <c r="BO194" s="3052"/>
      <c r="BP194" s="4127"/>
      <c r="BQ194" s="4222"/>
    </row>
    <row r="195" spans="1:69" ht="49.5" customHeight="1" x14ac:dyDescent="0.2">
      <c r="A195" s="1857"/>
      <c r="B195" s="1858"/>
      <c r="C195" s="1859"/>
      <c r="D195" s="1860"/>
      <c r="E195" s="1860"/>
      <c r="F195" s="1859"/>
      <c r="G195" s="1857"/>
      <c r="H195" s="1860"/>
      <c r="I195" s="1860"/>
      <c r="J195" s="4224"/>
      <c r="K195" s="4225"/>
      <c r="L195" s="4228"/>
      <c r="M195" s="4155"/>
      <c r="N195" s="4123"/>
      <c r="O195" s="4123"/>
      <c r="P195" s="4136"/>
      <c r="Q195" s="4206"/>
      <c r="R195" s="2908"/>
      <c r="S195" s="4136"/>
      <c r="T195" s="4149"/>
      <c r="U195" s="161" t="s">
        <v>1722</v>
      </c>
      <c r="V195" s="1867">
        <v>2000000</v>
      </c>
      <c r="W195" s="1867">
        <v>0</v>
      </c>
      <c r="X195" s="1867">
        <v>0</v>
      </c>
      <c r="Y195" s="1852">
        <v>61</v>
      </c>
      <c r="Z195" s="1875" t="s">
        <v>1692</v>
      </c>
      <c r="AA195" s="2858"/>
      <c r="AB195" s="2858"/>
      <c r="AC195" s="2858"/>
      <c r="AD195" s="2858"/>
      <c r="AE195" s="2858"/>
      <c r="AF195" s="2858"/>
      <c r="AG195" s="2858"/>
      <c r="AH195" s="2858"/>
      <c r="AI195" s="2858"/>
      <c r="AJ195" s="2858"/>
      <c r="AK195" s="2858"/>
      <c r="AL195" s="2858"/>
      <c r="AM195" s="2858"/>
      <c r="AN195" s="2858"/>
      <c r="AO195" s="2858"/>
      <c r="AP195" s="2858"/>
      <c r="AQ195" s="2858"/>
      <c r="AR195" s="2858"/>
      <c r="AS195" s="2858"/>
      <c r="AT195" s="2858"/>
      <c r="AU195" s="2858"/>
      <c r="AV195" s="2858"/>
      <c r="AW195" s="2858"/>
      <c r="AX195" s="2858"/>
      <c r="AY195" s="2858"/>
      <c r="AZ195" s="2858"/>
      <c r="BA195" s="2858"/>
      <c r="BB195" s="2858"/>
      <c r="BC195" s="2858"/>
      <c r="BD195" s="2858"/>
      <c r="BE195" s="2858"/>
      <c r="BF195" s="2858"/>
      <c r="BG195" s="2858"/>
      <c r="BH195" s="2858"/>
      <c r="BI195" s="2858"/>
      <c r="BJ195" s="4210"/>
      <c r="BK195" s="2858"/>
      <c r="BL195" s="2896"/>
      <c r="BM195" s="3052"/>
      <c r="BN195" s="3052"/>
      <c r="BO195" s="3052"/>
      <c r="BP195" s="4127"/>
      <c r="BQ195" s="4222"/>
    </row>
    <row r="196" spans="1:69" ht="60.75" customHeight="1" x14ac:dyDescent="0.2">
      <c r="A196" s="1857"/>
      <c r="B196" s="1858"/>
      <c r="C196" s="1859"/>
      <c r="D196" s="1860"/>
      <c r="E196" s="1860"/>
      <c r="F196" s="1859"/>
      <c r="G196" s="1857"/>
      <c r="H196" s="1860"/>
      <c r="I196" s="1859"/>
      <c r="J196" s="4154">
        <v>156</v>
      </c>
      <c r="K196" s="4148" t="s">
        <v>1723</v>
      </c>
      <c r="L196" s="4147" t="s">
        <v>1724</v>
      </c>
      <c r="M196" s="4153">
        <v>12</v>
      </c>
      <c r="N196" s="4123"/>
      <c r="O196" s="4123"/>
      <c r="P196" s="4136"/>
      <c r="Q196" s="4204">
        <f>(V196+V197+V198+V199+V200+V201)/R182</f>
        <v>0.28349135351371785</v>
      </c>
      <c r="R196" s="2908"/>
      <c r="S196" s="4136"/>
      <c r="T196" s="4147" t="s">
        <v>1725</v>
      </c>
      <c r="U196" s="161" t="s">
        <v>1726</v>
      </c>
      <c r="V196" s="1867">
        <v>20000000</v>
      </c>
      <c r="W196" s="1867">
        <v>0</v>
      </c>
      <c r="X196" s="1867">
        <v>0</v>
      </c>
      <c r="Y196" s="1852">
        <v>61</v>
      </c>
      <c r="Z196" s="1875" t="s">
        <v>1692</v>
      </c>
      <c r="AA196" s="2858"/>
      <c r="AB196" s="2858"/>
      <c r="AC196" s="2858"/>
      <c r="AD196" s="2858"/>
      <c r="AE196" s="2858"/>
      <c r="AF196" s="2858"/>
      <c r="AG196" s="2858"/>
      <c r="AH196" s="2858"/>
      <c r="AI196" s="2858"/>
      <c r="AJ196" s="2858"/>
      <c r="AK196" s="2858"/>
      <c r="AL196" s="2858"/>
      <c r="AM196" s="2858"/>
      <c r="AN196" s="2858"/>
      <c r="AO196" s="2858"/>
      <c r="AP196" s="2858"/>
      <c r="AQ196" s="2858"/>
      <c r="AR196" s="2858"/>
      <c r="AS196" s="2858"/>
      <c r="AT196" s="2858"/>
      <c r="AU196" s="2858"/>
      <c r="AV196" s="2858"/>
      <c r="AW196" s="2858"/>
      <c r="AX196" s="2858"/>
      <c r="AY196" s="2858"/>
      <c r="AZ196" s="2858"/>
      <c r="BA196" s="2858"/>
      <c r="BB196" s="2858"/>
      <c r="BC196" s="2858"/>
      <c r="BD196" s="2858"/>
      <c r="BE196" s="2858"/>
      <c r="BF196" s="2858"/>
      <c r="BG196" s="2858"/>
      <c r="BH196" s="2858"/>
      <c r="BI196" s="2858"/>
      <c r="BJ196" s="4210"/>
      <c r="BK196" s="2858"/>
      <c r="BL196" s="2896"/>
      <c r="BM196" s="3052"/>
      <c r="BN196" s="3052"/>
      <c r="BO196" s="3052"/>
      <c r="BP196" s="4127"/>
      <c r="BQ196" s="4222"/>
    </row>
    <row r="197" spans="1:69" ht="69" customHeight="1" x14ac:dyDescent="0.2">
      <c r="A197" s="1857"/>
      <c r="B197" s="1858"/>
      <c r="C197" s="1859"/>
      <c r="D197" s="1860"/>
      <c r="E197" s="1860"/>
      <c r="F197" s="1859"/>
      <c r="G197" s="1857"/>
      <c r="H197" s="1860"/>
      <c r="I197" s="1859"/>
      <c r="J197" s="4154"/>
      <c r="K197" s="4148"/>
      <c r="L197" s="4148"/>
      <c r="M197" s="4154"/>
      <c r="N197" s="4123"/>
      <c r="O197" s="4123"/>
      <c r="P197" s="4136"/>
      <c r="Q197" s="4205"/>
      <c r="R197" s="2908"/>
      <c r="S197" s="4136"/>
      <c r="T197" s="4148"/>
      <c r="U197" s="161" t="s">
        <v>1727</v>
      </c>
      <c r="V197" s="1867">
        <v>19500000</v>
      </c>
      <c r="W197" s="1867">
        <v>0</v>
      </c>
      <c r="X197" s="1867">
        <v>0</v>
      </c>
      <c r="Y197" s="1852">
        <v>61</v>
      </c>
      <c r="Z197" s="1875" t="s">
        <v>1692</v>
      </c>
      <c r="AA197" s="2858"/>
      <c r="AB197" s="2858"/>
      <c r="AC197" s="2858"/>
      <c r="AD197" s="2858"/>
      <c r="AE197" s="2858"/>
      <c r="AF197" s="2858"/>
      <c r="AG197" s="2858"/>
      <c r="AH197" s="2858"/>
      <c r="AI197" s="2858"/>
      <c r="AJ197" s="2858"/>
      <c r="AK197" s="2858"/>
      <c r="AL197" s="2858"/>
      <c r="AM197" s="2858"/>
      <c r="AN197" s="2858"/>
      <c r="AO197" s="2858"/>
      <c r="AP197" s="2858"/>
      <c r="AQ197" s="2858"/>
      <c r="AR197" s="2858"/>
      <c r="AS197" s="2858"/>
      <c r="AT197" s="2858"/>
      <c r="AU197" s="2858"/>
      <c r="AV197" s="2858"/>
      <c r="AW197" s="2858"/>
      <c r="AX197" s="2858"/>
      <c r="AY197" s="2858"/>
      <c r="AZ197" s="2858"/>
      <c r="BA197" s="2858"/>
      <c r="BB197" s="2858"/>
      <c r="BC197" s="2858"/>
      <c r="BD197" s="2858"/>
      <c r="BE197" s="2858"/>
      <c r="BF197" s="2858"/>
      <c r="BG197" s="2858"/>
      <c r="BH197" s="2858"/>
      <c r="BI197" s="2858"/>
      <c r="BJ197" s="4210"/>
      <c r="BK197" s="2858"/>
      <c r="BL197" s="2896"/>
      <c r="BM197" s="3052"/>
      <c r="BN197" s="3052"/>
      <c r="BO197" s="3052"/>
      <c r="BP197" s="4127"/>
      <c r="BQ197" s="4222"/>
    </row>
    <row r="198" spans="1:69" ht="49.5" customHeight="1" x14ac:dyDescent="0.2">
      <c r="A198" s="1857"/>
      <c r="B198" s="1858"/>
      <c r="C198" s="1859"/>
      <c r="D198" s="1860"/>
      <c r="E198" s="1860"/>
      <c r="F198" s="1859"/>
      <c r="G198" s="1857"/>
      <c r="H198" s="1860"/>
      <c r="I198" s="1859"/>
      <c r="J198" s="4154"/>
      <c r="K198" s="4148"/>
      <c r="L198" s="4148"/>
      <c r="M198" s="4154"/>
      <c r="N198" s="4123"/>
      <c r="O198" s="4123"/>
      <c r="P198" s="4136"/>
      <c r="Q198" s="4205"/>
      <c r="R198" s="2908"/>
      <c r="S198" s="4136"/>
      <c r="T198" s="4148"/>
      <c r="U198" s="161" t="s">
        <v>1728</v>
      </c>
      <c r="V198" s="1867">
        <v>4000000</v>
      </c>
      <c r="W198" s="1867">
        <v>0</v>
      </c>
      <c r="X198" s="1867">
        <v>0</v>
      </c>
      <c r="Y198" s="1852">
        <v>61</v>
      </c>
      <c r="Z198" s="1875" t="s">
        <v>1692</v>
      </c>
      <c r="AA198" s="2858"/>
      <c r="AB198" s="2858"/>
      <c r="AC198" s="2858"/>
      <c r="AD198" s="2858"/>
      <c r="AE198" s="2858"/>
      <c r="AF198" s="2858"/>
      <c r="AG198" s="2858"/>
      <c r="AH198" s="2858"/>
      <c r="AI198" s="2858"/>
      <c r="AJ198" s="2858"/>
      <c r="AK198" s="2858"/>
      <c r="AL198" s="2858"/>
      <c r="AM198" s="2858"/>
      <c r="AN198" s="2858"/>
      <c r="AO198" s="2858"/>
      <c r="AP198" s="2858"/>
      <c r="AQ198" s="2858"/>
      <c r="AR198" s="2858"/>
      <c r="AS198" s="2858"/>
      <c r="AT198" s="2858"/>
      <c r="AU198" s="2858"/>
      <c r="AV198" s="2858"/>
      <c r="AW198" s="2858"/>
      <c r="AX198" s="2858"/>
      <c r="AY198" s="2858"/>
      <c r="AZ198" s="2858"/>
      <c r="BA198" s="2858"/>
      <c r="BB198" s="2858"/>
      <c r="BC198" s="2858"/>
      <c r="BD198" s="2858"/>
      <c r="BE198" s="2858"/>
      <c r="BF198" s="2858"/>
      <c r="BG198" s="2858"/>
      <c r="BH198" s="2858"/>
      <c r="BI198" s="2858"/>
      <c r="BJ198" s="4210"/>
      <c r="BK198" s="2858"/>
      <c r="BL198" s="2896"/>
      <c r="BM198" s="3052"/>
      <c r="BN198" s="3052"/>
      <c r="BO198" s="3052"/>
      <c r="BP198" s="4127"/>
      <c r="BQ198" s="4222"/>
    </row>
    <row r="199" spans="1:69" ht="49.5" customHeight="1" x14ac:dyDescent="0.2">
      <c r="A199" s="1857"/>
      <c r="B199" s="1858"/>
      <c r="C199" s="1859"/>
      <c r="D199" s="1860"/>
      <c r="E199" s="1860"/>
      <c r="F199" s="1859"/>
      <c r="G199" s="1857"/>
      <c r="H199" s="1860"/>
      <c r="I199" s="1859"/>
      <c r="J199" s="4154"/>
      <c r="K199" s="4148"/>
      <c r="L199" s="4148"/>
      <c r="M199" s="4154"/>
      <c r="N199" s="4123"/>
      <c r="O199" s="4123"/>
      <c r="P199" s="4136"/>
      <c r="Q199" s="4205"/>
      <c r="R199" s="2908"/>
      <c r="S199" s="4136"/>
      <c r="T199" s="4148"/>
      <c r="U199" s="161" t="s">
        <v>1729</v>
      </c>
      <c r="V199" s="1867">
        <v>15500000</v>
      </c>
      <c r="W199" s="1867">
        <v>0</v>
      </c>
      <c r="X199" s="1867">
        <v>0</v>
      </c>
      <c r="Y199" s="1852">
        <v>61</v>
      </c>
      <c r="Z199" s="1875" t="s">
        <v>1692</v>
      </c>
      <c r="AA199" s="2858"/>
      <c r="AB199" s="2858"/>
      <c r="AC199" s="2858"/>
      <c r="AD199" s="2858"/>
      <c r="AE199" s="2858"/>
      <c r="AF199" s="2858"/>
      <c r="AG199" s="2858"/>
      <c r="AH199" s="2858"/>
      <c r="AI199" s="2858"/>
      <c r="AJ199" s="2858"/>
      <c r="AK199" s="2858"/>
      <c r="AL199" s="2858"/>
      <c r="AM199" s="2858"/>
      <c r="AN199" s="2858"/>
      <c r="AO199" s="2858"/>
      <c r="AP199" s="2858"/>
      <c r="AQ199" s="2858"/>
      <c r="AR199" s="2858"/>
      <c r="AS199" s="2858"/>
      <c r="AT199" s="2858"/>
      <c r="AU199" s="2858"/>
      <c r="AV199" s="2858"/>
      <c r="AW199" s="2858"/>
      <c r="AX199" s="2858"/>
      <c r="AY199" s="2858"/>
      <c r="AZ199" s="2858"/>
      <c r="BA199" s="2858"/>
      <c r="BB199" s="2858"/>
      <c r="BC199" s="2858"/>
      <c r="BD199" s="2858"/>
      <c r="BE199" s="2858"/>
      <c r="BF199" s="2858"/>
      <c r="BG199" s="2858"/>
      <c r="BH199" s="2858"/>
      <c r="BI199" s="2858"/>
      <c r="BJ199" s="4210"/>
      <c r="BK199" s="2858"/>
      <c r="BL199" s="2896"/>
      <c r="BM199" s="3052"/>
      <c r="BN199" s="3052"/>
      <c r="BO199" s="3052"/>
      <c r="BP199" s="4127"/>
      <c r="BQ199" s="4222"/>
    </row>
    <row r="200" spans="1:69" ht="49.5" customHeight="1" x14ac:dyDescent="0.2">
      <c r="A200" s="1857"/>
      <c r="B200" s="1858"/>
      <c r="C200" s="1859"/>
      <c r="D200" s="1860"/>
      <c r="E200" s="1860"/>
      <c r="F200" s="1859"/>
      <c r="G200" s="1857"/>
      <c r="H200" s="1860"/>
      <c r="I200" s="1859"/>
      <c r="J200" s="4154"/>
      <c r="K200" s="4148"/>
      <c r="L200" s="4148"/>
      <c r="M200" s="4154"/>
      <c r="N200" s="4123"/>
      <c r="O200" s="4123"/>
      <c r="P200" s="4136"/>
      <c r="Q200" s="4205"/>
      <c r="R200" s="2908"/>
      <c r="S200" s="4136"/>
      <c r="T200" s="4148"/>
      <c r="U200" s="161" t="s">
        <v>1730</v>
      </c>
      <c r="V200" s="1867">
        <v>15500000</v>
      </c>
      <c r="W200" s="1867">
        <v>0</v>
      </c>
      <c r="X200" s="1867">
        <v>0</v>
      </c>
      <c r="Y200" s="1852">
        <v>61</v>
      </c>
      <c r="Z200" s="1875" t="s">
        <v>1692</v>
      </c>
      <c r="AA200" s="2858"/>
      <c r="AB200" s="2858"/>
      <c r="AC200" s="2858"/>
      <c r="AD200" s="2858"/>
      <c r="AE200" s="2858"/>
      <c r="AF200" s="2858"/>
      <c r="AG200" s="2858"/>
      <c r="AH200" s="2858"/>
      <c r="AI200" s="2858"/>
      <c r="AJ200" s="2858"/>
      <c r="AK200" s="2858"/>
      <c r="AL200" s="2858"/>
      <c r="AM200" s="2858"/>
      <c r="AN200" s="2858"/>
      <c r="AO200" s="2858"/>
      <c r="AP200" s="2858"/>
      <c r="AQ200" s="2858"/>
      <c r="AR200" s="2858"/>
      <c r="AS200" s="2858"/>
      <c r="AT200" s="2858"/>
      <c r="AU200" s="2858"/>
      <c r="AV200" s="2858"/>
      <c r="AW200" s="2858"/>
      <c r="AX200" s="2858"/>
      <c r="AY200" s="2858"/>
      <c r="AZ200" s="2858"/>
      <c r="BA200" s="2858"/>
      <c r="BB200" s="2858"/>
      <c r="BC200" s="2858"/>
      <c r="BD200" s="2858"/>
      <c r="BE200" s="2858"/>
      <c r="BF200" s="2858"/>
      <c r="BG200" s="2858"/>
      <c r="BH200" s="2858"/>
      <c r="BI200" s="2858"/>
      <c r="BJ200" s="4210"/>
      <c r="BK200" s="2858"/>
      <c r="BL200" s="2896"/>
      <c r="BM200" s="3052"/>
      <c r="BN200" s="3052"/>
      <c r="BO200" s="3052"/>
      <c r="BP200" s="4127"/>
      <c r="BQ200" s="4222"/>
    </row>
    <row r="201" spans="1:69" ht="49.5" customHeight="1" x14ac:dyDescent="0.2">
      <c r="A201" s="1857"/>
      <c r="B201" s="1858"/>
      <c r="C201" s="1859"/>
      <c r="D201" s="1860"/>
      <c r="E201" s="1860"/>
      <c r="F201" s="1859"/>
      <c r="G201" s="1857"/>
      <c r="H201" s="1860"/>
      <c r="I201" s="1859"/>
      <c r="J201" s="4155"/>
      <c r="K201" s="4149"/>
      <c r="L201" s="4149"/>
      <c r="M201" s="4155"/>
      <c r="N201" s="4123"/>
      <c r="O201" s="4123"/>
      <c r="P201" s="4136"/>
      <c r="Q201" s="4206"/>
      <c r="R201" s="2908"/>
      <c r="S201" s="4136"/>
      <c r="T201" s="4149"/>
      <c r="U201" s="161" t="s">
        <v>1731</v>
      </c>
      <c r="V201" s="1867">
        <v>15500000</v>
      </c>
      <c r="W201" s="1867">
        <v>0</v>
      </c>
      <c r="X201" s="1867">
        <v>0</v>
      </c>
      <c r="Y201" s="1852">
        <v>61</v>
      </c>
      <c r="Z201" s="1875" t="s">
        <v>1692</v>
      </c>
      <c r="AA201" s="2858"/>
      <c r="AB201" s="2858"/>
      <c r="AC201" s="2858"/>
      <c r="AD201" s="2858"/>
      <c r="AE201" s="2858"/>
      <c r="AF201" s="2858"/>
      <c r="AG201" s="2858"/>
      <c r="AH201" s="2858"/>
      <c r="AI201" s="2858"/>
      <c r="AJ201" s="2858"/>
      <c r="AK201" s="2858"/>
      <c r="AL201" s="2858"/>
      <c r="AM201" s="2858"/>
      <c r="AN201" s="2858"/>
      <c r="AO201" s="2858"/>
      <c r="AP201" s="2858"/>
      <c r="AQ201" s="2858"/>
      <c r="AR201" s="2858"/>
      <c r="AS201" s="2858"/>
      <c r="AT201" s="2858"/>
      <c r="AU201" s="2858"/>
      <c r="AV201" s="2858"/>
      <c r="AW201" s="2858"/>
      <c r="AX201" s="2858"/>
      <c r="AY201" s="2858"/>
      <c r="AZ201" s="2858"/>
      <c r="BA201" s="2858"/>
      <c r="BB201" s="2858"/>
      <c r="BC201" s="2858"/>
      <c r="BD201" s="2858"/>
      <c r="BE201" s="2858"/>
      <c r="BF201" s="2858"/>
      <c r="BG201" s="2858"/>
      <c r="BH201" s="2858"/>
      <c r="BI201" s="2858"/>
      <c r="BJ201" s="4210"/>
      <c r="BK201" s="2858"/>
      <c r="BL201" s="2896"/>
      <c r="BM201" s="3052"/>
      <c r="BN201" s="3052"/>
      <c r="BO201" s="3052"/>
      <c r="BP201" s="4127"/>
      <c r="BQ201" s="4222"/>
    </row>
    <row r="202" spans="1:69" ht="49.5" customHeight="1" x14ac:dyDescent="0.2">
      <c r="A202" s="1857"/>
      <c r="B202" s="1858"/>
      <c r="C202" s="1859"/>
      <c r="D202" s="1860"/>
      <c r="E202" s="1860"/>
      <c r="F202" s="1859"/>
      <c r="G202" s="1857"/>
      <c r="H202" s="1860"/>
      <c r="I202" s="1859"/>
      <c r="J202" s="4153">
        <v>157</v>
      </c>
      <c r="K202" s="4135" t="s">
        <v>1732</v>
      </c>
      <c r="L202" s="4135" t="s">
        <v>1733</v>
      </c>
      <c r="M202" s="4122">
        <v>12</v>
      </c>
      <c r="N202" s="4123"/>
      <c r="O202" s="4123"/>
      <c r="P202" s="4136"/>
      <c r="Q202" s="4132">
        <f>(SUM(V202:V209))/R182</f>
        <v>0.17639461996409109</v>
      </c>
      <c r="R202" s="2908"/>
      <c r="S202" s="4136"/>
      <c r="T202" s="4135" t="s">
        <v>1734</v>
      </c>
      <c r="U202" s="161" t="s">
        <v>1735</v>
      </c>
      <c r="V202" s="608">
        <v>4800000</v>
      </c>
      <c r="W202" s="608">
        <v>4800000</v>
      </c>
      <c r="X202" s="1867">
        <v>1700000</v>
      </c>
      <c r="Y202" s="1852">
        <v>61</v>
      </c>
      <c r="Z202" s="1875" t="s">
        <v>1692</v>
      </c>
      <c r="AA202" s="2858"/>
      <c r="AB202" s="2858"/>
      <c r="AC202" s="2858"/>
      <c r="AD202" s="2858"/>
      <c r="AE202" s="2858"/>
      <c r="AF202" s="2858"/>
      <c r="AG202" s="2858"/>
      <c r="AH202" s="2858"/>
      <c r="AI202" s="2858"/>
      <c r="AJ202" s="2858"/>
      <c r="AK202" s="2858"/>
      <c r="AL202" s="2858"/>
      <c r="AM202" s="2858"/>
      <c r="AN202" s="2858"/>
      <c r="AO202" s="2858"/>
      <c r="AP202" s="2858"/>
      <c r="AQ202" s="2858"/>
      <c r="AR202" s="2858"/>
      <c r="AS202" s="2858"/>
      <c r="AT202" s="2858"/>
      <c r="AU202" s="2858"/>
      <c r="AV202" s="2858"/>
      <c r="AW202" s="2858"/>
      <c r="AX202" s="2858"/>
      <c r="AY202" s="2858"/>
      <c r="AZ202" s="2858"/>
      <c r="BA202" s="2858"/>
      <c r="BB202" s="2858"/>
      <c r="BC202" s="2858"/>
      <c r="BD202" s="2858"/>
      <c r="BE202" s="2858"/>
      <c r="BF202" s="2858"/>
      <c r="BG202" s="2858"/>
      <c r="BH202" s="2858"/>
      <c r="BI202" s="2858"/>
      <c r="BJ202" s="4210"/>
      <c r="BK202" s="2858"/>
      <c r="BL202" s="2896"/>
      <c r="BM202" s="3052"/>
      <c r="BN202" s="3052"/>
      <c r="BO202" s="3052"/>
      <c r="BP202" s="4127"/>
      <c r="BQ202" s="4222"/>
    </row>
    <row r="203" spans="1:69" ht="49.5" customHeight="1" x14ac:dyDescent="0.2">
      <c r="A203" s="1857"/>
      <c r="B203" s="1858"/>
      <c r="C203" s="1859"/>
      <c r="D203" s="1860"/>
      <c r="E203" s="1860"/>
      <c r="F203" s="1859"/>
      <c r="G203" s="1857"/>
      <c r="H203" s="1860"/>
      <c r="I203" s="1859"/>
      <c r="J203" s="4154"/>
      <c r="K203" s="4136"/>
      <c r="L203" s="4136"/>
      <c r="M203" s="4123"/>
      <c r="N203" s="4123"/>
      <c r="O203" s="4123"/>
      <c r="P203" s="4136"/>
      <c r="Q203" s="4133"/>
      <c r="R203" s="2908"/>
      <c r="S203" s="4136"/>
      <c r="T203" s="4136"/>
      <c r="U203" s="161" t="s">
        <v>1736</v>
      </c>
      <c r="V203" s="1867">
        <v>10800000</v>
      </c>
      <c r="W203" s="1867">
        <v>0</v>
      </c>
      <c r="X203" s="1867">
        <v>0</v>
      </c>
      <c r="Y203" s="1852">
        <v>61</v>
      </c>
      <c r="Z203" s="1875" t="s">
        <v>1692</v>
      </c>
      <c r="AA203" s="2858"/>
      <c r="AB203" s="2858"/>
      <c r="AC203" s="2858"/>
      <c r="AD203" s="2858"/>
      <c r="AE203" s="2858"/>
      <c r="AF203" s="2858"/>
      <c r="AG203" s="2858"/>
      <c r="AH203" s="2858"/>
      <c r="AI203" s="2858"/>
      <c r="AJ203" s="2858"/>
      <c r="AK203" s="2858"/>
      <c r="AL203" s="2858"/>
      <c r="AM203" s="2858"/>
      <c r="AN203" s="2858"/>
      <c r="AO203" s="2858"/>
      <c r="AP203" s="2858"/>
      <c r="AQ203" s="2858"/>
      <c r="AR203" s="2858"/>
      <c r="AS203" s="2858"/>
      <c r="AT203" s="2858"/>
      <c r="AU203" s="2858"/>
      <c r="AV203" s="2858"/>
      <c r="AW203" s="2858"/>
      <c r="AX203" s="2858"/>
      <c r="AY203" s="2858"/>
      <c r="AZ203" s="2858"/>
      <c r="BA203" s="2858"/>
      <c r="BB203" s="2858"/>
      <c r="BC203" s="2858"/>
      <c r="BD203" s="2858"/>
      <c r="BE203" s="2858"/>
      <c r="BF203" s="2858"/>
      <c r="BG203" s="2858"/>
      <c r="BH203" s="2858"/>
      <c r="BI203" s="2858"/>
      <c r="BJ203" s="4210"/>
      <c r="BK203" s="2858"/>
      <c r="BL203" s="2896"/>
      <c r="BM203" s="3052"/>
      <c r="BN203" s="3052"/>
      <c r="BO203" s="3052"/>
      <c r="BP203" s="4127"/>
      <c r="BQ203" s="4222"/>
    </row>
    <row r="204" spans="1:69" ht="85.5" customHeight="1" x14ac:dyDescent="0.2">
      <c r="A204" s="1857"/>
      <c r="B204" s="1858"/>
      <c r="C204" s="1859"/>
      <c r="D204" s="1860"/>
      <c r="E204" s="1860"/>
      <c r="F204" s="1859"/>
      <c r="G204" s="1857"/>
      <c r="H204" s="1860"/>
      <c r="I204" s="1859"/>
      <c r="J204" s="4154"/>
      <c r="K204" s="4136"/>
      <c r="L204" s="4136"/>
      <c r="M204" s="4123"/>
      <c r="N204" s="4123"/>
      <c r="O204" s="4123"/>
      <c r="P204" s="4136"/>
      <c r="Q204" s="4133"/>
      <c r="R204" s="2908"/>
      <c r="S204" s="4136"/>
      <c r="T204" s="4136"/>
      <c r="U204" s="161" t="s">
        <v>1737</v>
      </c>
      <c r="V204" s="1867">
        <v>4800000</v>
      </c>
      <c r="W204" s="1867">
        <v>4480000</v>
      </c>
      <c r="X204" s="1867">
        <v>1700000</v>
      </c>
      <c r="Y204" s="1852">
        <v>61</v>
      </c>
      <c r="Z204" s="1875" t="s">
        <v>1692</v>
      </c>
      <c r="AA204" s="2858"/>
      <c r="AB204" s="2858"/>
      <c r="AC204" s="2858"/>
      <c r="AD204" s="2858"/>
      <c r="AE204" s="2858"/>
      <c r="AF204" s="2858"/>
      <c r="AG204" s="2858"/>
      <c r="AH204" s="2858"/>
      <c r="AI204" s="2858"/>
      <c r="AJ204" s="2858"/>
      <c r="AK204" s="2858"/>
      <c r="AL204" s="2858"/>
      <c r="AM204" s="2858"/>
      <c r="AN204" s="2858"/>
      <c r="AO204" s="2858"/>
      <c r="AP204" s="2858"/>
      <c r="AQ204" s="2858"/>
      <c r="AR204" s="2858"/>
      <c r="AS204" s="2858"/>
      <c r="AT204" s="2858"/>
      <c r="AU204" s="2858"/>
      <c r="AV204" s="2858"/>
      <c r="AW204" s="2858"/>
      <c r="AX204" s="2858"/>
      <c r="AY204" s="2858"/>
      <c r="AZ204" s="2858"/>
      <c r="BA204" s="2858"/>
      <c r="BB204" s="2858"/>
      <c r="BC204" s="2858"/>
      <c r="BD204" s="2858"/>
      <c r="BE204" s="2858"/>
      <c r="BF204" s="2858"/>
      <c r="BG204" s="2858"/>
      <c r="BH204" s="2858"/>
      <c r="BI204" s="2858"/>
      <c r="BJ204" s="4210"/>
      <c r="BK204" s="2858"/>
      <c r="BL204" s="2896"/>
      <c r="BM204" s="3052"/>
      <c r="BN204" s="3052"/>
      <c r="BO204" s="3052"/>
      <c r="BP204" s="4127"/>
      <c r="BQ204" s="4222"/>
    </row>
    <row r="205" spans="1:69" ht="49.5" customHeight="1" x14ac:dyDescent="0.2">
      <c r="A205" s="1857"/>
      <c r="B205" s="1858"/>
      <c r="C205" s="1859"/>
      <c r="D205" s="1860"/>
      <c r="E205" s="1860"/>
      <c r="F205" s="1859"/>
      <c r="G205" s="1857"/>
      <c r="H205" s="1860"/>
      <c r="I205" s="1859"/>
      <c r="J205" s="4154"/>
      <c r="K205" s="4136"/>
      <c r="L205" s="4136"/>
      <c r="M205" s="4123"/>
      <c r="N205" s="4123"/>
      <c r="O205" s="4123"/>
      <c r="P205" s="4136"/>
      <c r="Q205" s="4133"/>
      <c r="R205" s="2908"/>
      <c r="S205" s="4136"/>
      <c r="T205" s="4136"/>
      <c r="U205" s="161" t="s">
        <v>1738</v>
      </c>
      <c r="V205" s="1867">
        <v>3600000</v>
      </c>
      <c r="W205" s="1867">
        <v>0</v>
      </c>
      <c r="X205" s="1867">
        <v>0</v>
      </c>
      <c r="Y205" s="1852">
        <v>61</v>
      </c>
      <c r="Z205" s="1875" t="s">
        <v>1692</v>
      </c>
      <c r="AA205" s="2858"/>
      <c r="AB205" s="2858"/>
      <c r="AC205" s="2858"/>
      <c r="AD205" s="2858"/>
      <c r="AE205" s="2858"/>
      <c r="AF205" s="2858"/>
      <c r="AG205" s="2858"/>
      <c r="AH205" s="2858"/>
      <c r="AI205" s="2858"/>
      <c r="AJ205" s="2858"/>
      <c r="AK205" s="2858"/>
      <c r="AL205" s="2858"/>
      <c r="AM205" s="2858"/>
      <c r="AN205" s="2858"/>
      <c r="AO205" s="2858"/>
      <c r="AP205" s="2858"/>
      <c r="AQ205" s="2858"/>
      <c r="AR205" s="2858"/>
      <c r="AS205" s="2858"/>
      <c r="AT205" s="2858"/>
      <c r="AU205" s="2858"/>
      <c r="AV205" s="2858"/>
      <c r="AW205" s="2858"/>
      <c r="AX205" s="2858"/>
      <c r="AY205" s="2858"/>
      <c r="AZ205" s="2858"/>
      <c r="BA205" s="2858"/>
      <c r="BB205" s="2858"/>
      <c r="BC205" s="2858"/>
      <c r="BD205" s="2858"/>
      <c r="BE205" s="2858"/>
      <c r="BF205" s="2858"/>
      <c r="BG205" s="2858"/>
      <c r="BH205" s="2858"/>
      <c r="BI205" s="2858"/>
      <c r="BJ205" s="4210"/>
      <c r="BK205" s="2858"/>
      <c r="BL205" s="2896"/>
      <c r="BM205" s="3052"/>
      <c r="BN205" s="3052"/>
      <c r="BO205" s="3052"/>
      <c r="BP205" s="4127"/>
      <c r="BQ205" s="4222"/>
    </row>
    <row r="206" spans="1:69" ht="49.5" customHeight="1" x14ac:dyDescent="0.2">
      <c r="A206" s="1857"/>
      <c r="B206" s="1858"/>
      <c r="C206" s="1859"/>
      <c r="D206" s="1860"/>
      <c r="E206" s="1860"/>
      <c r="F206" s="1859"/>
      <c r="G206" s="1857"/>
      <c r="H206" s="1860"/>
      <c r="I206" s="1859"/>
      <c r="J206" s="4154"/>
      <c r="K206" s="4136"/>
      <c r="L206" s="4136"/>
      <c r="M206" s="4123"/>
      <c r="N206" s="4123"/>
      <c r="O206" s="4123"/>
      <c r="P206" s="4136"/>
      <c r="Q206" s="4133"/>
      <c r="R206" s="2908"/>
      <c r="S206" s="4136"/>
      <c r="T206" s="4136"/>
      <c r="U206" s="161" t="s">
        <v>1739</v>
      </c>
      <c r="V206" s="1867">
        <v>6000000</v>
      </c>
      <c r="W206" s="1867">
        <v>0</v>
      </c>
      <c r="X206" s="1867">
        <v>0</v>
      </c>
      <c r="Y206" s="1852">
        <v>61</v>
      </c>
      <c r="Z206" s="1875" t="s">
        <v>1692</v>
      </c>
      <c r="AA206" s="2858"/>
      <c r="AB206" s="2858"/>
      <c r="AC206" s="2858"/>
      <c r="AD206" s="2858"/>
      <c r="AE206" s="2858"/>
      <c r="AF206" s="2858"/>
      <c r="AG206" s="2858"/>
      <c r="AH206" s="2858"/>
      <c r="AI206" s="2858"/>
      <c r="AJ206" s="2858"/>
      <c r="AK206" s="2858"/>
      <c r="AL206" s="2858"/>
      <c r="AM206" s="2858"/>
      <c r="AN206" s="2858"/>
      <c r="AO206" s="2858"/>
      <c r="AP206" s="2858"/>
      <c r="AQ206" s="2858"/>
      <c r="AR206" s="2858"/>
      <c r="AS206" s="2858"/>
      <c r="AT206" s="2858"/>
      <c r="AU206" s="2858"/>
      <c r="AV206" s="2858"/>
      <c r="AW206" s="2858"/>
      <c r="AX206" s="2858"/>
      <c r="AY206" s="2858"/>
      <c r="AZ206" s="2858"/>
      <c r="BA206" s="2858"/>
      <c r="BB206" s="2858"/>
      <c r="BC206" s="2858"/>
      <c r="BD206" s="2858"/>
      <c r="BE206" s="2858"/>
      <c r="BF206" s="2858"/>
      <c r="BG206" s="2858"/>
      <c r="BH206" s="2858"/>
      <c r="BI206" s="2858"/>
      <c r="BJ206" s="4210"/>
      <c r="BK206" s="2858"/>
      <c r="BL206" s="2896"/>
      <c r="BM206" s="3052"/>
      <c r="BN206" s="3052"/>
      <c r="BO206" s="3052"/>
      <c r="BP206" s="4127"/>
      <c r="BQ206" s="4222"/>
    </row>
    <row r="207" spans="1:69" ht="49.5" customHeight="1" x14ac:dyDescent="0.2">
      <c r="A207" s="1857"/>
      <c r="B207" s="1858"/>
      <c r="C207" s="1859"/>
      <c r="D207" s="1860"/>
      <c r="E207" s="1860"/>
      <c r="F207" s="1859"/>
      <c r="G207" s="1857"/>
      <c r="H207" s="1860"/>
      <c r="I207" s="1859"/>
      <c r="J207" s="4154"/>
      <c r="K207" s="4136"/>
      <c r="L207" s="4136"/>
      <c r="M207" s="4123"/>
      <c r="N207" s="4123"/>
      <c r="O207" s="4123"/>
      <c r="P207" s="4136"/>
      <c r="Q207" s="4133"/>
      <c r="R207" s="2908"/>
      <c r="S207" s="4136"/>
      <c r="T207" s="4136"/>
      <c r="U207" s="161" t="s">
        <v>1740</v>
      </c>
      <c r="V207" s="1867">
        <v>8000000</v>
      </c>
      <c r="W207" s="1867">
        <v>0</v>
      </c>
      <c r="X207" s="1867">
        <v>0</v>
      </c>
      <c r="Y207" s="1852">
        <v>61</v>
      </c>
      <c r="Z207" s="1875" t="s">
        <v>1692</v>
      </c>
      <c r="AA207" s="2858"/>
      <c r="AB207" s="2858"/>
      <c r="AC207" s="2858"/>
      <c r="AD207" s="2858"/>
      <c r="AE207" s="2858"/>
      <c r="AF207" s="2858"/>
      <c r="AG207" s="2858"/>
      <c r="AH207" s="2858"/>
      <c r="AI207" s="2858"/>
      <c r="AJ207" s="2858"/>
      <c r="AK207" s="2858"/>
      <c r="AL207" s="2858"/>
      <c r="AM207" s="2858"/>
      <c r="AN207" s="2858"/>
      <c r="AO207" s="2858"/>
      <c r="AP207" s="2858"/>
      <c r="AQ207" s="2858"/>
      <c r="AR207" s="2858"/>
      <c r="AS207" s="2858"/>
      <c r="AT207" s="2858"/>
      <c r="AU207" s="2858"/>
      <c r="AV207" s="2858"/>
      <c r="AW207" s="2858"/>
      <c r="AX207" s="2858"/>
      <c r="AY207" s="2858"/>
      <c r="AZ207" s="2858"/>
      <c r="BA207" s="2858"/>
      <c r="BB207" s="2858"/>
      <c r="BC207" s="2858"/>
      <c r="BD207" s="2858"/>
      <c r="BE207" s="2858"/>
      <c r="BF207" s="2858"/>
      <c r="BG207" s="2858"/>
      <c r="BH207" s="2858"/>
      <c r="BI207" s="2858"/>
      <c r="BJ207" s="4210"/>
      <c r="BK207" s="2858"/>
      <c r="BL207" s="2896"/>
      <c r="BM207" s="3052"/>
      <c r="BN207" s="3052"/>
      <c r="BO207" s="3052"/>
      <c r="BP207" s="4127"/>
      <c r="BQ207" s="4222"/>
    </row>
    <row r="208" spans="1:69" ht="49.5" customHeight="1" x14ac:dyDescent="0.2">
      <c r="A208" s="1809"/>
      <c r="B208" s="1810"/>
      <c r="C208" s="1811"/>
      <c r="D208" s="1812"/>
      <c r="E208" s="1812"/>
      <c r="F208" s="1811"/>
      <c r="G208" s="1809"/>
      <c r="H208" s="1812"/>
      <c r="I208" s="1811"/>
      <c r="J208" s="4154"/>
      <c r="K208" s="4136"/>
      <c r="L208" s="4136"/>
      <c r="M208" s="4123"/>
      <c r="N208" s="4123"/>
      <c r="O208" s="4123"/>
      <c r="P208" s="4136"/>
      <c r="Q208" s="4133"/>
      <c r="R208" s="2908"/>
      <c r="S208" s="4136"/>
      <c r="T208" s="4136"/>
      <c r="U208" s="162" t="s">
        <v>1741</v>
      </c>
      <c r="V208" s="1626">
        <v>12000000</v>
      </c>
      <c r="W208" s="1626">
        <v>5000000</v>
      </c>
      <c r="X208" s="1867">
        <v>1700000</v>
      </c>
      <c r="Y208" s="1816">
        <v>61</v>
      </c>
      <c r="Z208" s="1927" t="s">
        <v>1692</v>
      </c>
      <c r="AA208" s="2858"/>
      <c r="AB208" s="2858"/>
      <c r="AC208" s="2858"/>
      <c r="AD208" s="2858"/>
      <c r="AE208" s="2858"/>
      <c r="AF208" s="2858"/>
      <c r="AG208" s="2858"/>
      <c r="AH208" s="2858"/>
      <c r="AI208" s="2858"/>
      <c r="AJ208" s="2858"/>
      <c r="AK208" s="2858"/>
      <c r="AL208" s="2858"/>
      <c r="AM208" s="2858"/>
      <c r="AN208" s="2858"/>
      <c r="AO208" s="2858"/>
      <c r="AP208" s="2858"/>
      <c r="AQ208" s="2858"/>
      <c r="AR208" s="2858"/>
      <c r="AS208" s="2858"/>
      <c r="AT208" s="2858"/>
      <c r="AU208" s="2858"/>
      <c r="AV208" s="2858"/>
      <c r="AW208" s="2858"/>
      <c r="AX208" s="2858"/>
      <c r="AY208" s="2858"/>
      <c r="AZ208" s="2858"/>
      <c r="BA208" s="2858"/>
      <c r="BB208" s="2858"/>
      <c r="BC208" s="2858"/>
      <c r="BD208" s="2858"/>
      <c r="BE208" s="2858"/>
      <c r="BF208" s="2858"/>
      <c r="BG208" s="2858"/>
      <c r="BH208" s="2858"/>
      <c r="BI208" s="2858"/>
      <c r="BJ208" s="4210"/>
      <c r="BK208" s="2858"/>
      <c r="BL208" s="2896"/>
      <c r="BM208" s="3052"/>
      <c r="BN208" s="3052"/>
      <c r="BO208" s="3052"/>
      <c r="BP208" s="4127"/>
      <c r="BQ208" s="4222"/>
    </row>
    <row r="209" spans="1:69" ht="72.75" customHeight="1" x14ac:dyDescent="0.2">
      <c r="A209" s="1809"/>
      <c r="B209" s="1810"/>
      <c r="C209" s="1811"/>
      <c r="D209" s="1812"/>
      <c r="E209" s="1812"/>
      <c r="F209" s="1811"/>
      <c r="G209" s="1819"/>
      <c r="H209" s="1817"/>
      <c r="I209" s="1818"/>
      <c r="J209" s="4155"/>
      <c r="K209" s="4137"/>
      <c r="L209" s="4137"/>
      <c r="M209" s="4171"/>
      <c r="N209" s="4171"/>
      <c r="O209" s="4171"/>
      <c r="P209" s="4137"/>
      <c r="Q209" s="4175"/>
      <c r="R209" s="2909"/>
      <c r="S209" s="4137"/>
      <c r="T209" s="4137"/>
      <c r="U209" s="162" t="s">
        <v>1742</v>
      </c>
      <c r="V209" s="1626">
        <v>6000000</v>
      </c>
      <c r="W209" s="1626">
        <v>1586666</v>
      </c>
      <c r="X209" s="1867">
        <v>500000</v>
      </c>
      <c r="Y209" s="1816">
        <v>61</v>
      </c>
      <c r="Z209" s="1927" t="s">
        <v>1692</v>
      </c>
      <c r="AA209" s="2859"/>
      <c r="AB209" s="2859"/>
      <c r="AC209" s="2859"/>
      <c r="AD209" s="2859"/>
      <c r="AE209" s="2859"/>
      <c r="AF209" s="2859"/>
      <c r="AG209" s="2859"/>
      <c r="AH209" s="2859"/>
      <c r="AI209" s="2859"/>
      <c r="AJ209" s="2859"/>
      <c r="AK209" s="2859"/>
      <c r="AL209" s="2859"/>
      <c r="AM209" s="2859"/>
      <c r="AN209" s="2859"/>
      <c r="AO209" s="2859"/>
      <c r="AP209" s="2859"/>
      <c r="AQ209" s="2859"/>
      <c r="AR209" s="2859"/>
      <c r="AS209" s="2859"/>
      <c r="AT209" s="2859"/>
      <c r="AU209" s="2859"/>
      <c r="AV209" s="2859"/>
      <c r="AW209" s="2859"/>
      <c r="AX209" s="2859"/>
      <c r="AY209" s="2859"/>
      <c r="AZ209" s="2859"/>
      <c r="BA209" s="2859"/>
      <c r="BB209" s="2859"/>
      <c r="BC209" s="2859"/>
      <c r="BD209" s="2859"/>
      <c r="BE209" s="2859"/>
      <c r="BF209" s="2859"/>
      <c r="BG209" s="2859"/>
      <c r="BH209" s="2859"/>
      <c r="BI209" s="2859"/>
      <c r="BJ209" s="4211"/>
      <c r="BK209" s="2859"/>
      <c r="BL209" s="2897"/>
      <c r="BM209" s="3053"/>
      <c r="BN209" s="3053"/>
      <c r="BO209" s="3053"/>
      <c r="BP209" s="4166"/>
      <c r="BQ209" s="4223"/>
    </row>
    <row r="210" spans="1:69" ht="15" x14ac:dyDescent="0.2">
      <c r="A210" s="1793"/>
      <c r="B210" s="1794"/>
      <c r="C210" s="1795"/>
      <c r="D210" s="1848"/>
      <c r="E210" s="1848"/>
      <c r="F210" s="1795"/>
      <c r="G210" s="1834">
        <v>45</v>
      </c>
      <c r="H210" s="1799" t="s">
        <v>1743</v>
      </c>
      <c r="I210" s="1799"/>
      <c r="J210" s="1799"/>
      <c r="K210" s="1800"/>
      <c r="L210" s="1800"/>
      <c r="M210" s="1799"/>
      <c r="N210" s="1801"/>
      <c r="O210" s="1799"/>
      <c r="P210" s="1800"/>
      <c r="Q210" s="1799"/>
      <c r="R210" s="1835"/>
      <c r="S210" s="1800"/>
      <c r="T210" s="1800"/>
      <c r="U210" s="1800"/>
      <c r="V210" s="1928"/>
      <c r="W210" s="1928"/>
      <c r="X210" s="1928"/>
      <c r="Y210" s="1837"/>
      <c r="Z210" s="1801"/>
      <c r="AA210" s="1801"/>
      <c r="AB210" s="1801"/>
      <c r="AC210" s="1801"/>
      <c r="AD210" s="1801"/>
      <c r="AE210" s="1801"/>
      <c r="AF210" s="1801"/>
      <c r="AG210" s="1801"/>
      <c r="AH210" s="1801"/>
      <c r="AI210" s="1801"/>
      <c r="AJ210" s="1801"/>
      <c r="AK210" s="1801"/>
      <c r="AL210" s="1801"/>
      <c r="AM210" s="1801"/>
      <c r="AN210" s="1801"/>
      <c r="AO210" s="1801"/>
      <c r="AP210" s="1801"/>
      <c r="AQ210" s="1801"/>
      <c r="AR210" s="1801"/>
      <c r="AS210" s="1801"/>
      <c r="AT210" s="1801"/>
      <c r="AU210" s="1801"/>
      <c r="AV210" s="1801"/>
      <c r="AW210" s="1801"/>
      <c r="AX210" s="1801"/>
      <c r="AY210" s="1801"/>
      <c r="AZ210" s="1801"/>
      <c r="BA210" s="1801"/>
      <c r="BB210" s="1801"/>
      <c r="BC210" s="1801"/>
      <c r="BD210" s="1801"/>
      <c r="BE210" s="1801"/>
      <c r="BF210" s="1801"/>
      <c r="BG210" s="1801"/>
      <c r="BH210" s="1801"/>
      <c r="BI210" s="1801"/>
      <c r="BJ210" s="1801"/>
      <c r="BK210" s="1801"/>
      <c r="BL210" s="1801"/>
      <c r="BM210" s="1849"/>
      <c r="BN210" s="1849"/>
      <c r="BO210" s="1849"/>
      <c r="BP210" s="1839"/>
      <c r="BQ210" s="1840"/>
    </row>
    <row r="211" spans="1:69" s="1815" customFormat="1" ht="31.5" customHeight="1" x14ac:dyDescent="0.2">
      <c r="A211" s="1809"/>
      <c r="B211" s="1810"/>
      <c r="C211" s="1811"/>
      <c r="D211" s="1812"/>
      <c r="E211" s="1812"/>
      <c r="F211" s="1811"/>
      <c r="G211" s="1841"/>
      <c r="H211" s="1842"/>
      <c r="I211" s="1843"/>
      <c r="J211" s="4153">
        <v>158</v>
      </c>
      <c r="K211" s="4135" t="s">
        <v>1744</v>
      </c>
      <c r="L211" s="4135" t="s">
        <v>1745</v>
      </c>
      <c r="M211" s="4122">
        <v>11</v>
      </c>
      <c r="N211" s="4122" t="s">
        <v>1746</v>
      </c>
      <c r="O211" s="4122">
        <v>150</v>
      </c>
      <c r="P211" s="4135" t="s">
        <v>1747</v>
      </c>
      <c r="Q211" s="4132">
        <f>+(V211+V212+V213+V214)/R211</f>
        <v>1</v>
      </c>
      <c r="R211" s="4134">
        <f>SUM(V211:V214)</f>
        <v>1300000000</v>
      </c>
      <c r="S211" s="4135" t="s">
        <v>1748</v>
      </c>
      <c r="T211" s="4135" t="s">
        <v>1749</v>
      </c>
      <c r="U211" s="1929" t="s">
        <v>1750</v>
      </c>
      <c r="V211" s="1851">
        <v>200000000</v>
      </c>
      <c r="W211" s="1851">
        <v>0</v>
      </c>
      <c r="X211" s="1851">
        <v>0</v>
      </c>
      <c r="Y211" s="1816">
        <v>61</v>
      </c>
      <c r="Z211" s="1927" t="s">
        <v>1692</v>
      </c>
      <c r="AA211" s="4212">
        <v>289394</v>
      </c>
      <c r="AB211" s="4212">
        <v>0</v>
      </c>
      <c r="AC211" s="4212">
        <v>279112</v>
      </c>
      <c r="AD211" s="4212">
        <v>0</v>
      </c>
      <c r="AE211" s="4212">
        <v>63164</v>
      </c>
      <c r="AF211" s="4212">
        <v>0</v>
      </c>
      <c r="AG211" s="4212">
        <v>45607</v>
      </c>
      <c r="AH211" s="4212">
        <v>0</v>
      </c>
      <c r="AI211" s="4212">
        <v>365607</v>
      </c>
      <c r="AJ211" s="4212">
        <v>0</v>
      </c>
      <c r="AK211" s="4212">
        <v>75612</v>
      </c>
      <c r="AL211" s="4212">
        <v>0</v>
      </c>
      <c r="AM211" s="4212">
        <v>2145</v>
      </c>
      <c r="AN211" s="4212">
        <v>0</v>
      </c>
      <c r="AO211" s="4212">
        <v>12718</v>
      </c>
      <c r="AP211" s="4212">
        <v>0</v>
      </c>
      <c r="AQ211" s="4212">
        <v>26</v>
      </c>
      <c r="AR211" s="4212">
        <v>0</v>
      </c>
      <c r="AS211" s="4212">
        <v>37</v>
      </c>
      <c r="AT211" s="4212">
        <v>0</v>
      </c>
      <c r="AU211" s="4212">
        <v>0</v>
      </c>
      <c r="AV211" s="4212">
        <v>0</v>
      </c>
      <c r="AW211" s="4212">
        <v>0</v>
      </c>
      <c r="AX211" s="4212">
        <v>0</v>
      </c>
      <c r="AY211" s="4212">
        <v>78</v>
      </c>
      <c r="AZ211" s="4212">
        <v>0</v>
      </c>
      <c r="BA211" s="4212">
        <v>16897</v>
      </c>
      <c r="BB211" s="4212">
        <v>0</v>
      </c>
      <c r="BC211" s="4212">
        <f>SUM('[4]P. 100'!$W$5+'[4]P. 100'!$X$5)</f>
        <v>852</v>
      </c>
      <c r="BD211" s="4212">
        <v>0</v>
      </c>
      <c r="BE211" s="4212">
        <f>SUM(AA211:AC211)</f>
        <v>568506</v>
      </c>
      <c r="BF211" s="4212">
        <v>0</v>
      </c>
      <c r="BG211" s="4212">
        <v>3</v>
      </c>
      <c r="BH211" s="4212">
        <f>SUM(W211:W214)</f>
        <v>19632666</v>
      </c>
      <c r="BI211" s="4218">
        <f>SUM(X211:X214)</f>
        <v>0</v>
      </c>
      <c r="BJ211" s="4209">
        <f>SUM(BI211/R211)</f>
        <v>0</v>
      </c>
      <c r="BK211" s="4212">
        <v>61</v>
      </c>
      <c r="BL211" s="4213" t="s">
        <v>1466</v>
      </c>
      <c r="BM211" s="4214">
        <v>43467</v>
      </c>
      <c r="BN211" s="4214">
        <v>44196</v>
      </c>
      <c r="BO211" s="4214">
        <v>43830</v>
      </c>
      <c r="BP211" s="4126">
        <v>44196</v>
      </c>
      <c r="BQ211" s="4167" t="s">
        <v>1432</v>
      </c>
    </row>
    <row r="212" spans="1:69" s="1815" customFormat="1" ht="31.5" customHeight="1" x14ac:dyDescent="0.2">
      <c r="A212" s="1809"/>
      <c r="B212" s="1810"/>
      <c r="C212" s="1811"/>
      <c r="D212" s="1812"/>
      <c r="E212" s="1812"/>
      <c r="F212" s="1811"/>
      <c r="G212" s="1809"/>
      <c r="H212" s="1812"/>
      <c r="I212" s="1811"/>
      <c r="J212" s="4154"/>
      <c r="K212" s="4136"/>
      <c r="L212" s="4136"/>
      <c r="M212" s="4123"/>
      <c r="N212" s="4123"/>
      <c r="O212" s="4123"/>
      <c r="P212" s="4136"/>
      <c r="Q212" s="4133"/>
      <c r="R212" s="2908"/>
      <c r="S212" s="4136"/>
      <c r="T212" s="4136"/>
      <c r="U212" s="1929" t="s">
        <v>1751</v>
      </c>
      <c r="V212" s="1851">
        <v>40000000</v>
      </c>
      <c r="W212" s="1851">
        <v>0</v>
      </c>
      <c r="X212" s="1851">
        <v>0</v>
      </c>
      <c r="Y212" s="1816">
        <v>61</v>
      </c>
      <c r="Z212" s="1927" t="s">
        <v>1692</v>
      </c>
      <c r="AA212" s="2858"/>
      <c r="AB212" s="2858"/>
      <c r="AC212" s="2858"/>
      <c r="AD212" s="2858"/>
      <c r="AE212" s="2858"/>
      <c r="AF212" s="2858"/>
      <c r="AG212" s="2858"/>
      <c r="AH212" s="2858"/>
      <c r="AI212" s="2858"/>
      <c r="AJ212" s="2858"/>
      <c r="AK212" s="2858"/>
      <c r="AL212" s="2858"/>
      <c r="AM212" s="2858"/>
      <c r="AN212" s="2858"/>
      <c r="AO212" s="2858"/>
      <c r="AP212" s="2858"/>
      <c r="AQ212" s="2858"/>
      <c r="AR212" s="2858"/>
      <c r="AS212" s="2858"/>
      <c r="AT212" s="2858"/>
      <c r="AU212" s="2858"/>
      <c r="AV212" s="2858"/>
      <c r="AW212" s="2858"/>
      <c r="AX212" s="2858"/>
      <c r="AY212" s="2858"/>
      <c r="AZ212" s="2858"/>
      <c r="BA212" s="2858"/>
      <c r="BB212" s="2858"/>
      <c r="BC212" s="2858"/>
      <c r="BD212" s="2858"/>
      <c r="BE212" s="2858"/>
      <c r="BF212" s="2858"/>
      <c r="BG212" s="2858"/>
      <c r="BH212" s="2858"/>
      <c r="BI212" s="4219"/>
      <c r="BJ212" s="4210"/>
      <c r="BK212" s="2858"/>
      <c r="BL212" s="2896"/>
      <c r="BM212" s="3052"/>
      <c r="BN212" s="3052"/>
      <c r="BO212" s="3052"/>
      <c r="BP212" s="4127"/>
      <c r="BQ212" s="4168"/>
    </row>
    <row r="213" spans="1:69" s="1815" customFormat="1" ht="31.5" customHeight="1" x14ac:dyDescent="0.2">
      <c r="A213" s="1809"/>
      <c r="B213" s="1810"/>
      <c r="C213" s="1811"/>
      <c r="D213" s="1812"/>
      <c r="E213" s="1812"/>
      <c r="F213" s="1811"/>
      <c r="G213" s="1809"/>
      <c r="H213" s="1812"/>
      <c r="I213" s="1811"/>
      <c r="J213" s="4154"/>
      <c r="K213" s="4136"/>
      <c r="L213" s="4136"/>
      <c r="M213" s="4123"/>
      <c r="N213" s="4123"/>
      <c r="O213" s="4123"/>
      <c r="P213" s="4136"/>
      <c r="Q213" s="4133"/>
      <c r="R213" s="2908"/>
      <c r="S213" s="4136"/>
      <c r="T213" s="4136"/>
      <c r="U213" s="1929" t="s">
        <v>1752</v>
      </c>
      <c r="V213" s="1851">
        <v>320000000</v>
      </c>
      <c r="W213" s="1851">
        <v>19632666</v>
      </c>
      <c r="X213" s="1851">
        <v>0</v>
      </c>
      <c r="Y213" s="1816">
        <v>61</v>
      </c>
      <c r="Z213" s="1927" t="s">
        <v>1692</v>
      </c>
      <c r="AA213" s="2858"/>
      <c r="AB213" s="2858"/>
      <c r="AC213" s="2858"/>
      <c r="AD213" s="2858"/>
      <c r="AE213" s="2858"/>
      <c r="AF213" s="2858"/>
      <c r="AG213" s="2858"/>
      <c r="AH213" s="2858"/>
      <c r="AI213" s="2858"/>
      <c r="AJ213" s="2858"/>
      <c r="AK213" s="2858"/>
      <c r="AL213" s="2858"/>
      <c r="AM213" s="2858"/>
      <c r="AN213" s="2858"/>
      <c r="AO213" s="2858"/>
      <c r="AP213" s="2858"/>
      <c r="AQ213" s="2858"/>
      <c r="AR213" s="2858"/>
      <c r="AS213" s="2858"/>
      <c r="AT213" s="2858"/>
      <c r="AU213" s="2858"/>
      <c r="AV213" s="2858"/>
      <c r="AW213" s="2858"/>
      <c r="AX213" s="2858"/>
      <c r="AY213" s="2858"/>
      <c r="AZ213" s="2858"/>
      <c r="BA213" s="2858"/>
      <c r="BB213" s="2858"/>
      <c r="BC213" s="2858"/>
      <c r="BD213" s="2858"/>
      <c r="BE213" s="2858"/>
      <c r="BF213" s="2858"/>
      <c r="BG213" s="2858"/>
      <c r="BH213" s="2858"/>
      <c r="BI213" s="4219"/>
      <c r="BJ213" s="4210"/>
      <c r="BK213" s="2858"/>
      <c r="BL213" s="2896"/>
      <c r="BM213" s="3052"/>
      <c r="BN213" s="3052"/>
      <c r="BO213" s="3052"/>
      <c r="BP213" s="4127"/>
      <c r="BQ213" s="4168"/>
    </row>
    <row r="214" spans="1:69" s="1815" customFormat="1" ht="31.5" customHeight="1" x14ac:dyDescent="0.2">
      <c r="A214" s="1809"/>
      <c r="B214" s="1810"/>
      <c r="C214" s="1811"/>
      <c r="D214" s="1812"/>
      <c r="E214" s="1812"/>
      <c r="F214" s="1811"/>
      <c r="G214" s="1809"/>
      <c r="H214" s="1812"/>
      <c r="I214" s="1811"/>
      <c r="J214" s="4155"/>
      <c r="K214" s="4137"/>
      <c r="L214" s="4137"/>
      <c r="M214" s="4171"/>
      <c r="N214" s="4123"/>
      <c r="O214" s="4123"/>
      <c r="P214" s="4136"/>
      <c r="Q214" s="4175"/>
      <c r="R214" s="2908"/>
      <c r="S214" s="4136"/>
      <c r="T214" s="4137"/>
      <c r="U214" s="1929" t="s">
        <v>1753</v>
      </c>
      <c r="V214" s="1851">
        <v>740000000</v>
      </c>
      <c r="W214" s="1851">
        <v>0</v>
      </c>
      <c r="X214" s="1851">
        <v>0</v>
      </c>
      <c r="Y214" s="1816">
        <v>61</v>
      </c>
      <c r="Z214" s="1927" t="s">
        <v>1692</v>
      </c>
      <c r="AA214" s="2859"/>
      <c r="AB214" s="2859"/>
      <c r="AC214" s="2859"/>
      <c r="AD214" s="2859"/>
      <c r="AE214" s="2859"/>
      <c r="AF214" s="2859"/>
      <c r="AG214" s="2859"/>
      <c r="AH214" s="2859"/>
      <c r="AI214" s="2859"/>
      <c r="AJ214" s="2859"/>
      <c r="AK214" s="2859"/>
      <c r="AL214" s="2859"/>
      <c r="AM214" s="2859"/>
      <c r="AN214" s="2859"/>
      <c r="AO214" s="2859"/>
      <c r="AP214" s="2859"/>
      <c r="AQ214" s="2859"/>
      <c r="AR214" s="2859"/>
      <c r="AS214" s="2859"/>
      <c r="AT214" s="2859"/>
      <c r="AU214" s="2859"/>
      <c r="AV214" s="2859"/>
      <c r="AW214" s="2859"/>
      <c r="AX214" s="2859"/>
      <c r="AY214" s="2859"/>
      <c r="AZ214" s="2859"/>
      <c r="BA214" s="2859"/>
      <c r="BB214" s="2859"/>
      <c r="BC214" s="2859"/>
      <c r="BD214" s="2859"/>
      <c r="BE214" s="2859"/>
      <c r="BF214" s="2859"/>
      <c r="BG214" s="2859"/>
      <c r="BH214" s="2859"/>
      <c r="BI214" s="4220"/>
      <c r="BJ214" s="4211"/>
      <c r="BK214" s="2859"/>
      <c r="BL214" s="2897"/>
      <c r="BM214" s="3053"/>
      <c r="BN214" s="3053"/>
      <c r="BO214" s="3053"/>
      <c r="BP214" s="4127"/>
      <c r="BQ214" s="4168"/>
    </row>
    <row r="215" spans="1:69" ht="15" x14ac:dyDescent="0.2">
      <c r="A215" s="1793"/>
      <c r="B215" s="1794"/>
      <c r="C215" s="1795"/>
      <c r="D215" s="1848"/>
      <c r="E215" s="1848"/>
      <c r="F215" s="1795"/>
      <c r="G215" s="1834">
        <v>46</v>
      </c>
      <c r="H215" s="1799" t="s">
        <v>1754</v>
      </c>
      <c r="I215" s="1799"/>
      <c r="J215" s="1799"/>
      <c r="K215" s="1800"/>
      <c r="L215" s="1800"/>
      <c r="M215" s="1799"/>
      <c r="N215" s="1801"/>
      <c r="O215" s="1799"/>
      <c r="P215" s="1800"/>
      <c r="Q215" s="1799"/>
      <c r="R215" s="1835"/>
      <c r="S215" s="1800"/>
      <c r="T215" s="1800"/>
      <c r="U215" s="1802"/>
      <c r="V215" s="1836"/>
      <c r="W215" s="1919"/>
      <c r="X215" s="1919"/>
      <c r="Y215" s="1837"/>
      <c r="Z215" s="1801"/>
      <c r="AA215" s="1801"/>
      <c r="AB215" s="1801"/>
      <c r="AC215" s="1801"/>
      <c r="AD215" s="1801"/>
      <c r="AE215" s="1801"/>
      <c r="AF215" s="1801"/>
      <c r="AG215" s="1801"/>
      <c r="AH215" s="1801"/>
      <c r="AI215" s="1801"/>
      <c r="AJ215" s="1801"/>
      <c r="AK215" s="1801"/>
      <c r="AL215" s="1801"/>
      <c r="AM215" s="1801"/>
      <c r="AN215" s="1801"/>
      <c r="AO215" s="1801"/>
      <c r="AP215" s="1801"/>
      <c r="AQ215" s="1801"/>
      <c r="AR215" s="1801"/>
      <c r="AS215" s="1801"/>
      <c r="AT215" s="1801"/>
      <c r="AU215" s="1801"/>
      <c r="AV215" s="1801"/>
      <c r="AW215" s="1801"/>
      <c r="AX215" s="1801"/>
      <c r="AY215" s="1801"/>
      <c r="AZ215" s="1801"/>
      <c r="BA215" s="1801"/>
      <c r="BB215" s="1801"/>
      <c r="BC215" s="1801"/>
      <c r="BD215" s="1801"/>
      <c r="BE215" s="1801"/>
      <c r="BF215" s="1801"/>
      <c r="BG215" s="1801"/>
      <c r="BH215" s="1801"/>
      <c r="BI215" s="1801"/>
      <c r="BJ215" s="1801"/>
      <c r="BK215" s="1801"/>
      <c r="BL215" s="1801"/>
      <c r="BM215" s="1849"/>
      <c r="BN215" s="1849"/>
      <c r="BO215" s="1849"/>
      <c r="BP215" s="1839"/>
      <c r="BQ215" s="1840"/>
    </row>
    <row r="216" spans="1:69" ht="31.5" customHeight="1" x14ac:dyDescent="0.2">
      <c r="A216" s="1809"/>
      <c r="B216" s="1810"/>
      <c r="C216" s="1811"/>
      <c r="D216" s="1812"/>
      <c r="E216" s="1812"/>
      <c r="F216" s="1811"/>
      <c r="G216" s="1841"/>
      <c r="H216" s="1842"/>
      <c r="I216" s="1843"/>
      <c r="J216" s="4138">
        <v>160</v>
      </c>
      <c r="K216" s="4135" t="s">
        <v>1755</v>
      </c>
      <c r="L216" s="4135" t="s">
        <v>1756</v>
      </c>
      <c r="M216" s="4122">
        <v>300</v>
      </c>
      <c r="N216" s="4122" t="s">
        <v>1757</v>
      </c>
      <c r="O216" s="4122">
        <v>151</v>
      </c>
      <c r="P216" s="4135" t="s">
        <v>1758</v>
      </c>
      <c r="Q216" s="4132">
        <v>1</v>
      </c>
      <c r="R216" s="4134">
        <f>SUM(V216:V222)</f>
        <v>870000000</v>
      </c>
      <c r="S216" s="4135" t="s">
        <v>1759</v>
      </c>
      <c r="T216" s="4147" t="s">
        <v>1760</v>
      </c>
      <c r="U216" s="162" t="s">
        <v>1761</v>
      </c>
      <c r="V216" s="1930">
        <v>302000000</v>
      </c>
      <c r="W216" s="1851">
        <v>0</v>
      </c>
      <c r="X216" s="1851">
        <v>0</v>
      </c>
      <c r="Y216" s="4215" t="s">
        <v>1680</v>
      </c>
      <c r="Z216" s="4122" t="s">
        <v>1762</v>
      </c>
      <c r="AA216" s="4212">
        <v>289394</v>
      </c>
      <c r="AB216" s="4212">
        <f>AA216*0.01</f>
        <v>2893.94</v>
      </c>
      <c r="AC216" s="4212">
        <v>279112</v>
      </c>
      <c r="AD216" s="4212">
        <f>AC216*0.01</f>
        <v>2791.12</v>
      </c>
      <c r="AE216" s="4212">
        <v>63164</v>
      </c>
      <c r="AF216" s="4212">
        <f>AE216*0.01</f>
        <v>631.64</v>
      </c>
      <c r="AG216" s="4212">
        <v>45607</v>
      </c>
      <c r="AH216" s="4212">
        <f>AG216*0.01</f>
        <v>456.07</v>
      </c>
      <c r="AI216" s="4212">
        <v>365607</v>
      </c>
      <c r="AJ216" s="4212">
        <f>AI216*0.01</f>
        <v>3656.07</v>
      </c>
      <c r="AK216" s="4212">
        <v>75612</v>
      </c>
      <c r="AL216" s="4212">
        <f>AK216*0.01</f>
        <v>756.12</v>
      </c>
      <c r="AM216" s="4212">
        <v>2145</v>
      </c>
      <c r="AN216" s="4212">
        <f>AM216*0.01</f>
        <v>21.45</v>
      </c>
      <c r="AO216" s="4212">
        <v>12718</v>
      </c>
      <c r="AP216" s="4212">
        <f>AO216*0.01</f>
        <v>127.18</v>
      </c>
      <c r="AQ216" s="4212">
        <v>26</v>
      </c>
      <c r="AR216" s="4212">
        <f>AQ216*0.01</f>
        <v>0.26</v>
      </c>
      <c r="AS216" s="4212">
        <v>37</v>
      </c>
      <c r="AT216" s="4212">
        <f>AS216*0.01</f>
        <v>0.37</v>
      </c>
      <c r="AU216" s="4212">
        <v>0</v>
      </c>
      <c r="AV216" s="4212">
        <f>AU216*0.01</f>
        <v>0</v>
      </c>
      <c r="AW216" s="4212">
        <v>0</v>
      </c>
      <c r="AX216" s="4212">
        <f>AW216*0.01</f>
        <v>0</v>
      </c>
      <c r="AY216" s="4212">
        <v>78</v>
      </c>
      <c r="AZ216" s="4212">
        <f>AY216*0.01</f>
        <v>0.78</v>
      </c>
      <c r="BA216" s="4212">
        <v>16897</v>
      </c>
      <c r="BB216" s="4212">
        <f>BA216*0.01</f>
        <v>168.97</v>
      </c>
      <c r="BC216" s="4212">
        <f>SUM('[4]P. 100'!$W$5+'[4]P. 100'!$X$5)</f>
        <v>852</v>
      </c>
      <c r="BD216" s="4212">
        <f>BC216*0.01</f>
        <v>8.52</v>
      </c>
      <c r="BE216" s="4212">
        <f>SUM(AA216:AC216)</f>
        <v>571399.93999999994</v>
      </c>
      <c r="BF216" s="4212">
        <f>BE216*0.01</f>
        <v>5713.9993999999997</v>
      </c>
      <c r="BG216" s="4212">
        <v>6</v>
      </c>
      <c r="BH216" s="4212">
        <f>SUM(W216:W222)</f>
        <v>53862667</v>
      </c>
      <c r="BI216" s="4212">
        <f>SUM(X216:X222)</f>
        <v>7992000</v>
      </c>
      <c r="BJ216" s="4209">
        <f>SUM(BI216/R216)</f>
        <v>9.1862068965517241E-3</v>
      </c>
      <c r="BK216" s="4212">
        <v>61</v>
      </c>
      <c r="BL216" s="4213" t="s">
        <v>1466</v>
      </c>
      <c r="BM216" s="4214">
        <v>43467</v>
      </c>
      <c r="BN216" s="4214">
        <v>44196</v>
      </c>
      <c r="BO216" s="4214">
        <v>43830</v>
      </c>
      <c r="BP216" s="4126">
        <v>44196</v>
      </c>
      <c r="BQ216" s="4167" t="s">
        <v>1432</v>
      </c>
    </row>
    <row r="217" spans="1:69" ht="31.5" customHeight="1" x14ac:dyDescent="0.2">
      <c r="A217" s="1809"/>
      <c r="B217" s="1810"/>
      <c r="C217" s="1811"/>
      <c r="D217" s="1812"/>
      <c r="E217" s="1812"/>
      <c r="F217" s="1811"/>
      <c r="G217" s="1809"/>
      <c r="H217" s="1812"/>
      <c r="I217" s="1811"/>
      <c r="J217" s="4138"/>
      <c r="K217" s="4136"/>
      <c r="L217" s="4136"/>
      <c r="M217" s="4123"/>
      <c r="N217" s="4123"/>
      <c r="O217" s="4123"/>
      <c r="P217" s="4136"/>
      <c r="Q217" s="4133"/>
      <c r="R217" s="2908"/>
      <c r="S217" s="4136"/>
      <c r="T217" s="4148"/>
      <c r="U217" s="162" t="s">
        <v>1763</v>
      </c>
      <c r="V217" s="1930">
        <v>80000000</v>
      </c>
      <c r="W217" s="1851">
        <v>0</v>
      </c>
      <c r="X217" s="1851">
        <v>0</v>
      </c>
      <c r="Y217" s="4216"/>
      <c r="Z217" s="4123"/>
      <c r="AA217" s="2858"/>
      <c r="AB217" s="2858"/>
      <c r="AC217" s="2858"/>
      <c r="AD217" s="2858"/>
      <c r="AE217" s="2858"/>
      <c r="AF217" s="2858"/>
      <c r="AG217" s="2858"/>
      <c r="AH217" s="2858"/>
      <c r="AI217" s="2858"/>
      <c r="AJ217" s="2858"/>
      <c r="AK217" s="2858"/>
      <c r="AL217" s="2858"/>
      <c r="AM217" s="2858"/>
      <c r="AN217" s="2858"/>
      <c r="AO217" s="2858"/>
      <c r="AP217" s="2858"/>
      <c r="AQ217" s="2858"/>
      <c r="AR217" s="2858"/>
      <c r="AS217" s="2858"/>
      <c r="AT217" s="2858"/>
      <c r="AU217" s="2858"/>
      <c r="AV217" s="2858"/>
      <c r="AW217" s="2858"/>
      <c r="AX217" s="2858"/>
      <c r="AY217" s="2858"/>
      <c r="AZ217" s="2858"/>
      <c r="BA217" s="2858"/>
      <c r="BB217" s="2858"/>
      <c r="BC217" s="2858"/>
      <c r="BD217" s="2858"/>
      <c r="BE217" s="2858"/>
      <c r="BF217" s="2858"/>
      <c r="BG217" s="2858"/>
      <c r="BH217" s="2858"/>
      <c r="BI217" s="2858"/>
      <c r="BJ217" s="4210"/>
      <c r="BK217" s="2858"/>
      <c r="BL217" s="2896"/>
      <c r="BM217" s="3052"/>
      <c r="BN217" s="3052"/>
      <c r="BO217" s="3052"/>
      <c r="BP217" s="4127"/>
      <c r="BQ217" s="4168"/>
    </row>
    <row r="218" spans="1:69" ht="57.75" customHeight="1" x14ac:dyDescent="0.2">
      <c r="A218" s="1809"/>
      <c r="B218" s="1810"/>
      <c r="C218" s="1811"/>
      <c r="D218" s="1812"/>
      <c r="E218" s="1812"/>
      <c r="F218" s="1811"/>
      <c r="G218" s="1809"/>
      <c r="H218" s="1812"/>
      <c r="I218" s="1811"/>
      <c r="J218" s="4138"/>
      <c r="K218" s="4136"/>
      <c r="L218" s="4136"/>
      <c r="M218" s="4123"/>
      <c r="N218" s="4123"/>
      <c r="O218" s="4123"/>
      <c r="P218" s="4136"/>
      <c r="Q218" s="4133"/>
      <c r="R218" s="2908"/>
      <c r="S218" s="4136"/>
      <c r="T218" s="4148"/>
      <c r="U218" s="162" t="s">
        <v>1764</v>
      </c>
      <c r="V218" s="1930">
        <v>94900000</v>
      </c>
      <c r="W218" s="1851">
        <v>28000000</v>
      </c>
      <c r="X218" s="1851">
        <v>4000000</v>
      </c>
      <c r="Y218" s="4216"/>
      <c r="Z218" s="4123"/>
      <c r="AA218" s="2858"/>
      <c r="AB218" s="2858"/>
      <c r="AC218" s="2858"/>
      <c r="AD218" s="2858"/>
      <c r="AE218" s="2858"/>
      <c r="AF218" s="2858"/>
      <c r="AG218" s="2858"/>
      <c r="AH218" s="2858"/>
      <c r="AI218" s="2858"/>
      <c r="AJ218" s="2858"/>
      <c r="AK218" s="2858"/>
      <c r="AL218" s="2858"/>
      <c r="AM218" s="2858"/>
      <c r="AN218" s="2858"/>
      <c r="AO218" s="2858"/>
      <c r="AP218" s="2858"/>
      <c r="AQ218" s="2858"/>
      <c r="AR218" s="2858"/>
      <c r="AS218" s="2858"/>
      <c r="AT218" s="2858"/>
      <c r="AU218" s="2858"/>
      <c r="AV218" s="2858"/>
      <c r="AW218" s="2858"/>
      <c r="AX218" s="2858"/>
      <c r="AY218" s="2858"/>
      <c r="AZ218" s="2858"/>
      <c r="BA218" s="2858"/>
      <c r="BB218" s="2858"/>
      <c r="BC218" s="2858"/>
      <c r="BD218" s="2858"/>
      <c r="BE218" s="2858"/>
      <c r="BF218" s="2858"/>
      <c r="BG218" s="2858"/>
      <c r="BH218" s="2858"/>
      <c r="BI218" s="2858"/>
      <c r="BJ218" s="4210"/>
      <c r="BK218" s="2858"/>
      <c r="BL218" s="2896"/>
      <c r="BM218" s="3052"/>
      <c r="BN218" s="3052"/>
      <c r="BO218" s="3052"/>
      <c r="BP218" s="4127"/>
      <c r="BQ218" s="4168"/>
    </row>
    <row r="219" spans="1:69" ht="58.5" customHeight="1" x14ac:dyDescent="0.2">
      <c r="A219" s="1809"/>
      <c r="B219" s="1810"/>
      <c r="C219" s="1811"/>
      <c r="D219" s="1812"/>
      <c r="E219" s="1812"/>
      <c r="F219" s="1811"/>
      <c r="G219" s="1809"/>
      <c r="H219" s="1812"/>
      <c r="I219" s="1811"/>
      <c r="J219" s="4138"/>
      <c r="K219" s="4136"/>
      <c r="L219" s="4136"/>
      <c r="M219" s="4123"/>
      <c r="N219" s="4123"/>
      <c r="O219" s="4123"/>
      <c r="P219" s="4136"/>
      <c r="Q219" s="4133"/>
      <c r="R219" s="2908"/>
      <c r="S219" s="4136"/>
      <c r="T219" s="4149"/>
      <c r="U219" s="162" t="s">
        <v>1765</v>
      </c>
      <c r="V219" s="1930">
        <v>70630000</v>
      </c>
      <c r="W219" s="1851">
        <v>0</v>
      </c>
      <c r="X219" s="1851">
        <v>0</v>
      </c>
      <c r="Y219" s="4216"/>
      <c r="Z219" s="4123"/>
      <c r="AA219" s="2858"/>
      <c r="AB219" s="2858"/>
      <c r="AC219" s="2858"/>
      <c r="AD219" s="2858"/>
      <c r="AE219" s="2858"/>
      <c r="AF219" s="2858"/>
      <c r="AG219" s="2858"/>
      <c r="AH219" s="2858"/>
      <c r="AI219" s="2858"/>
      <c r="AJ219" s="2858"/>
      <c r="AK219" s="2858"/>
      <c r="AL219" s="2858"/>
      <c r="AM219" s="2858"/>
      <c r="AN219" s="2858"/>
      <c r="AO219" s="2858"/>
      <c r="AP219" s="2858"/>
      <c r="AQ219" s="2858"/>
      <c r="AR219" s="2858"/>
      <c r="AS219" s="2858"/>
      <c r="AT219" s="2858"/>
      <c r="AU219" s="2858"/>
      <c r="AV219" s="2858"/>
      <c r="AW219" s="2858"/>
      <c r="AX219" s="2858"/>
      <c r="AY219" s="2858"/>
      <c r="AZ219" s="2858"/>
      <c r="BA219" s="2858"/>
      <c r="BB219" s="2858"/>
      <c r="BC219" s="2858"/>
      <c r="BD219" s="2858"/>
      <c r="BE219" s="2858"/>
      <c r="BF219" s="2858"/>
      <c r="BG219" s="2858"/>
      <c r="BH219" s="2858"/>
      <c r="BI219" s="2858"/>
      <c r="BJ219" s="4210"/>
      <c r="BK219" s="2858"/>
      <c r="BL219" s="2896"/>
      <c r="BM219" s="3052"/>
      <c r="BN219" s="3052"/>
      <c r="BO219" s="3052"/>
      <c r="BP219" s="4127"/>
      <c r="BQ219" s="4168"/>
    </row>
    <row r="220" spans="1:69" ht="31.5" customHeight="1" x14ac:dyDescent="0.2">
      <c r="A220" s="1809"/>
      <c r="B220" s="1810"/>
      <c r="C220" s="1811"/>
      <c r="D220" s="1812"/>
      <c r="E220" s="1812"/>
      <c r="F220" s="1811"/>
      <c r="G220" s="1809"/>
      <c r="H220" s="1812"/>
      <c r="I220" s="1811"/>
      <c r="J220" s="4138"/>
      <c r="K220" s="4136"/>
      <c r="L220" s="4136"/>
      <c r="M220" s="4123"/>
      <c r="N220" s="4123"/>
      <c r="O220" s="4123"/>
      <c r="P220" s="4136"/>
      <c r="Q220" s="4133"/>
      <c r="R220" s="2908"/>
      <c r="S220" s="4136"/>
      <c r="T220" s="4207" t="s">
        <v>1766</v>
      </c>
      <c r="U220" s="162" t="s">
        <v>1767</v>
      </c>
      <c r="V220" s="1930">
        <v>74000000</v>
      </c>
      <c r="W220" s="1851">
        <v>0</v>
      </c>
      <c r="X220" s="1851">
        <v>0</v>
      </c>
      <c r="Y220" s="4216"/>
      <c r="Z220" s="4123"/>
      <c r="AA220" s="2858"/>
      <c r="AB220" s="2858"/>
      <c r="AC220" s="2858"/>
      <c r="AD220" s="2858"/>
      <c r="AE220" s="2858"/>
      <c r="AF220" s="2858"/>
      <c r="AG220" s="2858"/>
      <c r="AH220" s="2858"/>
      <c r="AI220" s="2858"/>
      <c r="AJ220" s="2858"/>
      <c r="AK220" s="2858"/>
      <c r="AL220" s="2858"/>
      <c r="AM220" s="2858"/>
      <c r="AN220" s="2858"/>
      <c r="AO220" s="2858"/>
      <c r="AP220" s="2858"/>
      <c r="AQ220" s="2858"/>
      <c r="AR220" s="2858"/>
      <c r="AS220" s="2858"/>
      <c r="AT220" s="2858"/>
      <c r="AU220" s="2858"/>
      <c r="AV220" s="2858"/>
      <c r="AW220" s="2858"/>
      <c r="AX220" s="2858"/>
      <c r="AY220" s="2858"/>
      <c r="AZ220" s="2858"/>
      <c r="BA220" s="2858"/>
      <c r="BB220" s="2858"/>
      <c r="BC220" s="2858"/>
      <c r="BD220" s="2858"/>
      <c r="BE220" s="2858"/>
      <c r="BF220" s="2858"/>
      <c r="BG220" s="2858"/>
      <c r="BH220" s="2858"/>
      <c r="BI220" s="2858"/>
      <c r="BJ220" s="4210"/>
      <c r="BK220" s="2858"/>
      <c r="BL220" s="2896"/>
      <c r="BM220" s="3052"/>
      <c r="BN220" s="3052"/>
      <c r="BO220" s="3052"/>
      <c r="BP220" s="4127"/>
      <c r="BQ220" s="4168"/>
    </row>
    <row r="221" spans="1:69" ht="45" customHeight="1" x14ac:dyDescent="0.2">
      <c r="A221" s="1809"/>
      <c r="B221" s="1810"/>
      <c r="C221" s="1811"/>
      <c r="D221" s="1812"/>
      <c r="E221" s="1812"/>
      <c r="F221" s="1811"/>
      <c r="G221" s="1809"/>
      <c r="H221" s="1812"/>
      <c r="I221" s="1811"/>
      <c r="J221" s="4138"/>
      <c r="K221" s="4136"/>
      <c r="L221" s="4136"/>
      <c r="M221" s="4123"/>
      <c r="N221" s="4123"/>
      <c r="O221" s="4123"/>
      <c r="P221" s="4136"/>
      <c r="Q221" s="4133"/>
      <c r="R221" s="2908"/>
      <c r="S221" s="4136"/>
      <c r="T221" s="4208"/>
      <c r="U221" s="162" t="s">
        <v>1768</v>
      </c>
      <c r="V221" s="1930">
        <v>150470000</v>
      </c>
      <c r="W221" s="1851">
        <v>25862667</v>
      </c>
      <c r="X221" s="1851">
        <v>3992000</v>
      </c>
      <c r="Y221" s="4216"/>
      <c r="Z221" s="4123"/>
      <c r="AA221" s="2858"/>
      <c r="AB221" s="2858"/>
      <c r="AC221" s="2858"/>
      <c r="AD221" s="2858"/>
      <c r="AE221" s="2858"/>
      <c r="AF221" s="2858"/>
      <c r="AG221" s="2858"/>
      <c r="AH221" s="2858"/>
      <c r="AI221" s="2858"/>
      <c r="AJ221" s="2858"/>
      <c r="AK221" s="2858"/>
      <c r="AL221" s="2858"/>
      <c r="AM221" s="2858"/>
      <c r="AN221" s="2858"/>
      <c r="AO221" s="2858"/>
      <c r="AP221" s="2858"/>
      <c r="AQ221" s="2858"/>
      <c r="AR221" s="2858"/>
      <c r="AS221" s="2858"/>
      <c r="AT221" s="2858"/>
      <c r="AU221" s="2858"/>
      <c r="AV221" s="2858"/>
      <c r="AW221" s="2858"/>
      <c r="AX221" s="2858"/>
      <c r="AY221" s="2858"/>
      <c r="AZ221" s="2858"/>
      <c r="BA221" s="2858"/>
      <c r="BB221" s="2858"/>
      <c r="BC221" s="2858"/>
      <c r="BD221" s="2858"/>
      <c r="BE221" s="2858"/>
      <c r="BF221" s="2858"/>
      <c r="BG221" s="2858"/>
      <c r="BH221" s="2858"/>
      <c r="BI221" s="2858"/>
      <c r="BJ221" s="4210"/>
      <c r="BK221" s="2858"/>
      <c r="BL221" s="2896"/>
      <c r="BM221" s="3052"/>
      <c r="BN221" s="3052"/>
      <c r="BO221" s="3052"/>
      <c r="BP221" s="4127"/>
      <c r="BQ221" s="4168"/>
    </row>
    <row r="222" spans="1:69" ht="53.25" customHeight="1" x14ac:dyDescent="0.2">
      <c r="A222" s="1809"/>
      <c r="B222" s="1810"/>
      <c r="C222" s="1811"/>
      <c r="D222" s="1812"/>
      <c r="E222" s="1812"/>
      <c r="F222" s="1811"/>
      <c r="G222" s="1809"/>
      <c r="H222" s="1812"/>
      <c r="I222" s="1811"/>
      <c r="J222" s="4138"/>
      <c r="K222" s="4137"/>
      <c r="L222" s="4137"/>
      <c r="M222" s="4171"/>
      <c r="N222" s="4171"/>
      <c r="O222" s="4171"/>
      <c r="P222" s="4137"/>
      <c r="Q222" s="4175"/>
      <c r="R222" s="2909"/>
      <c r="S222" s="4137"/>
      <c r="T222" s="1929" t="s">
        <v>1769</v>
      </c>
      <c r="U222" s="162" t="s">
        <v>1770</v>
      </c>
      <c r="V222" s="1930">
        <v>98000000</v>
      </c>
      <c r="W222" s="1851">
        <v>0</v>
      </c>
      <c r="X222" s="1851">
        <v>0</v>
      </c>
      <c r="Y222" s="4217"/>
      <c r="Z222" s="4171"/>
      <c r="AA222" s="2859"/>
      <c r="AB222" s="2859"/>
      <c r="AC222" s="2859"/>
      <c r="AD222" s="2859"/>
      <c r="AE222" s="2859"/>
      <c r="AF222" s="2859"/>
      <c r="AG222" s="2859"/>
      <c r="AH222" s="2859"/>
      <c r="AI222" s="2859"/>
      <c r="AJ222" s="2859"/>
      <c r="AK222" s="2859"/>
      <c r="AL222" s="2859"/>
      <c r="AM222" s="2859"/>
      <c r="AN222" s="2859"/>
      <c r="AO222" s="2859"/>
      <c r="AP222" s="2859"/>
      <c r="AQ222" s="2859"/>
      <c r="AR222" s="2859"/>
      <c r="AS222" s="2859"/>
      <c r="AT222" s="2859"/>
      <c r="AU222" s="2859"/>
      <c r="AV222" s="2859"/>
      <c r="AW222" s="2859"/>
      <c r="AX222" s="2859"/>
      <c r="AY222" s="2859"/>
      <c r="AZ222" s="2859"/>
      <c r="BA222" s="2859"/>
      <c r="BB222" s="2859"/>
      <c r="BC222" s="2859"/>
      <c r="BD222" s="2859"/>
      <c r="BE222" s="2859"/>
      <c r="BF222" s="2859"/>
      <c r="BG222" s="2859"/>
      <c r="BH222" s="2859"/>
      <c r="BI222" s="2859"/>
      <c r="BJ222" s="4211"/>
      <c r="BK222" s="2859"/>
      <c r="BL222" s="2897"/>
      <c r="BM222" s="3053"/>
      <c r="BN222" s="3053"/>
      <c r="BO222" s="3053"/>
      <c r="BP222" s="4166"/>
      <c r="BQ222" s="4169"/>
    </row>
    <row r="223" spans="1:69" ht="31.5" customHeight="1" x14ac:dyDescent="0.2">
      <c r="A223" s="1857"/>
      <c r="B223" s="1858"/>
      <c r="C223" s="1859"/>
      <c r="D223" s="1858"/>
      <c r="E223" s="1858"/>
      <c r="F223" s="1859"/>
      <c r="G223" s="1857"/>
      <c r="H223" s="1858"/>
      <c r="I223" s="1859"/>
      <c r="J223" s="4153">
        <v>161</v>
      </c>
      <c r="K223" s="4147" t="s">
        <v>1771</v>
      </c>
      <c r="L223" s="4147" t="s">
        <v>1772</v>
      </c>
      <c r="M223" s="4153">
        <v>100</v>
      </c>
      <c r="N223" s="4122" t="s">
        <v>1773</v>
      </c>
      <c r="O223" s="4122">
        <v>152</v>
      </c>
      <c r="P223" s="4135" t="s">
        <v>1774</v>
      </c>
      <c r="Q223" s="4204">
        <f>(V223+V225+V226+V224)/R223</f>
        <v>0.25</v>
      </c>
      <c r="R223" s="4134">
        <f>SUM(V223:V231)</f>
        <v>400000000</v>
      </c>
      <c r="S223" s="4135" t="s">
        <v>1775</v>
      </c>
      <c r="T223" s="4147" t="s">
        <v>1776</v>
      </c>
      <c r="U223" s="161" t="s">
        <v>1777</v>
      </c>
      <c r="V223" s="1851">
        <v>20000000</v>
      </c>
      <c r="W223" s="1920"/>
      <c r="X223" s="1931"/>
      <c r="Y223" s="1852">
        <v>61</v>
      </c>
      <c r="Z223" s="1875" t="s">
        <v>1692</v>
      </c>
      <c r="AA223" s="4122">
        <v>292684</v>
      </c>
      <c r="AB223" s="4122">
        <f>AA223*0.04</f>
        <v>11707.36</v>
      </c>
      <c r="AC223" s="4122">
        <v>282326</v>
      </c>
      <c r="AD223" s="4122">
        <f>AC223*0.04</f>
        <v>11293.04</v>
      </c>
      <c r="AE223" s="4122">
        <v>135912</v>
      </c>
      <c r="AF223" s="4122">
        <f>AE223*0.04</f>
        <v>5436.4800000000005</v>
      </c>
      <c r="AG223" s="4122">
        <v>45122</v>
      </c>
      <c r="AH223" s="4122">
        <f>AG223*0.04</f>
        <v>1804.88</v>
      </c>
      <c r="AI223" s="4122">
        <f>AI216</f>
        <v>365607</v>
      </c>
      <c r="AJ223" s="4122">
        <f>AI223*0.04</f>
        <v>14624.28</v>
      </c>
      <c r="AK223" s="4122">
        <f>AK216</f>
        <v>75612</v>
      </c>
      <c r="AL223" s="4122">
        <f>AK223*0.04</f>
        <v>3024.48</v>
      </c>
      <c r="AM223" s="4122">
        <v>2145</v>
      </c>
      <c r="AN223" s="4122">
        <f>AM223*0.04</f>
        <v>85.8</v>
      </c>
      <c r="AO223" s="4122">
        <v>12718</v>
      </c>
      <c r="AP223" s="4122">
        <f>AO223*0.04</f>
        <v>508.72</v>
      </c>
      <c r="AQ223" s="4122">
        <v>26</v>
      </c>
      <c r="AR223" s="4122">
        <f>AQ223*0.04</f>
        <v>1.04</v>
      </c>
      <c r="AS223" s="4122">
        <v>37</v>
      </c>
      <c r="AT223" s="4122">
        <f>AS223*0.04</f>
        <v>1.48</v>
      </c>
      <c r="AU223" s="4122" t="s">
        <v>1164</v>
      </c>
      <c r="AV223" s="4122" t="s">
        <v>1164</v>
      </c>
      <c r="AW223" s="4122" t="s">
        <v>1164</v>
      </c>
      <c r="AX223" s="4122" t="s">
        <v>1164</v>
      </c>
      <c r="AY223" s="4122">
        <v>53164</v>
      </c>
      <c r="AZ223" s="4122">
        <f>AY223*0.04</f>
        <v>2126.56</v>
      </c>
      <c r="BA223" s="4122">
        <v>16982</v>
      </c>
      <c r="BB223" s="4122">
        <f>BA223*0.04</f>
        <v>679.28</v>
      </c>
      <c r="BC223" s="4122">
        <v>60013</v>
      </c>
      <c r="BD223" s="4122">
        <f>BC223*0.04</f>
        <v>2400.52</v>
      </c>
      <c r="BE223" s="4122">
        <v>575010</v>
      </c>
      <c r="BF223" s="4122">
        <f>BE223*0.04</f>
        <v>23000.400000000001</v>
      </c>
      <c r="BG223" s="4185">
        <v>8</v>
      </c>
      <c r="BH223" s="4203">
        <f>SUM(W223:W231)</f>
        <v>71378331</v>
      </c>
      <c r="BI223" s="4203">
        <f>SUM(X223:X231)</f>
        <v>17600000</v>
      </c>
      <c r="BJ223" s="2937">
        <f>SUM(BI223/R223)</f>
        <v>4.3999999999999997E-2</v>
      </c>
      <c r="BK223" s="4185">
        <v>61</v>
      </c>
      <c r="BL223" s="4185" t="s">
        <v>1466</v>
      </c>
      <c r="BM223" s="4184">
        <v>43467</v>
      </c>
      <c r="BN223" s="4184">
        <v>44196</v>
      </c>
      <c r="BO223" s="4184">
        <v>43830</v>
      </c>
      <c r="BP223" s="4184">
        <v>44196</v>
      </c>
      <c r="BQ223" s="4201" t="s">
        <v>1432</v>
      </c>
    </row>
    <row r="224" spans="1:69" ht="31.5" customHeight="1" x14ac:dyDescent="0.2">
      <c r="A224" s="1857"/>
      <c r="B224" s="1858"/>
      <c r="C224" s="1859"/>
      <c r="D224" s="1858"/>
      <c r="E224" s="1858"/>
      <c r="F224" s="1859"/>
      <c r="G224" s="1857"/>
      <c r="H224" s="1858"/>
      <c r="I224" s="1859"/>
      <c r="J224" s="4154"/>
      <c r="K224" s="4148"/>
      <c r="L224" s="4148"/>
      <c r="M224" s="4154"/>
      <c r="N224" s="4123"/>
      <c r="O224" s="4123"/>
      <c r="P224" s="4136"/>
      <c r="Q224" s="4205"/>
      <c r="R224" s="2908"/>
      <c r="S224" s="4136"/>
      <c r="T224" s="4148"/>
      <c r="U224" s="161" t="s">
        <v>1778</v>
      </c>
      <c r="V224" s="1851">
        <v>32500000</v>
      </c>
      <c r="W224" s="1920">
        <v>3733334</v>
      </c>
      <c r="X224" s="1920">
        <v>933333.33333333337</v>
      </c>
      <c r="Y224" s="1852">
        <v>61</v>
      </c>
      <c r="Z224" s="1875" t="s">
        <v>1692</v>
      </c>
      <c r="AA224" s="4123"/>
      <c r="AB224" s="4123"/>
      <c r="AC224" s="4123"/>
      <c r="AD224" s="4123"/>
      <c r="AE224" s="4123"/>
      <c r="AF224" s="4123"/>
      <c r="AG224" s="4123"/>
      <c r="AH224" s="4123"/>
      <c r="AI224" s="4123"/>
      <c r="AJ224" s="4123"/>
      <c r="AK224" s="4123"/>
      <c r="AL224" s="4123"/>
      <c r="AM224" s="4123"/>
      <c r="AN224" s="4123"/>
      <c r="AO224" s="4123"/>
      <c r="AP224" s="4123"/>
      <c r="AQ224" s="4123"/>
      <c r="AR224" s="4123"/>
      <c r="AS224" s="4123"/>
      <c r="AT224" s="4123"/>
      <c r="AU224" s="4123"/>
      <c r="AV224" s="4123"/>
      <c r="AW224" s="4123"/>
      <c r="AX224" s="4123"/>
      <c r="AY224" s="4123"/>
      <c r="AZ224" s="4123"/>
      <c r="BA224" s="4123"/>
      <c r="BB224" s="4123"/>
      <c r="BC224" s="4123"/>
      <c r="BD224" s="4123"/>
      <c r="BE224" s="4123"/>
      <c r="BF224" s="4123"/>
      <c r="BG224" s="4185"/>
      <c r="BH224" s="4185"/>
      <c r="BI224" s="4185"/>
      <c r="BJ224" s="2937"/>
      <c r="BK224" s="4185"/>
      <c r="BL224" s="4185"/>
      <c r="BM224" s="4184"/>
      <c r="BN224" s="4184"/>
      <c r="BO224" s="4184"/>
      <c r="BP224" s="4184"/>
      <c r="BQ224" s="4202"/>
    </row>
    <row r="225" spans="1:163" ht="68.25" customHeight="1" x14ac:dyDescent="0.2">
      <c r="A225" s="1857"/>
      <c r="B225" s="1858"/>
      <c r="C225" s="1859"/>
      <c r="D225" s="1858"/>
      <c r="E225" s="1858"/>
      <c r="F225" s="1859"/>
      <c r="G225" s="1857"/>
      <c r="H225" s="1858"/>
      <c r="I225" s="1859"/>
      <c r="J225" s="4154"/>
      <c r="K225" s="4148"/>
      <c r="L225" s="4148"/>
      <c r="M225" s="4154"/>
      <c r="N225" s="4123"/>
      <c r="O225" s="4123"/>
      <c r="P225" s="4136"/>
      <c r="Q225" s="4205"/>
      <c r="R225" s="2908"/>
      <c r="S225" s="4136"/>
      <c r="T225" s="4148"/>
      <c r="U225" s="161" t="s">
        <v>1779</v>
      </c>
      <c r="V225" s="1851">
        <v>32500000</v>
      </c>
      <c r="W225" s="1920">
        <v>3733333</v>
      </c>
      <c r="X225" s="1920">
        <v>933333.33333333337</v>
      </c>
      <c r="Y225" s="1852">
        <v>61</v>
      </c>
      <c r="Z225" s="1875" t="s">
        <v>1692</v>
      </c>
      <c r="AA225" s="4123"/>
      <c r="AB225" s="4123"/>
      <c r="AC225" s="4123"/>
      <c r="AD225" s="4123"/>
      <c r="AE225" s="4123"/>
      <c r="AF225" s="4123"/>
      <c r="AG225" s="4123"/>
      <c r="AH225" s="4123"/>
      <c r="AI225" s="4123"/>
      <c r="AJ225" s="4123"/>
      <c r="AK225" s="4123"/>
      <c r="AL225" s="4123"/>
      <c r="AM225" s="4123"/>
      <c r="AN225" s="4123"/>
      <c r="AO225" s="4123"/>
      <c r="AP225" s="4123"/>
      <c r="AQ225" s="4123"/>
      <c r="AR225" s="4123"/>
      <c r="AS225" s="4123"/>
      <c r="AT225" s="4123"/>
      <c r="AU225" s="4123"/>
      <c r="AV225" s="4123"/>
      <c r="AW225" s="4123"/>
      <c r="AX225" s="4123"/>
      <c r="AY225" s="4123"/>
      <c r="AZ225" s="4123"/>
      <c r="BA225" s="4123"/>
      <c r="BB225" s="4123"/>
      <c r="BC225" s="4123"/>
      <c r="BD225" s="4123"/>
      <c r="BE225" s="4123"/>
      <c r="BF225" s="4123"/>
      <c r="BG225" s="4185"/>
      <c r="BH225" s="4185"/>
      <c r="BI225" s="4185"/>
      <c r="BJ225" s="2937"/>
      <c r="BK225" s="4185"/>
      <c r="BL225" s="4185"/>
      <c r="BM225" s="4184"/>
      <c r="BN225" s="4184"/>
      <c r="BO225" s="4184"/>
      <c r="BP225" s="4184"/>
      <c r="BQ225" s="4202"/>
    </row>
    <row r="226" spans="1:163" ht="31.5" customHeight="1" x14ac:dyDescent="0.2">
      <c r="A226" s="1857"/>
      <c r="B226" s="1858"/>
      <c r="C226" s="1859"/>
      <c r="D226" s="1858"/>
      <c r="E226" s="1858"/>
      <c r="F226" s="1859"/>
      <c r="G226" s="1857"/>
      <c r="H226" s="1858"/>
      <c r="I226" s="1859"/>
      <c r="J226" s="4155"/>
      <c r="K226" s="4149"/>
      <c r="L226" s="4149"/>
      <c r="M226" s="4155"/>
      <c r="N226" s="4123"/>
      <c r="O226" s="4123"/>
      <c r="P226" s="4136"/>
      <c r="Q226" s="4206"/>
      <c r="R226" s="2908"/>
      <c r="S226" s="4136"/>
      <c r="T226" s="4149"/>
      <c r="U226" s="161" t="s">
        <v>1780</v>
      </c>
      <c r="V226" s="1851">
        <v>15000000</v>
      </c>
      <c r="W226" s="1920">
        <v>3733333</v>
      </c>
      <c r="X226" s="1920">
        <v>933333.33333333337</v>
      </c>
      <c r="Y226" s="1852">
        <v>61</v>
      </c>
      <c r="Z226" s="1875" t="s">
        <v>1692</v>
      </c>
      <c r="AA226" s="4123"/>
      <c r="AB226" s="4123"/>
      <c r="AC226" s="4123"/>
      <c r="AD226" s="4123"/>
      <c r="AE226" s="4123"/>
      <c r="AF226" s="4123"/>
      <c r="AG226" s="4123"/>
      <c r="AH226" s="4123"/>
      <c r="AI226" s="4123"/>
      <c r="AJ226" s="4123"/>
      <c r="AK226" s="4123"/>
      <c r="AL226" s="4123"/>
      <c r="AM226" s="4123"/>
      <c r="AN226" s="4123"/>
      <c r="AO226" s="4123"/>
      <c r="AP226" s="4123"/>
      <c r="AQ226" s="4123"/>
      <c r="AR226" s="4123"/>
      <c r="AS226" s="4123"/>
      <c r="AT226" s="4123"/>
      <c r="AU226" s="4123"/>
      <c r="AV226" s="4123"/>
      <c r="AW226" s="4123"/>
      <c r="AX226" s="4123"/>
      <c r="AY226" s="4123"/>
      <c r="AZ226" s="4123"/>
      <c r="BA226" s="4123"/>
      <c r="BB226" s="4123"/>
      <c r="BC226" s="4123"/>
      <c r="BD226" s="4123"/>
      <c r="BE226" s="4123"/>
      <c r="BF226" s="4123"/>
      <c r="BG226" s="4185"/>
      <c r="BH226" s="4185"/>
      <c r="BI226" s="4185"/>
      <c r="BJ226" s="2937"/>
      <c r="BK226" s="4185"/>
      <c r="BL226" s="4185"/>
      <c r="BM226" s="4184"/>
      <c r="BN226" s="4184"/>
      <c r="BO226" s="4184"/>
      <c r="BP226" s="4184"/>
      <c r="BQ226" s="4202"/>
    </row>
    <row r="227" spans="1:163" ht="61.5" customHeight="1" x14ac:dyDescent="0.2">
      <c r="A227" s="1857"/>
      <c r="B227" s="1858"/>
      <c r="C227" s="1859"/>
      <c r="D227" s="1858"/>
      <c r="E227" s="1858"/>
      <c r="F227" s="1859"/>
      <c r="G227" s="1857"/>
      <c r="H227" s="1858"/>
      <c r="I227" s="1859"/>
      <c r="J227" s="4138">
        <v>162</v>
      </c>
      <c r="K227" s="4135" t="s">
        <v>1781</v>
      </c>
      <c r="L227" s="4135" t="s">
        <v>1782</v>
      </c>
      <c r="M227" s="4122">
        <v>83</v>
      </c>
      <c r="N227" s="4123"/>
      <c r="O227" s="4123"/>
      <c r="P227" s="4136"/>
      <c r="Q227" s="4132">
        <f>(V227+V228+V229+V230+V231)/R223</f>
        <v>0.75</v>
      </c>
      <c r="R227" s="2908"/>
      <c r="S227" s="4136"/>
      <c r="T227" s="4135" t="s">
        <v>1783</v>
      </c>
      <c r="U227" s="161" t="s">
        <v>1784</v>
      </c>
      <c r="V227" s="1851">
        <v>140000000</v>
      </c>
      <c r="W227" s="1920">
        <v>30000000</v>
      </c>
      <c r="X227" s="1893">
        <v>8000000</v>
      </c>
      <c r="Y227" s="1852">
        <v>61</v>
      </c>
      <c r="Z227" s="1875" t="s">
        <v>1692</v>
      </c>
      <c r="AA227" s="4123"/>
      <c r="AB227" s="4123"/>
      <c r="AC227" s="4123"/>
      <c r="AD227" s="4123"/>
      <c r="AE227" s="4123"/>
      <c r="AF227" s="4123"/>
      <c r="AG227" s="4123"/>
      <c r="AH227" s="4123"/>
      <c r="AI227" s="4123"/>
      <c r="AJ227" s="4123"/>
      <c r="AK227" s="4123"/>
      <c r="AL227" s="4123"/>
      <c r="AM227" s="4123"/>
      <c r="AN227" s="4123"/>
      <c r="AO227" s="4123"/>
      <c r="AP227" s="4123"/>
      <c r="AQ227" s="4123"/>
      <c r="AR227" s="4123"/>
      <c r="AS227" s="4123"/>
      <c r="AT227" s="4123"/>
      <c r="AU227" s="4123"/>
      <c r="AV227" s="4123"/>
      <c r="AW227" s="4123"/>
      <c r="AX227" s="4123"/>
      <c r="AY227" s="4123"/>
      <c r="AZ227" s="4123"/>
      <c r="BA227" s="4123"/>
      <c r="BB227" s="4123"/>
      <c r="BC227" s="4123"/>
      <c r="BD227" s="4123"/>
      <c r="BE227" s="4123"/>
      <c r="BF227" s="4123"/>
      <c r="BG227" s="4185"/>
      <c r="BH227" s="4185"/>
      <c r="BI227" s="4185"/>
      <c r="BJ227" s="2937"/>
      <c r="BK227" s="4185"/>
      <c r="BL227" s="4185"/>
      <c r="BM227" s="4184"/>
      <c r="BN227" s="4184"/>
      <c r="BO227" s="4184"/>
      <c r="BP227" s="4184"/>
      <c r="BQ227" s="4202"/>
    </row>
    <row r="228" spans="1:163" s="1933" customFormat="1" ht="31.5" customHeight="1" x14ac:dyDescent="0.2">
      <c r="A228" s="1809"/>
      <c r="B228" s="1810"/>
      <c r="C228" s="1811"/>
      <c r="D228" s="1810"/>
      <c r="E228" s="1810"/>
      <c r="F228" s="1811"/>
      <c r="G228" s="1809"/>
      <c r="H228" s="1810"/>
      <c r="I228" s="1811"/>
      <c r="J228" s="4138"/>
      <c r="K228" s="4136"/>
      <c r="L228" s="4136"/>
      <c r="M228" s="4123"/>
      <c r="N228" s="4123"/>
      <c r="O228" s="4123"/>
      <c r="P228" s="4136"/>
      <c r="Q228" s="4133"/>
      <c r="R228" s="2908"/>
      <c r="S228" s="4136"/>
      <c r="T228" s="4136"/>
      <c r="U228" s="162" t="s">
        <v>1785</v>
      </c>
      <c r="V228" s="1932">
        <v>63800000</v>
      </c>
      <c r="W228" s="1920">
        <v>4978331</v>
      </c>
      <c r="X228" s="1893">
        <v>0</v>
      </c>
      <c r="Y228" s="1816">
        <v>61</v>
      </c>
      <c r="Z228" s="1927" t="s">
        <v>1692</v>
      </c>
      <c r="AA228" s="4123"/>
      <c r="AB228" s="4123"/>
      <c r="AC228" s="4123"/>
      <c r="AD228" s="4123"/>
      <c r="AE228" s="4123"/>
      <c r="AF228" s="4123"/>
      <c r="AG228" s="4123"/>
      <c r="AH228" s="4123"/>
      <c r="AI228" s="4123"/>
      <c r="AJ228" s="4123"/>
      <c r="AK228" s="4123"/>
      <c r="AL228" s="4123"/>
      <c r="AM228" s="4123"/>
      <c r="AN228" s="4123"/>
      <c r="AO228" s="4123"/>
      <c r="AP228" s="4123"/>
      <c r="AQ228" s="4123"/>
      <c r="AR228" s="4123"/>
      <c r="AS228" s="4123"/>
      <c r="AT228" s="4123"/>
      <c r="AU228" s="4123"/>
      <c r="AV228" s="4123"/>
      <c r="AW228" s="4123"/>
      <c r="AX228" s="4123"/>
      <c r="AY228" s="4123"/>
      <c r="AZ228" s="4123"/>
      <c r="BA228" s="4123"/>
      <c r="BB228" s="4123"/>
      <c r="BC228" s="4123"/>
      <c r="BD228" s="4123"/>
      <c r="BE228" s="4123"/>
      <c r="BF228" s="4123"/>
      <c r="BG228" s="4185"/>
      <c r="BH228" s="4185"/>
      <c r="BI228" s="4185"/>
      <c r="BJ228" s="2937"/>
      <c r="BK228" s="4185"/>
      <c r="BL228" s="4185"/>
      <c r="BM228" s="4184"/>
      <c r="BN228" s="4184"/>
      <c r="BO228" s="4184"/>
      <c r="BP228" s="4184"/>
      <c r="BQ228" s="4202"/>
      <c r="BR228" s="1785"/>
      <c r="BS228" s="1785"/>
      <c r="BT228" s="1785"/>
      <c r="BU228" s="1785"/>
      <c r="BV228" s="1785"/>
      <c r="BW228" s="1785"/>
      <c r="BX228" s="1785"/>
      <c r="BY228" s="1785"/>
      <c r="BZ228" s="1785"/>
      <c r="CA228" s="1785"/>
      <c r="CB228" s="1785"/>
      <c r="CC228" s="1785"/>
      <c r="CD228" s="1785"/>
      <c r="CE228" s="1785"/>
      <c r="CF228" s="1785"/>
      <c r="CG228" s="1785"/>
      <c r="CH228" s="1785"/>
      <c r="CI228" s="1785"/>
      <c r="CJ228" s="1785"/>
      <c r="CK228" s="1785"/>
      <c r="CL228" s="1785"/>
      <c r="CM228" s="1785"/>
      <c r="CN228" s="1785"/>
      <c r="CO228" s="1785"/>
      <c r="CP228" s="1785"/>
      <c r="CQ228" s="1785"/>
      <c r="CR228" s="1785"/>
      <c r="CS228" s="1785"/>
      <c r="CT228" s="1785"/>
      <c r="CU228" s="1785"/>
      <c r="CV228" s="1785"/>
      <c r="CW228" s="1785"/>
      <c r="CX228" s="1785"/>
      <c r="CY228" s="1785"/>
      <c r="CZ228" s="1785"/>
      <c r="DA228" s="1785"/>
      <c r="DB228" s="1785"/>
      <c r="DC228" s="1785"/>
      <c r="DD228" s="1785"/>
      <c r="DE228" s="1785"/>
      <c r="DF228" s="1785"/>
      <c r="DG228" s="1785"/>
      <c r="DH228" s="1785"/>
      <c r="DI228" s="1785"/>
      <c r="DJ228" s="1785"/>
      <c r="DK228" s="1785"/>
      <c r="DL228" s="1785"/>
      <c r="DM228" s="1785"/>
      <c r="DN228" s="1785"/>
      <c r="DO228" s="1785"/>
      <c r="DP228" s="1785"/>
      <c r="DQ228" s="1785"/>
      <c r="DR228" s="1785"/>
      <c r="DS228" s="1785"/>
      <c r="DT228" s="1785"/>
      <c r="DU228" s="1785"/>
      <c r="DV228" s="1785"/>
      <c r="DW228" s="1785"/>
      <c r="DX228" s="1785"/>
      <c r="DY228" s="1785"/>
      <c r="DZ228" s="1785"/>
      <c r="EA228" s="1785"/>
      <c r="EB228" s="1785"/>
      <c r="EC228" s="1785"/>
      <c r="ED228" s="1785"/>
      <c r="EE228" s="1785"/>
      <c r="EF228" s="1785"/>
      <c r="EG228" s="1785"/>
      <c r="EH228" s="1785"/>
      <c r="EI228" s="1785"/>
      <c r="EJ228" s="1785"/>
      <c r="EK228" s="1785"/>
      <c r="EL228" s="1785"/>
      <c r="EM228" s="1785"/>
      <c r="EN228" s="1785"/>
      <c r="EO228" s="1785"/>
      <c r="EP228" s="1785"/>
      <c r="EQ228" s="1785"/>
      <c r="ER228" s="1785"/>
      <c r="ES228" s="1785"/>
      <c r="ET228" s="1785"/>
      <c r="EU228" s="1785"/>
      <c r="EV228" s="1785"/>
      <c r="EW228" s="1785"/>
      <c r="EX228" s="1785"/>
      <c r="EY228" s="1785"/>
      <c r="EZ228" s="1785"/>
      <c r="FA228" s="1785"/>
      <c r="FB228" s="1785"/>
      <c r="FC228" s="1785"/>
      <c r="FD228" s="1785"/>
      <c r="FE228" s="1785"/>
      <c r="FF228" s="1785"/>
      <c r="FG228" s="1785"/>
    </row>
    <row r="229" spans="1:163" s="1933" customFormat="1" ht="31.5" customHeight="1" x14ac:dyDescent="0.2">
      <c r="A229" s="1809"/>
      <c r="B229" s="1810"/>
      <c r="C229" s="1811"/>
      <c r="D229" s="1810"/>
      <c r="E229" s="1810"/>
      <c r="F229" s="1811"/>
      <c r="G229" s="1809"/>
      <c r="H229" s="1810"/>
      <c r="I229" s="1811"/>
      <c r="J229" s="4138"/>
      <c r="K229" s="4136"/>
      <c r="L229" s="4136"/>
      <c r="M229" s="4123"/>
      <c r="N229" s="4123"/>
      <c r="O229" s="4123"/>
      <c r="P229" s="4136"/>
      <c r="Q229" s="4133"/>
      <c r="R229" s="2908"/>
      <c r="S229" s="4136"/>
      <c r="T229" s="4136"/>
      <c r="U229" s="162" t="s">
        <v>1786</v>
      </c>
      <c r="V229" s="1932">
        <v>40000000</v>
      </c>
      <c r="W229" s="1893">
        <v>10000000</v>
      </c>
      <c r="X229" s="1893">
        <v>3400000</v>
      </c>
      <c r="Y229" s="1816">
        <v>61</v>
      </c>
      <c r="Z229" s="1927" t="s">
        <v>1692</v>
      </c>
      <c r="AA229" s="4123"/>
      <c r="AB229" s="4123"/>
      <c r="AC229" s="4123"/>
      <c r="AD229" s="4123"/>
      <c r="AE229" s="4123"/>
      <c r="AF229" s="4123"/>
      <c r="AG229" s="4123"/>
      <c r="AH229" s="4123"/>
      <c r="AI229" s="4123"/>
      <c r="AJ229" s="4123"/>
      <c r="AK229" s="4123"/>
      <c r="AL229" s="4123"/>
      <c r="AM229" s="4123"/>
      <c r="AN229" s="4123"/>
      <c r="AO229" s="4123"/>
      <c r="AP229" s="4123"/>
      <c r="AQ229" s="4123"/>
      <c r="AR229" s="4123"/>
      <c r="AS229" s="4123"/>
      <c r="AT229" s="4123"/>
      <c r="AU229" s="4123"/>
      <c r="AV229" s="4123"/>
      <c r="AW229" s="4123"/>
      <c r="AX229" s="4123"/>
      <c r="AY229" s="4123"/>
      <c r="AZ229" s="4123"/>
      <c r="BA229" s="4123"/>
      <c r="BB229" s="4123"/>
      <c r="BC229" s="4123"/>
      <c r="BD229" s="4123"/>
      <c r="BE229" s="4123"/>
      <c r="BF229" s="4123"/>
      <c r="BG229" s="4185"/>
      <c r="BH229" s="4185"/>
      <c r="BI229" s="4185"/>
      <c r="BJ229" s="2937"/>
      <c r="BK229" s="4185"/>
      <c r="BL229" s="4185"/>
      <c r="BM229" s="4184"/>
      <c r="BN229" s="4184"/>
      <c r="BO229" s="4184"/>
      <c r="BP229" s="4184"/>
      <c r="BQ229" s="4202"/>
      <c r="BR229" s="1785"/>
      <c r="BS229" s="1785"/>
      <c r="BT229" s="1785"/>
      <c r="BU229" s="1785"/>
      <c r="BV229" s="1785"/>
      <c r="BW229" s="1785"/>
      <c r="BX229" s="1785"/>
      <c r="BY229" s="1785"/>
      <c r="BZ229" s="1785"/>
      <c r="CA229" s="1785"/>
      <c r="CB229" s="1785"/>
      <c r="CC229" s="1785"/>
      <c r="CD229" s="1785"/>
      <c r="CE229" s="1785"/>
      <c r="CF229" s="1785"/>
      <c r="CG229" s="1785"/>
      <c r="CH229" s="1785"/>
      <c r="CI229" s="1785"/>
      <c r="CJ229" s="1785"/>
      <c r="CK229" s="1785"/>
      <c r="CL229" s="1785"/>
      <c r="CM229" s="1785"/>
      <c r="CN229" s="1785"/>
      <c r="CO229" s="1785"/>
      <c r="CP229" s="1785"/>
      <c r="CQ229" s="1785"/>
      <c r="CR229" s="1785"/>
      <c r="CS229" s="1785"/>
      <c r="CT229" s="1785"/>
      <c r="CU229" s="1785"/>
      <c r="CV229" s="1785"/>
      <c r="CW229" s="1785"/>
      <c r="CX229" s="1785"/>
      <c r="CY229" s="1785"/>
      <c r="CZ229" s="1785"/>
      <c r="DA229" s="1785"/>
      <c r="DB229" s="1785"/>
      <c r="DC229" s="1785"/>
      <c r="DD229" s="1785"/>
      <c r="DE229" s="1785"/>
      <c r="DF229" s="1785"/>
      <c r="DG229" s="1785"/>
      <c r="DH229" s="1785"/>
      <c r="DI229" s="1785"/>
      <c r="DJ229" s="1785"/>
      <c r="DK229" s="1785"/>
      <c r="DL229" s="1785"/>
      <c r="DM229" s="1785"/>
      <c r="DN229" s="1785"/>
      <c r="DO229" s="1785"/>
      <c r="DP229" s="1785"/>
      <c r="DQ229" s="1785"/>
      <c r="DR229" s="1785"/>
      <c r="DS229" s="1785"/>
      <c r="DT229" s="1785"/>
      <c r="DU229" s="1785"/>
      <c r="DV229" s="1785"/>
      <c r="DW229" s="1785"/>
      <c r="DX229" s="1785"/>
      <c r="DY229" s="1785"/>
      <c r="DZ229" s="1785"/>
      <c r="EA229" s="1785"/>
      <c r="EB229" s="1785"/>
      <c r="EC229" s="1785"/>
      <c r="ED229" s="1785"/>
      <c r="EE229" s="1785"/>
      <c r="EF229" s="1785"/>
      <c r="EG229" s="1785"/>
      <c r="EH229" s="1785"/>
      <c r="EI229" s="1785"/>
      <c r="EJ229" s="1785"/>
      <c r="EK229" s="1785"/>
      <c r="EL229" s="1785"/>
      <c r="EM229" s="1785"/>
      <c r="EN229" s="1785"/>
      <c r="EO229" s="1785"/>
      <c r="EP229" s="1785"/>
      <c r="EQ229" s="1785"/>
      <c r="ER229" s="1785"/>
      <c r="ES229" s="1785"/>
      <c r="ET229" s="1785"/>
      <c r="EU229" s="1785"/>
      <c r="EV229" s="1785"/>
      <c r="EW229" s="1785"/>
      <c r="EX229" s="1785"/>
      <c r="EY229" s="1785"/>
      <c r="EZ229" s="1785"/>
      <c r="FA229" s="1785"/>
      <c r="FB229" s="1785"/>
      <c r="FC229" s="1785"/>
      <c r="FD229" s="1785"/>
      <c r="FE229" s="1785"/>
      <c r="FF229" s="1785"/>
      <c r="FG229" s="1785"/>
    </row>
    <row r="230" spans="1:163" s="1933" customFormat="1" ht="31.5" customHeight="1" x14ac:dyDescent="0.2">
      <c r="A230" s="1809"/>
      <c r="B230" s="1810"/>
      <c r="C230" s="1811"/>
      <c r="D230" s="1810"/>
      <c r="E230" s="1810"/>
      <c r="F230" s="1811"/>
      <c r="G230" s="1809"/>
      <c r="H230" s="1810"/>
      <c r="I230" s="1811"/>
      <c r="J230" s="4138"/>
      <c r="K230" s="4136"/>
      <c r="L230" s="4136"/>
      <c r="M230" s="4123"/>
      <c r="N230" s="4123"/>
      <c r="O230" s="4123"/>
      <c r="P230" s="4136"/>
      <c r="Q230" s="4133"/>
      <c r="R230" s="2908"/>
      <c r="S230" s="4136"/>
      <c r="T230" s="4136"/>
      <c r="U230" s="162" t="s">
        <v>1787</v>
      </c>
      <c r="V230" s="1932">
        <v>20000000</v>
      </c>
      <c r="W230" s="1893">
        <v>15200000</v>
      </c>
      <c r="X230" s="1893">
        <v>3400000</v>
      </c>
      <c r="Y230" s="1816">
        <v>61</v>
      </c>
      <c r="Z230" s="1927" t="s">
        <v>1692</v>
      </c>
      <c r="AA230" s="4123"/>
      <c r="AB230" s="4123"/>
      <c r="AC230" s="4123"/>
      <c r="AD230" s="4123"/>
      <c r="AE230" s="4123"/>
      <c r="AF230" s="4123"/>
      <c r="AG230" s="4123"/>
      <c r="AH230" s="4123"/>
      <c r="AI230" s="4123"/>
      <c r="AJ230" s="4123"/>
      <c r="AK230" s="4123"/>
      <c r="AL230" s="4123"/>
      <c r="AM230" s="4123"/>
      <c r="AN230" s="4123"/>
      <c r="AO230" s="4123"/>
      <c r="AP230" s="4123"/>
      <c r="AQ230" s="4123"/>
      <c r="AR230" s="4123"/>
      <c r="AS230" s="4123"/>
      <c r="AT230" s="4123"/>
      <c r="AU230" s="4123"/>
      <c r="AV230" s="4123"/>
      <c r="AW230" s="4123"/>
      <c r="AX230" s="4123"/>
      <c r="AY230" s="4123"/>
      <c r="AZ230" s="4123"/>
      <c r="BA230" s="4123"/>
      <c r="BB230" s="4123"/>
      <c r="BC230" s="4123"/>
      <c r="BD230" s="4123"/>
      <c r="BE230" s="4123"/>
      <c r="BF230" s="4123"/>
      <c r="BG230" s="4185"/>
      <c r="BH230" s="4185"/>
      <c r="BI230" s="4185"/>
      <c r="BJ230" s="2937"/>
      <c r="BK230" s="4185"/>
      <c r="BL230" s="4185"/>
      <c r="BM230" s="4184"/>
      <c r="BN230" s="4184"/>
      <c r="BO230" s="4184"/>
      <c r="BP230" s="4184"/>
      <c r="BQ230" s="4202"/>
      <c r="BR230" s="1785"/>
      <c r="BS230" s="1785"/>
      <c r="BT230" s="1785"/>
      <c r="BU230" s="1785"/>
      <c r="BV230" s="1785"/>
      <c r="BW230" s="1785"/>
      <c r="BX230" s="1785"/>
      <c r="BY230" s="1785"/>
      <c r="BZ230" s="1785"/>
      <c r="CA230" s="1785"/>
      <c r="CB230" s="1785"/>
      <c r="CC230" s="1785"/>
      <c r="CD230" s="1785"/>
      <c r="CE230" s="1785"/>
      <c r="CF230" s="1785"/>
      <c r="CG230" s="1785"/>
      <c r="CH230" s="1785"/>
      <c r="CI230" s="1785"/>
      <c r="CJ230" s="1785"/>
      <c r="CK230" s="1785"/>
      <c r="CL230" s="1785"/>
      <c r="CM230" s="1785"/>
      <c r="CN230" s="1785"/>
      <c r="CO230" s="1785"/>
      <c r="CP230" s="1785"/>
      <c r="CQ230" s="1785"/>
      <c r="CR230" s="1785"/>
      <c r="CS230" s="1785"/>
      <c r="CT230" s="1785"/>
      <c r="CU230" s="1785"/>
      <c r="CV230" s="1785"/>
      <c r="CW230" s="1785"/>
      <c r="CX230" s="1785"/>
      <c r="CY230" s="1785"/>
      <c r="CZ230" s="1785"/>
      <c r="DA230" s="1785"/>
      <c r="DB230" s="1785"/>
      <c r="DC230" s="1785"/>
      <c r="DD230" s="1785"/>
      <c r="DE230" s="1785"/>
      <c r="DF230" s="1785"/>
      <c r="DG230" s="1785"/>
      <c r="DH230" s="1785"/>
      <c r="DI230" s="1785"/>
      <c r="DJ230" s="1785"/>
      <c r="DK230" s="1785"/>
      <c r="DL230" s="1785"/>
      <c r="DM230" s="1785"/>
      <c r="DN230" s="1785"/>
      <c r="DO230" s="1785"/>
      <c r="DP230" s="1785"/>
      <c r="DQ230" s="1785"/>
      <c r="DR230" s="1785"/>
      <c r="DS230" s="1785"/>
      <c r="DT230" s="1785"/>
      <c r="DU230" s="1785"/>
      <c r="DV230" s="1785"/>
      <c r="DW230" s="1785"/>
      <c r="DX230" s="1785"/>
      <c r="DY230" s="1785"/>
      <c r="DZ230" s="1785"/>
      <c r="EA230" s="1785"/>
      <c r="EB230" s="1785"/>
      <c r="EC230" s="1785"/>
      <c r="ED230" s="1785"/>
      <c r="EE230" s="1785"/>
      <c r="EF230" s="1785"/>
      <c r="EG230" s="1785"/>
      <c r="EH230" s="1785"/>
      <c r="EI230" s="1785"/>
      <c r="EJ230" s="1785"/>
      <c r="EK230" s="1785"/>
      <c r="EL230" s="1785"/>
      <c r="EM230" s="1785"/>
      <c r="EN230" s="1785"/>
      <c r="EO230" s="1785"/>
      <c r="EP230" s="1785"/>
      <c r="EQ230" s="1785"/>
      <c r="ER230" s="1785"/>
      <c r="ES230" s="1785"/>
      <c r="ET230" s="1785"/>
      <c r="EU230" s="1785"/>
      <c r="EV230" s="1785"/>
      <c r="EW230" s="1785"/>
      <c r="EX230" s="1785"/>
      <c r="EY230" s="1785"/>
      <c r="EZ230" s="1785"/>
      <c r="FA230" s="1785"/>
      <c r="FB230" s="1785"/>
      <c r="FC230" s="1785"/>
      <c r="FD230" s="1785"/>
      <c r="FE230" s="1785"/>
      <c r="FF230" s="1785"/>
      <c r="FG230" s="1785"/>
    </row>
    <row r="231" spans="1:163" s="1933" customFormat="1" ht="60.75" customHeight="1" x14ac:dyDescent="0.2">
      <c r="A231" s="1809"/>
      <c r="B231" s="1810"/>
      <c r="C231" s="1811"/>
      <c r="D231" s="1817"/>
      <c r="E231" s="1817"/>
      <c r="F231" s="1818"/>
      <c r="G231" s="1819"/>
      <c r="H231" s="1817"/>
      <c r="I231" s="1818"/>
      <c r="J231" s="4138"/>
      <c r="K231" s="4137"/>
      <c r="L231" s="4137"/>
      <c r="M231" s="4171"/>
      <c r="N231" s="4171"/>
      <c r="O231" s="4171"/>
      <c r="P231" s="4137"/>
      <c r="Q231" s="4175"/>
      <c r="R231" s="2909"/>
      <c r="S231" s="4137"/>
      <c r="T231" s="4137"/>
      <c r="U231" s="161" t="s">
        <v>1788</v>
      </c>
      <c r="V231" s="1932">
        <v>36200000</v>
      </c>
      <c r="W231" s="1893">
        <v>0</v>
      </c>
      <c r="X231" s="1893">
        <v>0</v>
      </c>
      <c r="Y231" s="1816">
        <v>61</v>
      </c>
      <c r="Z231" s="1927" t="s">
        <v>1692</v>
      </c>
      <c r="AA231" s="4123"/>
      <c r="AB231" s="4123"/>
      <c r="AC231" s="4123"/>
      <c r="AD231" s="4123"/>
      <c r="AE231" s="4123"/>
      <c r="AF231" s="4123"/>
      <c r="AG231" s="4123"/>
      <c r="AH231" s="4123"/>
      <c r="AI231" s="4123"/>
      <c r="AJ231" s="4123"/>
      <c r="AK231" s="4123"/>
      <c r="AL231" s="4123"/>
      <c r="AM231" s="4123"/>
      <c r="AN231" s="4123"/>
      <c r="AO231" s="4123"/>
      <c r="AP231" s="4123"/>
      <c r="AQ231" s="4123"/>
      <c r="AR231" s="4123"/>
      <c r="AS231" s="4123"/>
      <c r="AT231" s="4123"/>
      <c r="AU231" s="4123"/>
      <c r="AV231" s="4123"/>
      <c r="AW231" s="4123"/>
      <c r="AX231" s="4123"/>
      <c r="AY231" s="4123"/>
      <c r="AZ231" s="4123"/>
      <c r="BA231" s="4123"/>
      <c r="BB231" s="4123"/>
      <c r="BC231" s="4123"/>
      <c r="BD231" s="4123"/>
      <c r="BE231" s="4123"/>
      <c r="BF231" s="4123"/>
      <c r="BG231" s="4185"/>
      <c r="BH231" s="4185"/>
      <c r="BI231" s="4185"/>
      <c r="BJ231" s="2937"/>
      <c r="BK231" s="4185"/>
      <c r="BL231" s="4185"/>
      <c r="BM231" s="4184"/>
      <c r="BN231" s="4184"/>
      <c r="BO231" s="4184"/>
      <c r="BP231" s="4184"/>
      <c r="BQ231" s="4202"/>
      <c r="BR231" s="1785"/>
      <c r="BS231" s="1785"/>
      <c r="BT231" s="1785"/>
      <c r="BU231" s="1785"/>
      <c r="BV231" s="1785"/>
      <c r="BW231" s="1785"/>
      <c r="BX231" s="1785"/>
      <c r="BY231" s="1785"/>
      <c r="BZ231" s="1785"/>
      <c r="CA231" s="1785"/>
      <c r="CB231" s="1785"/>
      <c r="CC231" s="1785"/>
      <c r="CD231" s="1785"/>
      <c r="CE231" s="1785"/>
      <c r="CF231" s="1785"/>
      <c r="CG231" s="1785"/>
      <c r="CH231" s="1785"/>
      <c r="CI231" s="1785"/>
      <c r="CJ231" s="1785"/>
      <c r="CK231" s="1785"/>
      <c r="CL231" s="1785"/>
      <c r="CM231" s="1785"/>
      <c r="CN231" s="1785"/>
      <c r="CO231" s="1785"/>
      <c r="CP231" s="1785"/>
      <c r="CQ231" s="1785"/>
      <c r="CR231" s="1785"/>
      <c r="CS231" s="1785"/>
      <c r="CT231" s="1785"/>
      <c r="CU231" s="1785"/>
      <c r="CV231" s="1785"/>
      <c r="CW231" s="1785"/>
      <c r="CX231" s="1785"/>
      <c r="CY231" s="1785"/>
      <c r="CZ231" s="1785"/>
      <c r="DA231" s="1785"/>
      <c r="DB231" s="1785"/>
      <c r="DC231" s="1785"/>
      <c r="DD231" s="1785"/>
      <c r="DE231" s="1785"/>
      <c r="DF231" s="1785"/>
      <c r="DG231" s="1785"/>
      <c r="DH231" s="1785"/>
      <c r="DI231" s="1785"/>
      <c r="DJ231" s="1785"/>
      <c r="DK231" s="1785"/>
      <c r="DL231" s="1785"/>
      <c r="DM231" s="1785"/>
      <c r="DN231" s="1785"/>
      <c r="DO231" s="1785"/>
      <c r="DP231" s="1785"/>
      <c r="DQ231" s="1785"/>
      <c r="DR231" s="1785"/>
      <c r="DS231" s="1785"/>
      <c r="DT231" s="1785"/>
      <c r="DU231" s="1785"/>
      <c r="DV231" s="1785"/>
      <c r="DW231" s="1785"/>
      <c r="DX231" s="1785"/>
      <c r="DY231" s="1785"/>
      <c r="DZ231" s="1785"/>
      <c r="EA231" s="1785"/>
      <c r="EB231" s="1785"/>
      <c r="EC231" s="1785"/>
      <c r="ED231" s="1785"/>
      <c r="EE231" s="1785"/>
      <c r="EF231" s="1785"/>
      <c r="EG231" s="1785"/>
      <c r="EH231" s="1785"/>
      <c r="EI231" s="1785"/>
      <c r="EJ231" s="1785"/>
      <c r="EK231" s="1785"/>
      <c r="EL231" s="1785"/>
      <c r="EM231" s="1785"/>
      <c r="EN231" s="1785"/>
      <c r="EO231" s="1785"/>
      <c r="EP231" s="1785"/>
      <c r="EQ231" s="1785"/>
      <c r="ER231" s="1785"/>
      <c r="ES231" s="1785"/>
      <c r="ET231" s="1785"/>
      <c r="EU231" s="1785"/>
      <c r="EV231" s="1785"/>
      <c r="EW231" s="1785"/>
      <c r="EX231" s="1785"/>
      <c r="EY231" s="1785"/>
      <c r="EZ231" s="1785"/>
      <c r="FA231" s="1785"/>
      <c r="FB231" s="1785"/>
      <c r="FC231" s="1785"/>
      <c r="FD231" s="1785"/>
      <c r="FE231" s="1785"/>
      <c r="FF231" s="1785"/>
      <c r="FG231" s="1785"/>
    </row>
    <row r="232" spans="1:163" ht="15" x14ac:dyDescent="0.2">
      <c r="A232" s="1793"/>
      <c r="B232" s="1820"/>
      <c r="C232" s="1821"/>
      <c r="D232" s="1934">
        <v>13</v>
      </c>
      <c r="E232" s="1935" t="s">
        <v>1789</v>
      </c>
      <c r="F232" s="1935"/>
      <c r="G232" s="1936"/>
      <c r="H232" s="1936"/>
      <c r="I232" s="1936"/>
      <c r="J232" s="1936"/>
      <c r="K232" s="1937"/>
      <c r="L232" s="1937"/>
      <c r="M232" s="1936"/>
      <c r="N232" s="1938"/>
      <c r="O232" s="1936"/>
      <c r="P232" s="1937"/>
      <c r="Q232" s="1936"/>
      <c r="R232" s="1939"/>
      <c r="S232" s="1937"/>
      <c r="T232" s="1937"/>
      <c r="U232" s="1937"/>
      <c r="V232" s="1940"/>
      <c r="W232" s="1940"/>
      <c r="X232" s="1940"/>
      <c r="Y232" s="1941"/>
      <c r="Z232" s="1938"/>
      <c r="AA232" s="1938"/>
      <c r="AB232" s="1938"/>
      <c r="AC232" s="1938"/>
      <c r="AD232" s="1938"/>
      <c r="AE232" s="1938"/>
      <c r="AF232" s="1938"/>
      <c r="AG232" s="1938"/>
      <c r="AH232" s="1938"/>
      <c r="AI232" s="1938"/>
      <c r="AJ232" s="1938"/>
      <c r="AK232" s="1938"/>
      <c r="AL232" s="1938"/>
      <c r="AM232" s="1938"/>
      <c r="AN232" s="1938"/>
      <c r="AO232" s="1938"/>
      <c r="AP232" s="1938"/>
      <c r="AQ232" s="1938"/>
      <c r="AR232" s="1938"/>
      <c r="AS232" s="1938"/>
      <c r="AT232" s="1938"/>
      <c r="AU232" s="1938"/>
      <c r="AV232" s="1938"/>
      <c r="AW232" s="1938"/>
      <c r="AX232" s="1938"/>
      <c r="AY232" s="1938"/>
      <c r="AZ232" s="1938"/>
      <c r="BA232" s="1938"/>
      <c r="BB232" s="1938"/>
      <c r="BC232" s="1938"/>
      <c r="BD232" s="1938"/>
      <c r="BE232" s="1938"/>
      <c r="BF232" s="1938"/>
      <c r="BG232" s="1938"/>
      <c r="BH232" s="1938"/>
      <c r="BI232" s="1938"/>
      <c r="BJ232" s="1938"/>
      <c r="BK232" s="1938"/>
      <c r="BL232" s="1938"/>
      <c r="BM232" s="1942"/>
      <c r="BN232" s="1942"/>
      <c r="BO232" s="1942"/>
      <c r="BP232" s="1943"/>
      <c r="BQ232" s="1944"/>
    </row>
    <row r="233" spans="1:163" ht="15" x14ac:dyDescent="0.2">
      <c r="A233" s="1793"/>
      <c r="B233" s="1794"/>
      <c r="C233" s="1795"/>
      <c r="D233" s="4195"/>
      <c r="E233" s="4195"/>
      <c r="F233" s="4195"/>
      <c r="G233" s="1834">
        <v>47</v>
      </c>
      <c r="H233" s="1799" t="s">
        <v>1790</v>
      </c>
      <c r="I233" s="1799"/>
      <c r="J233" s="1799"/>
      <c r="K233" s="1800"/>
      <c r="L233" s="1800"/>
      <c r="M233" s="1799"/>
      <c r="N233" s="1801"/>
      <c r="O233" s="1799"/>
      <c r="P233" s="1800"/>
      <c r="Q233" s="1799"/>
      <c r="R233" s="1835"/>
      <c r="S233" s="1800"/>
      <c r="T233" s="1800"/>
      <c r="U233" s="1800"/>
      <c r="V233" s="1836"/>
      <c r="W233" s="1836"/>
      <c r="X233" s="1836"/>
      <c r="Y233" s="1837"/>
      <c r="Z233" s="1801"/>
      <c r="AA233" s="1801"/>
      <c r="AB233" s="1801"/>
      <c r="AC233" s="1801"/>
      <c r="AD233" s="1801"/>
      <c r="AE233" s="1801"/>
      <c r="AF233" s="1801"/>
      <c r="AG233" s="1801"/>
      <c r="AH233" s="1801"/>
      <c r="AI233" s="1801"/>
      <c r="AJ233" s="1801"/>
      <c r="AK233" s="1801"/>
      <c r="AL233" s="1801"/>
      <c r="AM233" s="1801"/>
      <c r="AN233" s="1801"/>
      <c r="AO233" s="1801"/>
      <c r="AP233" s="1801"/>
      <c r="AQ233" s="1801"/>
      <c r="AR233" s="1801"/>
      <c r="AS233" s="1801"/>
      <c r="AT233" s="1801"/>
      <c r="AU233" s="1801"/>
      <c r="AV233" s="1801"/>
      <c r="AW233" s="1801"/>
      <c r="AX233" s="1801"/>
      <c r="AY233" s="1801"/>
      <c r="AZ233" s="1801"/>
      <c r="BA233" s="1801"/>
      <c r="BB233" s="1801"/>
      <c r="BC233" s="1801"/>
      <c r="BD233" s="1801"/>
      <c r="BE233" s="1801"/>
      <c r="BF233" s="1801"/>
      <c r="BG233" s="1801"/>
      <c r="BH233" s="1801"/>
      <c r="BI233" s="1801"/>
      <c r="BJ233" s="1801"/>
      <c r="BK233" s="1801"/>
      <c r="BL233" s="1801"/>
      <c r="BM233" s="1849"/>
      <c r="BN233" s="1849"/>
      <c r="BO233" s="1849"/>
      <c r="BP233" s="1839"/>
      <c r="BQ233" s="1840"/>
    </row>
    <row r="234" spans="1:163" ht="52.5" customHeight="1" x14ac:dyDescent="0.2">
      <c r="A234" s="1793"/>
      <c r="B234" s="1794"/>
      <c r="C234" s="1795"/>
      <c r="D234" s="4196"/>
      <c r="E234" s="4197"/>
      <c r="F234" s="4197"/>
      <c r="G234" s="4185"/>
      <c r="H234" s="4185"/>
      <c r="I234" s="4185"/>
      <c r="J234" s="4138">
        <v>163</v>
      </c>
      <c r="K234" s="4199" t="s">
        <v>1791</v>
      </c>
      <c r="L234" s="4186" t="s">
        <v>1792</v>
      </c>
      <c r="M234" s="4185">
        <v>12</v>
      </c>
      <c r="N234" s="4191" t="s">
        <v>1793</v>
      </c>
      <c r="O234" s="4185">
        <v>153</v>
      </c>
      <c r="P234" s="4185" t="s">
        <v>1794</v>
      </c>
      <c r="Q234" s="4193">
        <f>(V234+V235)/R234</f>
        <v>4.4482091807734343E-3</v>
      </c>
      <c r="R234" s="2818">
        <f>SUM(V234+V235+V237+V239+V240)</f>
        <v>21796187198</v>
      </c>
      <c r="S234" s="4194" t="s">
        <v>1795</v>
      </c>
      <c r="T234" s="4135" t="s">
        <v>1796</v>
      </c>
      <c r="U234" s="1945" t="s">
        <v>1797</v>
      </c>
      <c r="V234" s="925">
        <v>48477000</v>
      </c>
      <c r="W234" s="925">
        <v>0</v>
      </c>
      <c r="X234" s="925">
        <v>0</v>
      </c>
      <c r="Y234" s="4188">
        <v>20</v>
      </c>
      <c r="Z234" s="4185" t="s">
        <v>1798</v>
      </c>
      <c r="AA234" s="4185">
        <v>292684</v>
      </c>
      <c r="AB234" s="4185">
        <v>0</v>
      </c>
      <c r="AC234" s="4185">
        <v>282326</v>
      </c>
      <c r="AD234" s="4185">
        <v>0</v>
      </c>
      <c r="AE234" s="4185">
        <v>135912</v>
      </c>
      <c r="AF234" s="4185">
        <v>0</v>
      </c>
      <c r="AG234" s="4185">
        <v>45122</v>
      </c>
      <c r="AH234" s="4185">
        <v>0</v>
      </c>
      <c r="AI234" s="4185">
        <f>SUM(AI223)</f>
        <v>365607</v>
      </c>
      <c r="AJ234" s="4185">
        <v>0</v>
      </c>
      <c r="AK234" s="4185">
        <f>SUM(AK223)</f>
        <v>75612</v>
      </c>
      <c r="AL234" s="4185">
        <v>0</v>
      </c>
      <c r="AM234" s="4185">
        <v>2145</v>
      </c>
      <c r="AN234" s="4185">
        <v>0</v>
      </c>
      <c r="AO234" s="4185">
        <v>12718</v>
      </c>
      <c r="AP234" s="4185">
        <v>0</v>
      </c>
      <c r="AQ234" s="4185">
        <v>26</v>
      </c>
      <c r="AR234" s="4185">
        <v>0</v>
      </c>
      <c r="AS234" s="4185">
        <v>37</v>
      </c>
      <c r="AT234" s="4185">
        <v>0</v>
      </c>
      <c r="AU234" s="4185" t="s">
        <v>1164</v>
      </c>
      <c r="AV234" s="4185" t="s">
        <v>1164</v>
      </c>
      <c r="AW234" s="4185" t="s">
        <v>1164</v>
      </c>
      <c r="AX234" s="4185" t="s">
        <v>1164</v>
      </c>
      <c r="AY234" s="4185">
        <v>53164</v>
      </c>
      <c r="AZ234" s="4185">
        <v>0</v>
      </c>
      <c r="BA234" s="4185">
        <v>16982</v>
      </c>
      <c r="BB234" s="4185">
        <v>0</v>
      </c>
      <c r="BC234" s="4185">
        <v>60013</v>
      </c>
      <c r="BD234" s="4185">
        <v>0</v>
      </c>
      <c r="BE234" s="4185">
        <v>575010</v>
      </c>
      <c r="BF234" s="4185"/>
      <c r="BG234" s="4185">
        <v>1</v>
      </c>
      <c r="BH234" s="4187">
        <f>SUM(W234+W235+W237+W239+W240)</f>
        <v>11200000</v>
      </c>
      <c r="BI234" s="4187">
        <f>SUM(X234+X235+X237+X239+X240)</f>
        <v>2800000</v>
      </c>
      <c r="BJ234" s="2937">
        <f>SUM(BI234/R234)</f>
        <v>1.2846283501625116E-4</v>
      </c>
      <c r="BK234" s="4185" t="s">
        <v>1799</v>
      </c>
      <c r="BL234" s="4185" t="s">
        <v>1800</v>
      </c>
      <c r="BM234" s="4184">
        <v>43467</v>
      </c>
      <c r="BN234" s="4184">
        <v>44196</v>
      </c>
      <c r="BO234" s="4184">
        <v>43830</v>
      </c>
      <c r="BP234" s="4126">
        <v>44196</v>
      </c>
      <c r="BQ234" s="4167" t="s">
        <v>1432</v>
      </c>
    </row>
    <row r="235" spans="1:163" ht="57" customHeight="1" x14ac:dyDescent="0.2">
      <c r="A235" s="1793"/>
      <c r="B235" s="1794"/>
      <c r="C235" s="1795"/>
      <c r="D235" s="4196"/>
      <c r="E235" s="4197"/>
      <c r="F235" s="4197"/>
      <c r="G235" s="4185"/>
      <c r="H235" s="4185"/>
      <c r="I235" s="4185"/>
      <c r="J235" s="4138"/>
      <c r="K235" s="4200"/>
      <c r="L235" s="4186"/>
      <c r="M235" s="4185"/>
      <c r="N235" s="4192"/>
      <c r="O235" s="4185"/>
      <c r="P235" s="4185"/>
      <c r="Q235" s="4193"/>
      <c r="R235" s="2818"/>
      <c r="S235" s="4194"/>
      <c r="T235" s="4137"/>
      <c r="U235" s="1945" t="s">
        <v>1801</v>
      </c>
      <c r="V235" s="925">
        <v>48477000</v>
      </c>
      <c r="W235" s="925">
        <v>0</v>
      </c>
      <c r="X235" s="925">
        <v>0</v>
      </c>
      <c r="Y235" s="4188"/>
      <c r="Z235" s="4185"/>
      <c r="AA235" s="4185"/>
      <c r="AB235" s="4185"/>
      <c r="AC235" s="4185"/>
      <c r="AD235" s="4185"/>
      <c r="AE235" s="4185"/>
      <c r="AF235" s="4185"/>
      <c r="AG235" s="4185"/>
      <c r="AH235" s="4185"/>
      <c r="AI235" s="4185"/>
      <c r="AJ235" s="4185"/>
      <c r="AK235" s="4185"/>
      <c r="AL235" s="4185"/>
      <c r="AM235" s="4185"/>
      <c r="AN235" s="4185"/>
      <c r="AO235" s="4185"/>
      <c r="AP235" s="4185"/>
      <c r="AQ235" s="4185"/>
      <c r="AR235" s="4185"/>
      <c r="AS235" s="4185"/>
      <c r="AT235" s="4185"/>
      <c r="AU235" s="4185"/>
      <c r="AV235" s="4185"/>
      <c r="AW235" s="4185"/>
      <c r="AX235" s="4185"/>
      <c r="AY235" s="4185"/>
      <c r="AZ235" s="4185"/>
      <c r="BA235" s="4185"/>
      <c r="BB235" s="4185"/>
      <c r="BC235" s="4185"/>
      <c r="BD235" s="4185"/>
      <c r="BE235" s="4185"/>
      <c r="BF235" s="4185"/>
      <c r="BG235" s="4185"/>
      <c r="BH235" s="4185"/>
      <c r="BI235" s="4185"/>
      <c r="BJ235" s="2937"/>
      <c r="BK235" s="4185"/>
      <c r="BL235" s="4185"/>
      <c r="BM235" s="4184"/>
      <c r="BN235" s="4184"/>
      <c r="BO235" s="4184"/>
      <c r="BP235" s="4127"/>
      <c r="BQ235" s="4168"/>
    </row>
    <row r="236" spans="1:163" ht="15" x14ac:dyDescent="0.2">
      <c r="A236" s="1793"/>
      <c r="B236" s="1794"/>
      <c r="C236" s="1795"/>
      <c r="D236" s="4196"/>
      <c r="E236" s="4197"/>
      <c r="F236" s="4197"/>
      <c r="G236" s="1834">
        <v>48</v>
      </c>
      <c r="H236" s="1799" t="s">
        <v>1802</v>
      </c>
      <c r="I236" s="1799"/>
      <c r="J236" s="1799"/>
      <c r="K236" s="1800"/>
      <c r="L236" s="1800"/>
      <c r="M236" s="1799"/>
      <c r="N236" s="1801"/>
      <c r="O236" s="4185"/>
      <c r="P236" s="4185"/>
      <c r="Q236" s="1946"/>
      <c r="R236" s="2818"/>
      <c r="S236" s="4194"/>
      <c r="T236" s="1800"/>
      <c r="U236" s="1800"/>
      <c r="V236" s="1836"/>
      <c r="W236" s="1836"/>
      <c r="X236" s="1836"/>
      <c r="Y236" s="1947"/>
      <c r="Z236" s="1801"/>
      <c r="AA236" s="4185"/>
      <c r="AB236" s="4185"/>
      <c r="AC236" s="4185"/>
      <c r="AD236" s="4185"/>
      <c r="AE236" s="4185"/>
      <c r="AF236" s="4185"/>
      <c r="AG236" s="4185"/>
      <c r="AH236" s="4185"/>
      <c r="AI236" s="4185"/>
      <c r="AJ236" s="4185"/>
      <c r="AK236" s="4185"/>
      <c r="AL236" s="4185"/>
      <c r="AM236" s="4185"/>
      <c r="AN236" s="4185"/>
      <c r="AO236" s="4185"/>
      <c r="AP236" s="4185"/>
      <c r="AQ236" s="4185"/>
      <c r="AR236" s="4185"/>
      <c r="AS236" s="4185"/>
      <c r="AT236" s="4185"/>
      <c r="AU236" s="4185"/>
      <c r="AV236" s="4185"/>
      <c r="AW236" s="4185"/>
      <c r="AX236" s="4185"/>
      <c r="AY236" s="4185"/>
      <c r="AZ236" s="4185"/>
      <c r="BA236" s="4185"/>
      <c r="BB236" s="4185"/>
      <c r="BC236" s="4185"/>
      <c r="BD236" s="4185"/>
      <c r="BE236" s="4185"/>
      <c r="BF236" s="4185"/>
      <c r="BG236" s="4185"/>
      <c r="BH236" s="4185"/>
      <c r="BI236" s="4185"/>
      <c r="BJ236" s="2937"/>
      <c r="BK236" s="4185"/>
      <c r="BL236" s="4185"/>
      <c r="BM236" s="4184"/>
      <c r="BN236" s="4184"/>
      <c r="BO236" s="4184"/>
      <c r="BP236" s="4127"/>
      <c r="BQ236" s="4168"/>
    </row>
    <row r="237" spans="1:163" ht="71.25" x14ac:dyDescent="0.2">
      <c r="A237" s="1793"/>
      <c r="B237" s="1794"/>
      <c r="C237" s="1795"/>
      <c r="D237" s="4196"/>
      <c r="E237" s="4197"/>
      <c r="F237" s="4197"/>
      <c r="G237" s="1841"/>
      <c r="H237" s="1842"/>
      <c r="I237" s="1843"/>
      <c r="J237" s="1875">
        <v>164</v>
      </c>
      <c r="K237" s="1948" t="s">
        <v>1803</v>
      </c>
      <c r="L237" s="1948" t="s">
        <v>1804</v>
      </c>
      <c r="M237" s="1927">
        <v>12</v>
      </c>
      <c r="N237" s="1949" t="s">
        <v>1805</v>
      </c>
      <c r="O237" s="4185"/>
      <c r="P237" s="4185"/>
      <c r="Q237" s="1950">
        <f>V237/R234</f>
        <v>0.99258631803204422</v>
      </c>
      <c r="R237" s="2818"/>
      <c r="S237" s="4194"/>
      <c r="T237" s="1948" t="s">
        <v>1806</v>
      </c>
      <c r="U237" s="162" t="s">
        <v>1807</v>
      </c>
      <c r="V237" s="1625">
        <v>21634597198</v>
      </c>
      <c r="W237" s="1878">
        <v>0</v>
      </c>
      <c r="X237" s="1878">
        <v>0</v>
      </c>
      <c r="Y237" s="1951">
        <v>154</v>
      </c>
      <c r="Z237" s="1949" t="s">
        <v>1808</v>
      </c>
      <c r="AA237" s="4185"/>
      <c r="AB237" s="4185"/>
      <c r="AC237" s="4185"/>
      <c r="AD237" s="4185"/>
      <c r="AE237" s="4185"/>
      <c r="AF237" s="4185"/>
      <c r="AG237" s="4185"/>
      <c r="AH237" s="4185"/>
      <c r="AI237" s="4185"/>
      <c r="AJ237" s="4185"/>
      <c r="AK237" s="4185"/>
      <c r="AL237" s="4185"/>
      <c r="AM237" s="4185"/>
      <c r="AN237" s="4185"/>
      <c r="AO237" s="4185"/>
      <c r="AP237" s="4185"/>
      <c r="AQ237" s="4185"/>
      <c r="AR237" s="4185"/>
      <c r="AS237" s="4185"/>
      <c r="AT237" s="4185"/>
      <c r="AU237" s="4185"/>
      <c r="AV237" s="4185"/>
      <c r="AW237" s="4185"/>
      <c r="AX237" s="4185"/>
      <c r="AY237" s="4185"/>
      <c r="AZ237" s="4185"/>
      <c r="BA237" s="4185"/>
      <c r="BB237" s="4185"/>
      <c r="BC237" s="4185"/>
      <c r="BD237" s="4185"/>
      <c r="BE237" s="4185"/>
      <c r="BF237" s="4185"/>
      <c r="BG237" s="4185"/>
      <c r="BH237" s="4185"/>
      <c r="BI237" s="4185"/>
      <c r="BJ237" s="2937"/>
      <c r="BK237" s="4185"/>
      <c r="BL237" s="4185"/>
      <c r="BM237" s="4184"/>
      <c r="BN237" s="4184"/>
      <c r="BO237" s="4184"/>
      <c r="BP237" s="4127"/>
      <c r="BQ237" s="4168"/>
    </row>
    <row r="238" spans="1:163" ht="15" x14ac:dyDescent="0.2">
      <c r="A238" s="1793"/>
      <c r="B238" s="1794"/>
      <c r="C238" s="1795"/>
      <c r="D238" s="4196"/>
      <c r="E238" s="4197"/>
      <c r="F238" s="4197"/>
      <c r="G238" s="1834">
        <v>49</v>
      </c>
      <c r="H238" s="1799" t="s">
        <v>1809</v>
      </c>
      <c r="I238" s="1799"/>
      <c r="J238" s="1799"/>
      <c r="K238" s="1800"/>
      <c r="L238" s="1800"/>
      <c r="M238" s="1799"/>
      <c r="N238" s="1801"/>
      <c r="O238" s="4185"/>
      <c r="P238" s="4185"/>
      <c r="Q238" s="1946"/>
      <c r="R238" s="2818"/>
      <c r="S238" s="4194"/>
      <c r="T238" s="1800"/>
      <c r="U238" s="1800"/>
      <c r="V238" s="1836"/>
      <c r="W238" s="1836"/>
      <c r="X238" s="1836"/>
      <c r="Y238" s="1947"/>
      <c r="Z238" s="1801"/>
      <c r="AA238" s="4185"/>
      <c r="AB238" s="4185"/>
      <c r="AC238" s="4185"/>
      <c r="AD238" s="4185"/>
      <c r="AE238" s="4185"/>
      <c r="AF238" s="4185"/>
      <c r="AG238" s="4185"/>
      <c r="AH238" s="4185"/>
      <c r="AI238" s="4185"/>
      <c r="AJ238" s="4185"/>
      <c r="AK238" s="4185"/>
      <c r="AL238" s="4185"/>
      <c r="AM238" s="4185"/>
      <c r="AN238" s="4185"/>
      <c r="AO238" s="4185"/>
      <c r="AP238" s="4185"/>
      <c r="AQ238" s="4185"/>
      <c r="AR238" s="4185"/>
      <c r="AS238" s="4185"/>
      <c r="AT238" s="4185"/>
      <c r="AU238" s="4185"/>
      <c r="AV238" s="4185"/>
      <c r="AW238" s="4185"/>
      <c r="AX238" s="4185"/>
      <c r="AY238" s="4185"/>
      <c r="AZ238" s="4185"/>
      <c r="BA238" s="4185"/>
      <c r="BB238" s="4185"/>
      <c r="BC238" s="4185"/>
      <c r="BD238" s="4185"/>
      <c r="BE238" s="4185"/>
      <c r="BF238" s="4185"/>
      <c r="BG238" s="4185"/>
      <c r="BH238" s="4185"/>
      <c r="BI238" s="4185"/>
      <c r="BJ238" s="2937"/>
      <c r="BK238" s="4185"/>
      <c r="BL238" s="4185"/>
      <c r="BM238" s="4184"/>
      <c r="BN238" s="4184"/>
      <c r="BO238" s="4184"/>
      <c r="BP238" s="4127"/>
      <c r="BQ238" s="4168"/>
    </row>
    <row r="239" spans="1:163" ht="54.75" customHeight="1" x14ac:dyDescent="0.2">
      <c r="A239" s="1793"/>
      <c r="B239" s="1794"/>
      <c r="C239" s="1795"/>
      <c r="D239" s="4196"/>
      <c r="E239" s="4197"/>
      <c r="F239" s="4197"/>
      <c r="G239" s="4185"/>
      <c r="H239" s="4185"/>
      <c r="I239" s="4185"/>
      <c r="J239" s="4138">
        <v>165</v>
      </c>
      <c r="K239" s="4186" t="s">
        <v>1810</v>
      </c>
      <c r="L239" s="4186" t="s">
        <v>1811</v>
      </c>
      <c r="M239" s="4185">
        <v>12</v>
      </c>
      <c r="N239" s="4185" t="s">
        <v>1812</v>
      </c>
      <c r="O239" s="4185"/>
      <c r="P239" s="4185"/>
      <c r="Q239" s="4193">
        <f>(V239+V240)/R234</f>
        <v>2.9654727871822897E-3</v>
      </c>
      <c r="R239" s="2818"/>
      <c r="S239" s="4194"/>
      <c r="T239" s="4189" t="s">
        <v>1813</v>
      </c>
      <c r="U239" s="1945" t="s">
        <v>1814</v>
      </c>
      <c r="V239" s="1952">
        <v>32318000</v>
      </c>
      <c r="W239" s="1952">
        <v>11200000</v>
      </c>
      <c r="X239" s="1952">
        <v>2800000</v>
      </c>
      <c r="Y239" s="4188">
        <v>20</v>
      </c>
      <c r="Z239" s="4185" t="s">
        <v>1798</v>
      </c>
      <c r="AA239" s="4185"/>
      <c r="AB239" s="4185"/>
      <c r="AC239" s="4185"/>
      <c r="AD239" s="4185"/>
      <c r="AE239" s="4185"/>
      <c r="AF239" s="4185"/>
      <c r="AG239" s="4185"/>
      <c r="AH239" s="4185"/>
      <c r="AI239" s="4185"/>
      <c r="AJ239" s="4185"/>
      <c r="AK239" s="4185"/>
      <c r="AL239" s="4185"/>
      <c r="AM239" s="4185"/>
      <c r="AN239" s="4185"/>
      <c r="AO239" s="4185"/>
      <c r="AP239" s="4185"/>
      <c r="AQ239" s="4185"/>
      <c r="AR239" s="4185"/>
      <c r="AS239" s="4185"/>
      <c r="AT239" s="4185"/>
      <c r="AU239" s="4185"/>
      <c r="AV239" s="4185"/>
      <c r="AW239" s="4185"/>
      <c r="AX239" s="4185"/>
      <c r="AY239" s="4185"/>
      <c r="AZ239" s="4185"/>
      <c r="BA239" s="4185"/>
      <c r="BB239" s="4185"/>
      <c r="BC239" s="4185"/>
      <c r="BD239" s="4185"/>
      <c r="BE239" s="4185"/>
      <c r="BF239" s="4185"/>
      <c r="BG239" s="4185"/>
      <c r="BH239" s="4185"/>
      <c r="BI239" s="4185"/>
      <c r="BJ239" s="2937"/>
      <c r="BK239" s="4185"/>
      <c r="BL239" s="4185"/>
      <c r="BM239" s="4184"/>
      <c r="BN239" s="4184"/>
      <c r="BO239" s="4184"/>
      <c r="BP239" s="4127"/>
      <c r="BQ239" s="4168"/>
    </row>
    <row r="240" spans="1:163" ht="60.75" customHeight="1" x14ac:dyDescent="0.2">
      <c r="A240" s="1793"/>
      <c r="B240" s="1794"/>
      <c r="C240" s="1795"/>
      <c r="D240" s="4198"/>
      <c r="E240" s="4198"/>
      <c r="F240" s="4198"/>
      <c r="G240" s="4185"/>
      <c r="H240" s="4185"/>
      <c r="I240" s="4185"/>
      <c r="J240" s="4138"/>
      <c r="K240" s="4186"/>
      <c r="L240" s="4186"/>
      <c r="M240" s="4185"/>
      <c r="N240" s="4185"/>
      <c r="O240" s="4185"/>
      <c r="P240" s="4185"/>
      <c r="Q240" s="4193"/>
      <c r="R240" s="2818"/>
      <c r="S240" s="1948"/>
      <c r="T240" s="4190"/>
      <c r="U240" s="1945" t="s">
        <v>1815</v>
      </c>
      <c r="V240" s="925">
        <v>32318000</v>
      </c>
      <c r="W240" s="925">
        <v>0</v>
      </c>
      <c r="X240" s="925">
        <v>0</v>
      </c>
      <c r="Y240" s="4188"/>
      <c r="Z240" s="4185"/>
      <c r="AA240" s="4185"/>
      <c r="AB240" s="4185"/>
      <c r="AC240" s="4185"/>
      <c r="AD240" s="4185"/>
      <c r="AE240" s="4185"/>
      <c r="AF240" s="4185"/>
      <c r="AG240" s="4185"/>
      <c r="AH240" s="4185"/>
      <c r="AI240" s="4185"/>
      <c r="AJ240" s="4185"/>
      <c r="AK240" s="4185"/>
      <c r="AL240" s="4185"/>
      <c r="AM240" s="4185"/>
      <c r="AN240" s="4185"/>
      <c r="AO240" s="4185"/>
      <c r="AP240" s="4185"/>
      <c r="AQ240" s="4185"/>
      <c r="AR240" s="4185"/>
      <c r="AS240" s="4185"/>
      <c r="AT240" s="4185"/>
      <c r="AU240" s="4185"/>
      <c r="AV240" s="4185"/>
      <c r="AW240" s="4185"/>
      <c r="AX240" s="4185"/>
      <c r="AY240" s="4185"/>
      <c r="AZ240" s="4185"/>
      <c r="BA240" s="4185"/>
      <c r="BB240" s="4185"/>
      <c r="BC240" s="4185"/>
      <c r="BD240" s="4185"/>
      <c r="BE240" s="4185"/>
      <c r="BF240" s="4185"/>
      <c r="BG240" s="4185"/>
      <c r="BH240" s="4185"/>
      <c r="BI240" s="4185"/>
      <c r="BJ240" s="2937"/>
      <c r="BK240" s="4185"/>
      <c r="BL240" s="4185"/>
      <c r="BM240" s="4184"/>
      <c r="BN240" s="4184"/>
      <c r="BO240" s="4184"/>
      <c r="BP240" s="4166"/>
      <c r="BQ240" s="4169"/>
    </row>
    <row r="241" spans="1:171" ht="15" x14ac:dyDescent="0.2">
      <c r="A241" s="1793"/>
      <c r="B241" s="1820"/>
      <c r="C241" s="1821"/>
      <c r="D241" s="1953">
        <v>14</v>
      </c>
      <c r="E241" s="1787" t="s">
        <v>1816</v>
      </c>
      <c r="F241" s="1787"/>
      <c r="G241" s="1825"/>
      <c r="H241" s="1825"/>
      <c r="I241" s="1825"/>
      <c r="J241" s="1825"/>
      <c r="K241" s="1826"/>
      <c r="L241" s="1826"/>
      <c r="M241" s="1825"/>
      <c r="N241" s="1827"/>
      <c r="O241" s="1825"/>
      <c r="P241" s="1826"/>
      <c r="Q241" s="1825"/>
      <c r="R241" s="1828"/>
      <c r="S241" s="1826"/>
      <c r="T241" s="1826"/>
      <c r="U241" s="1826"/>
      <c r="V241" s="1829"/>
      <c r="W241" s="1829"/>
      <c r="X241" s="1829"/>
      <c r="Y241" s="1830"/>
      <c r="Z241" s="1827"/>
      <c r="AA241" s="1827"/>
      <c r="AB241" s="1827"/>
      <c r="AC241" s="1827"/>
      <c r="AD241" s="1827"/>
      <c r="AE241" s="1827"/>
      <c r="AF241" s="1827"/>
      <c r="AG241" s="1827"/>
      <c r="AH241" s="1827"/>
      <c r="AI241" s="1827"/>
      <c r="AJ241" s="1827"/>
      <c r="AK241" s="1827"/>
      <c r="AL241" s="1827"/>
      <c r="AM241" s="1827"/>
      <c r="AN241" s="1827"/>
      <c r="AO241" s="1827"/>
      <c r="AP241" s="1827"/>
      <c r="AQ241" s="1827"/>
      <c r="AR241" s="1827"/>
      <c r="AS241" s="1827"/>
      <c r="AT241" s="1827"/>
      <c r="AU241" s="1827"/>
      <c r="AV241" s="1827"/>
      <c r="AW241" s="1827"/>
      <c r="AX241" s="1827"/>
      <c r="AY241" s="1827"/>
      <c r="AZ241" s="1827"/>
      <c r="BA241" s="1827"/>
      <c r="BB241" s="1827"/>
      <c r="BC241" s="1827"/>
      <c r="BD241" s="1827"/>
      <c r="BE241" s="1827"/>
      <c r="BF241" s="1827"/>
      <c r="BG241" s="1827"/>
      <c r="BH241" s="1827"/>
      <c r="BI241" s="1827"/>
      <c r="BJ241" s="1827"/>
      <c r="BK241" s="1827"/>
      <c r="BL241" s="1827"/>
      <c r="BM241" s="1954"/>
      <c r="BN241" s="1954"/>
      <c r="BO241" s="1954"/>
      <c r="BP241" s="1832"/>
      <c r="BQ241" s="1833"/>
    </row>
    <row r="242" spans="1:171" ht="15" x14ac:dyDescent="0.2">
      <c r="A242" s="1793"/>
      <c r="B242" s="1794"/>
      <c r="C242" s="1795"/>
      <c r="D242" s="1796"/>
      <c r="E242" s="1796"/>
      <c r="F242" s="1797"/>
      <c r="G242" s="1955">
        <v>50</v>
      </c>
      <c r="H242" s="1956" t="s">
        <v>1817</v>
      </c>
      <c r="I242" s="1956"/>
      <c r="J242" s="1956"/>
      <c r="K242" s="1957"/>
      <c r="L242" s="1957"/>
      <c r="M242" s="1956"/>
      <c r="N242" s="1958"/>
      <c r="O242" s="1956"/>
      <c r="P242" s="1957"/>
      <c r="Q242" s="1956"/>
      <c r="R242" s="1959"/>
      <c r="S242" s="1957"/>
      <c r="T242" s="1957"/>
      <c r="U242" s="1957"/>
      <c r="V242" s="1919"/>
      <c r="W242" s="1919"/>
      <c r="X242" s="1919"/>
      <c r="Y242" s="1960"/>
      <c r="Z242" s="1958"/>
      <c r="AA242" s="1958"/>
      <c r="AB242" s="1958"/>
      <c r="AC242" s="1958"/>
      <c r="AD242" s="1958"/>
      <c r="AE242" s="1958"/>
      <c r="AF242" s="1958"/>
      <c r="AG242" s="1958"/>
      <c r="AH242" s="1958"/>
      <c r="AI242" s="1958"/>
      <c r="AJ242" s="1958"/>
      <c r="AK242" s="1958"/>
      <c r="AL242" s="1958"/>
      <c r="AM242" s="1958"/>
      <c r="AN242" s="1958"/>
      <c r="AO242" s="1958"/>
      <c r="AP242" s="1958"/>
      <c r="AQ242" s="1958"/>
      <c r="AR242" s="1958"/>
      <c r="AS242" s="1958"/>
      <c r="AT242" s="1958"/>
      <c r="AU242" s="1958"/>
      <c r="AV242" s="1958"/>
      <c r="AW242" s="1958"/>
      <c r="AX242" s="1958"/>
      <c r="AY242" s="1958"/>
      <c r="AZ242" s="1958"/>
      <c r="BA242" s="1958"/>
      <c r="BB242" s="1958"/>
      <c r="BC242" s="1958"/>
      <c r="BD242" s="1958"/>
      <c r="BE242" s="1958"/>
      <c r="BF242" s="1958"/>
      <c r="BG242" s="1958"/>
      <c r="BH242" s="1958"/>
      <c r="BI242" s="1958"/>
      <c r="BJ242" s="1958"/>
      <c r="BK242" s="1958"/>
      <c r="BL242" s="1958"/>
      <c r="BM242" s="1961"/>
      <c r="BN242" s="1961"/>
      <c r="BO242" s="1961"/>
      <c r="BP242" s="1962"/>
      <c r="BQ242" s="1963"/>
    </row>
    <row r="243" spans="1:171" s="1966" customFormat="1" ht="31.5" customHeight="1" x14ac:dyDescent="0.2">
      <c r="A243" s="1793"/>
      <c r="B243" s="1794"/>
      <c r="C243" s="1795"/>
      <c r="D243" s="1848"/>
      <c r="E243" s="1848"/>
      <c r="F243" s="1795"/>
      <c r="G243" s="1796"/>
      <c r="H243" s="1796"/>
      <c r="I243" s="1797"/>
      <c r="J243" s="4153">
        <v>167</v>
      </c>
      <c r="K243" s="4135" t="s">
        <v>1818</v>
      </c>
      <c r="L243" s="4135" t="s">
        <v>1819</v>
      </c>
      <c r="M243" s="4179">
        <v>15</v>
      </c>
      <c r="N243" s="4122" t="s">
        <v>1820</v>
      </c>
      <c r="O243" s="4182">
        <v>154</v>
      </c>
      <c r="P243" s="4122" t="s">
        <v>1821</v>
      </c>
      <c r="Q243" s="4132">
        <v>1</v>
      </c>
      <c r="R243" s="4134">
        <f>SUM(V243:V248)</f>
        <v>14398361530</v>
      </c>
      <c r="S243" s="4135" t="s">
        <v>1822</v>
      </c>
      <c r="T243" s="4135" t="s">
        <v>1823</v>
      </c>
      <c r="U243" s="4176" t="s">
        <v>1824</v>
      </c>
      <c r="V243" s="1964">
        <v>1530716729</v>
      </c>
      <c r="W243" s="925">
        <v>0</v>
      </c>
      <c r="X243" s="925">
        <v>0</v>
      </c>
      <c r="Y243" s="1965">
        <v>110</v>
      </c>
      <c r="Z243" s="1927" t="s">
        <v>1825</v>
      </c>
      <c r="AA243" s="4122">
        <v>292684</v>
      </c>
      <c r="AB243" s="4122">
        <v>0</v>
      </c>
      <c r="AC243" s="4122">
        <v>282326</v>
      </c>
      <c r="AD243" s="4122">
        <v>0</v>
      </c>
      <c r="AE243" s="4122">
        <v>135912</v>
      </c>
      <c r="AF243" s="4122">
        <v>0</v>
      </c>
      <c r="AG243" s="4122">
        <v>45122</v>
      </c>
      <c r="AH243" s="4122">
        <v>0</v>
      </c>
      <c r="AI243" s="4122">
        <f>SUM(AI234)</f>
        <v>365607</v>
      </c>
      <c r="AJ243" s="4122">
        <v>0</v>
      </c>
      <c r="AK243" s="4122">
        <f>SUM(AK234)</f>
        <v>75612</v>
      </c>
      <c r="AL243" s="4122">
        <v>0</v>
      </c>
      <c r="AM243" s="4122">
        <v>2145</v>
      </c>
      <c r="AN243" s="4122">
        <v>0</v>
      </c>
      <c r="AO243" s="4122">
        <v>12718</v>
      </c>
      <c r="AP243" s="4122"/>
      <c r="AQ243" s="4122">
        <v>26</v>
      </c>
      <c r="AR243" s="4122">
        <v>0</v>
      </c>
      <c r="AS243" s="4122">
        <v>37</v>
      </c>
      <c r="AT243" s="4122"/>
      <c r="AU243" s="4122" t="s">
        <v>1164</v>
      </c>
      <c r="AV243" s="4122">
        <v>0</v>
      </c>
      <c r="AW243" s="4122" t="s">
        <v>1164</v>
      </c>
      <c r="AX243" s="4122">
        <v>0</v>
      </c>
      <c r="AY243" s="4122">
        <v>53164</v>
      </c>
      <c r="AZ243" s="4122">
        <v>0</v>
      </c>
      <c r="BA243" s="4122">
        <v>16982</v>
      </c>
      <c r="BB243" s="4122">
        <v>0</v>
      </c>
      <c r="BC243" s="4122">
        <v>60013</v>
      </c>
      <c r="BD243" s="4122">
        <v>0</v>
      </c>
      <c r="BE243" s="4122">
        <v>575010</v>
      </c>
      <c r="BF243" s="4122">
        <v>0</v>
      </c>
      <c r="BG243" s="4122">
        <v>0</v>
      </c>
      <c r="BH243" s="4122">
        <v>0</v>
      </c>
      <c r="BI243" s="4122">
        <v>0</v>
      </c>
      <c r="BJ243" s="4131">
        <v>0</v>
      </c>
      <c r="BK243" s="4122" t="s">
        <v>1826</v>
      </c>
      <c r="BL243" s="4122" t="s">
        <v>1800</v>
      </c>
      <c r="BM243" s="4124">
        <v>43467</v>
      </c>
      <c r="BN243" s="4124">
        <v>44196</v>
      </c>
      <c r="BO243" s="4124">
        <v>43830</v>
      </c>
      <c r="BP243" s="4126">
        <v>44196</v>
      </c>
      <c r="BQ243" s="4167" t="s">
        <v>1432</v>
      </c>
      <c r="BR243" s="1785"/>
      <c r="BS243" s="1785"/>
      <c r="BT243" s="1785"/>
      <c r="BU243" s="1785"/>
      <c r="BV243" s="1785"/>
      <c r="BW243" s="1785"/>
      <c r="BX243" s="1785"/>
      <c r="BY243" s="1785"/>
      <c r="BZ243" s="1785"/>
      <c r="CA243" s="1785"/>
      <c r="CB243" s="1785"/>
      <c r="CC243" s="1785"/>
      <c r="CD243" s="1785"/>
      <c r="CE243" s="1785"/>
      <c r="CF243" s="1785"/>
      <c r="CG243" s="1785"/>
      <c r="CH243" s="1785"/>
      <c r="CI243" s="1785"/>
      <c r="CJ243" s="1785"/>
      <c r="CK243" s="1785"/>
      <c r="CL243" s="1785"/>
      <c r="CM243" s="1785"/>
      <c r="CN243" s="1785"/>
      <c r="CO243" s="1785"/>
      <c r="CP243" s="1785"/>
      <c r="CQ243" s="1785"/>
      <c r="CR243" s="1785"/>
      <c r="CS243" s="1785"/>
      <c r="CT243" s="1785"/>
      <c r="CU243" s="1785"/>
      <c r="CV243" s="1785"/>
      <c r="CW243" s="1785"/>
      <c r="CX243" s="1785"/>
      <c r="CY243" s="1785"/>
      <c r="CZ243" s="1785"/>
      <c r="DA243" s="1785"/>
      <c r="DB243" s="1785"/>
      <c r="DC243" s="1785"/>
      <c r="DD243" s="1785"/>
      <c r="DE243" s="1785"/>
      <c r="DF243" s="1785"/>
      <c r="DG243" s="1785"/>
      <c r="DH243" s="1785"/>
      <c r="DI243" s="1785"/>
      <c r="DJ243" s="1785"/>
      <c r="DK243" s="1785"/>
      <c r="DL243" s="1785"/>
      <c r="DM243" s="1785"/>
      <c r="DN243" s="1785"/>
      <c r="DO243" s="1785"/>
      <c r="DP243" s="1785"/>
      <c r="DQ243" s="1785"/>
      <c r="DR243" s="1785"/>
      <c r="DS243" s="1785"/>
      <c r="DT243" s="1785"/>
      <c r="DU243" s="1785"/>
      <c r="DV243" s="1785"/>
      <c r="DW243" s="1785"/>
      <c r="DX243" s="1785"/>
      <c r="DY243" s="1785"/>
      <c r="DZ243" s="1785"/>
      <c r="EA243" s="1785"/>
      <c r="EB243" s="1785"/>
      <c r="EC243" s="1785"/>
      <c r="ED243" s="1785"/>
      <c r="EE243" s="1785"/>
      <c r="EF243" s="1785"/>
      <c r="EG243" s="1785"/>
      <c r="EH243" s="1785"/>
      <c r="EI243" s="1785"/>
      <c r="EJ243" s="1785"/>
      <c r="EK243" s="1785"/>
      <c r="EL243" s="1785"/>
      <c r="EM243" s="1785"/>
      <c r="EN243" s="1785"/>
      <c r="EO243" s="1785"/>
      <c r="EP243" s="1785"/>
      <c r="EQ243" s="1785"/>
      <c r="ER243" s="1785"/>
      <c r="ES243" s="1785"/>
      <c r="ET243" s="1785"/>
      <c r="EU243" s="1785"/>
      <c r="EV243" s="1785"/>
      <c r="EW243" s="1785"/>
      <c r="EX243" s="1785"/>
      <c r="EY243" s="1785"/>
      <c r="EZ243" s="1785"/>
      <c r="FA243" s="1785"/>
      <c r="FB243" s="1785"/>
      <c r="FC243" s="1785"/>
      <c r="FD243" s="1785"/>
      <c r="FE243" s="1785"/>
      <c r="FF243" s="1785"/>
      <c r="FG243" s="1785"/>
      <c r="FH243" s="1785"/>
      <c r="FI243" s="1785"/>
      <c r="FJ243" s="1785"/>
      <c r="FK243" s="1785"/>
      <c r="FL243" s="1785"/>
      <c r="FM243" s="1785"/>
      <c r="FN243" s="1785"/>
      <c r="FO243" s="1785"/>
    </row>
    <row r="244" spans="1:171" s="1925" customFormat="1" ht="31.5" customHeight="1" x14ac:dyDescent="0.2">
      <c r="A244" s="1793"/>
      <c r="B244" s="1794"/>
      <c r="C244" s="1795"/>
      <c r="D244" s="1848"/>
      <c r="E244" s="1848"/>
      <c r="F244" s="1795"/>
      <c r="G244" s="1848"/>
      <c r="H244" s="1848"/>
      <c r="I244" s="1795"/>
      <c r="J244" s="4154"/>
      <c r="K244" s="4136"/>
      <c r="L244" s="4136"/>
      <c r="M244" s="4180"/>
      <c r="N244" s="4123"/>
      <c r="O244" s="4183"/>
      <c r="P244" s="4123"/>
      <c r="Q244" s="4133"/>
      <c r="R244" s="2908"/>
      <c r="S244" s="4136"/>
      <c r="T244" s="4136"/>
      <c r="U244" s="4177"/>
      <c r="V244" s="1964">
        <v>3217514780</v>
      </c>
      <c r="W244" s="925">
        <v>0</v>
      </c>
      <c r="X244" s="925">
        <v>0</v>
      </c>
      <c r="Y244" s="1965">
        <v>58</v>
      </c>
      <c r="Z244" s="1927" t="s">
        <v>1827</v>
      </c>
      <c r="AA244" s="4123"/>
      <c r="AB244" s="4123"/>
      <c r="AC244" s="4123"/>
      <c r="AD244" s="4123"/>
      <c r="AE244" s="4123"/>
      <c r="AF244" s="4123"/>
      <c r="AG244" s="4123"/>
      <c r="AH244" s="4123"/>
      <c r="AI244" s="4123"/>
      <c r="AJ244" s="4123"/>
      <c r="AK244" s="4123"/>
      <c r="AL244" s="4123"/>
      <c r="AM244" s="4123"/>
      <c r="AN244" s="4123"/>
      <c r="AO244" s="4123"/>
      <c r="AP244" s="4123"/>
      <c r="AQ244" s="4123"/>
      <c r="AR244" s="4123"/>
      <c r="AS244" s="4123"/>
      <c r="AT244" s="4123"/>
      <c r="AU244" s="4123"/>
      <c r="AV244" s="4123"/>
      <c r="AW244" s="4123"/>
      <c r="AX244" s="4123"/>
      <c r="AY244" s="4123"/>
      <c r="AZ244" s="4123"/>
      <c r="BA244" s="4123"/>
      <c r="BB244" s="4123"/>
      <c r="BC244" s="4123"/>
      <c r="BD244" s="4123"/>
      <c r="BE244" s="4123"/>
      <c r="BF244" s="4123"/>
      <c r="BG244" s="4123"/>
      <c r="BH244" s="4123"/>
      <c r="BI244" s="4123"/>
      <c r="BJ244" s="2852"/>
      <c r="BK244" s="4123"/>
      <c r="BL244" s="4123"/>
      <c r="BM244" s="4125"/>
      <c r="BN244" s="4125"/>
      <c r="BO244" s="4125"/>
      <c r="BP244" s="4127"/>
      <c r="BQ244" s="4168"/>
      <c r="BR244" s="1785"/>
      <c r="BS244" s="1785"/>
      <c r="BT244" s="1785"/>
      <c r="BU244" s="1785"/>
      <c r="BV244" s="1785"/>
      <c r="BW244" s="1785"/>
      <c r="BX244" s="1785"/>
      <c r="BY244" s="1785"/>
      <c r="BZ244" s="1785"/>
      <c r="CA244" s="1785"/>
      <c r="CB244" s="1785"/>
      <c r="CC244" s="1785"/>
      <c r="CD244" s="1785"/>
      <c r="CE244" s="1785"/>
      <c r="CF244" s="1785"/>
      <c r="CG244" s="1785"/>
      <c r="CH244" s="1785"/>
      <c r="CI244" s="1785"/>
      <c r="CJ244" s="1785"/>
      <c r="CK244" s="1785"/>
      <c r="CL244" s="1785"/>
      <c r="CM244" s="1785"/>
      <c r="CN244" s="1785"/>
      <c r="CO244" s="1785"/>
      <c r="CP244" s="1785"/>
      <c r="CQ244" s="1785"/>
      <c r="CR244" s="1785"/>
      <c r="CS244" s="1785"/>
      <c r="CT244" s="1785"/>
      <c r="CU244" s="1785"/>
      <c r="CV244" s="1785"/>
      <c r="CW244" s="1785"/>
      <c r="CX244" s="1785"/>
      <c r="CY244" s="1785"/>
      <c r="CZ244" s="1785"/>
      <c r="DA244" s="1785"/>
      <c r="DB244" s="1785"/>
      <c r="DC244" s="1785"/>
      <c r="DD244" s="1785"/>
      <c r="DE244" s="1785"/>
      <c r="DF244" s="1785"/>
      <c r="DG244" s="1785"/>
      <c r="DH244" s="1785"/>
      <c r="DI244" s="1785"/>
      <c r="DJ244" s="1785"/>
      <c r="DK244" s="1785"/>
      <c r="DL244" s="1785"/>
      <c r="DM244" s="1785"/>
      <c r="DN244" s="1785"/>
      <c r="DO244" s="1785"/>
      <c r="DP244" s="1785"/>
      <c r="DQ244" s="1785"/>
      <c r="DR244" s="1785"/>
      <c r="DS244" s="1785"/>
      <c r="DT244" s="1785"/>
      <c r="DU244" s="1785"/>
      <c r="DV244" s="1785"/>
      <c r="DW244" s="1785"/>
      <c r="DX244" s="1785"/>
      <c r="DY244" s="1785"/>
      <c r="DZ244" s="1785"/>
      <c r="EA244" s="1785"/>
      <c r="EB244" s="1785"/>
      <c r="EC244" s="1785"/>
      <c r="ED244" s="1785"/>
      <c r="EE244" s="1785"/>
      <c r="EF244" s="1785"/>
      <c r="EG244" s="1785"/>
      <c r="EH244" s="1785"/>
      <c r="EI244" s="1785"/>
      <c r="EJ244" s="1785"/>
      <c r="EK244" s="1785"/>
      <c r="EL244" s="1785"/>
      <c r="EM244" s="1785"/>
      <c r="EN244" s="1785"/>
      <c r="EO244" s="1785"/>
      <c r="EP244" s="1785"/>
      <c r="EQ244" s="1785"/>
      <c r="ER244" s="1785"/>
      <c r="ES244" s="1785"/>
      <c r="ET244" s="1785"/>
      <c r="EU244" s="1785"/>
      <c r="EV244" s="1785"/>
      <c r="EW244" s="1785"/>
      <c r="EX244" s="1785"/>
      <c r="EY244" s="1785"/>
      <c r="EZ244" s="1785"/>
      <c r="FA244" s="1785"/>
      <c r="FB244" s="1785"/>
      <c r="FC244" s="1785"/>
      <c r="FD244" s="1785"/>
      <c r="FE244" s="1785"/>
      <c r="FF244" s="1785"/>
      <c r="FG244" s="1785"/>
      <c r="FH244" s="1785"/>
      <c r="FI244" s="1785"/>
      <c r="FJ244" s="1785"/>
      <c r="FK244" s="1785"/>
      <c r="FL244" s="1785"/>
      <c r="FM244" s="1785"/>
      <c r="FN244" s="1785"/>
      <c r="FO244" s="1785"/>
    </row>
    <row r="245" spans="1:171" s="1925" customFormat="1" ht="31.5" customHeight="1" x14ac:dyDescent="0.2">
      <c r="A245" s="1793"/>
      <c r="B245" s="1794"/>
      <c r="C245" s="1795"/>
      <c r="D245" s="1848"/>
      <c r="E245" s="1848"/>
      <c r="F245" s="1795"/>
      <c r="G245" s="1848"/>
      <c r="H245" s="1848"/>
      <c r="I245" s="1795"/>
      <c r="J245" s="4154"/>
      <c r="K245" s="4136"/>
      <c r="L245" s="4136"/>
      <c r="M245" s="4180"/>
      <c r="N245" s="4123"/>
      <c r="O245" s="4183"/>
      <c r="P245" s="4123"/>
      <c r="Q245" s="4133"/>
      <c r="R245" s="2908"/>
      <c r="S245" s="4136"/>
      <c r="T245" s="4136"/>
      <c r="U245" s="4177"/>
      <c r="V245" s="1964">
        <v>81073317</v>
      </c>
      <c r="W245" s="925">
        <v>0</v>
      </c>
      <c r="X245" s="925">
        <v>0</v>
      </c>
      <c r="Y245" s="1965">
        <v>58</v>
      </c>
      <c r="Z245" s="1927" t="s">
        <v>1828</v>
      </c>
      <c r="AA245" s="4123"/>
      <c r="AB245" s="4123"/>
      <c r="AC245" s="4123"/>
      <c r="AD245" s="4123"/>
      <c r="AE245" s="4123"/>
      <c r="AF245" s="4123"/>
      <c r="AG245" s="4123"/>
      <c r="AH245" s="4123"/>
      <c r="AI245" s="4123"/>
      <c r="AJ245" s="4123"/>
      <c r="AK245" s="4123"/>
      <c r="AL245" s="4123"/>
      <c r="AM245" s="4123"/>
      <c r="AN245" s="4123"/>
      <c r="AO245" s="4123"/>
      <c r="AP245" s="4123"/>
      <c r="AQ245" s="4123"/>
      <c r="AR245" s="4123"/>
      <c r="AS245" s="4123"/>
      <c r="AT245" s="4123"/>
      <c r="AU245" s="4123"/>
      <c r="AV245" s="4123"/>
      <c r="AW245" s="4123"/>
      <c r="AX245" s="4123"/>
      <c r="AY245" s="4123"/>
      <c r="AZ245" s="4123"/>
      <c r="BA245" s="4123"/>
      <c r="BB245" s="4123"/>
      <c r="BC245" s="4123"/>
      <c r="BD245" s="4123"/>
      <c r="BE245" s="4123"/>
      <c r="BF245" s="4123"/>
      <c r="BG245" s="4123"/>
      <c r="BH245" s="4123"/>
      <c r="BI245" s="4123"/>
      <c r="BJ245" s="2852"/>
      <c r="BK245" s="4123"/>
      <c r="BL245" s="4123"/>
      <c r="BM245" s="4125"/>
      <c r="BN245" s="4125"/>
      <c r="BO245" s="4125"/>
      <c r="BP245" s="4127"/>
      <c r="BQ245" s="4168"/>
      <c r="BR245" s="1785"/>
      <c r="BS245" s="1785"/>
      <c r="BT245" s="1785"/>
      <c r="BU245" s="1785"/>
      <c r="BV245" s="1785"/>
      <c r="BW245" s="1785"/>
      <c r="BX245" s="1785"/>
      <c r="BY245" s="1785"/>
      <c r="BZ245" s="1785"/>
      <c r="CA245" s="1785"/>
      <c r="CB245" s="1785"/>
      <c r="CC245" s="1785"/>
      <c r="CD245" s="1785"/>
      <c r="CE245" s="1785"/>
      <c r="CF245" s="1785"/>
      <c r="CG245" s="1785"/>
      <c r="CH245" s="1785"/>
      <c r="CI245" s="1785"/>
      <c r="CJ245" s="1785"/>
      <c r="CK245" s="1785"/>
      <c r="CL245" s="1785"/>
      <c r="CM245" s="1785"/>
      <c r="CN245" s="1785"/>
      <c r="CO245" s="1785"/>
      <c r="CP245" s="1785"/>
      <c r="CQ245" s="1785"/>
      <c r="CR245" s="1785"/>
      <c r="CS245" s="1785"/>
      <c r="CT245" s="1785"/>
      <c r="CU245" s="1785"/>
      <c r="CV245" s="1785"/>
      <c r="CW245" s="1785"/>
      <c r="CX245" s="1785"/>
      <c r="CY245" s="1785"/>
      <c r="CZ245" s="1785"/>
      <c r="DA245" s="1785"/>
      <c r="DB245" s="1785"/>
      <c r="DC245" s="1785"/>
      <c r="DD245" s="1785"/>
      <c r="DE245" s="1785"/>
      <c r="DF245" s="1785"/>
      <c r="DG245" s="1785"/>
      <c r="DH245" s="1785"/>
      <c r="DI245" s="1785"/>
      <c r="DJ245" s="1785"/>
      <c r="DK245" s="1785"/>
      <c r="DL245" s="1785"/>
      <c r="DM245" s="1785"/>
      <c r="DN245" s="1785"/>
      <c r="DO245" s="1785"/>
      <c r="DP245" s="1785"/>
      <c r="DQ245" s="1785"/>
      <c r="DR245" s="1785"/>
      <c r="DS245" s="1785"/>
      <c r="DT245" s="1785"/>
      <c r="DU245" s="1785"/>
      <c r="DV245" s="1785"/>
      <c r="DW245" s="1785"/>
      <c r="DX245" s="1785"/>
      <c r="DY245" s="1785"/>
      <c r="DZ245" s="1785"/>
      <c r="EA245" s="1785"/>
      <c r="EB245" s="1785"/>
      <c r="EC245" s="1785"/>
      <c r="ED245" s="1785"/>
      <c r="EE245" s="1785"/>
      <c r="EF245" s="1785"/>
      <c r="EG245" s="1785"/>
      <c r="EH245" s="1785"/>
      <c r="EI245" s="1785"/>
      <c r="EJ245" s="1785"/>
      <c r="EK245" s="1785"/>
      <c r="EL245" s="1785"/>
      <c r="EM245" s="1785"/>
      <c r="EN245" s="1785"/>
      <c r="EO245" s="1785"/>
      <c r="EP245" s="1785"/>
      <c r="EQ245" s="1785"/>
      <c r="ER245" s="1785"/>
      <c r="ES245" s="1785"/>
      <c r="ET245" s="1785"/>
      <c r="EU245" s="1785"/>
      <c r="EV245" s="1785"/>
      <c r="EW245" s="1785"/>
      <c r="EX245" s="1785"/>
      <c r="EY245" s="1785"/>
      <c r="EZ245" s="1785"/>
      <c r="FA245" s="1785"/>
      <c r="FB245" s="1785"/>
      <c r="FC245" s="1785"/>
      <c r="FD245" s="1785"/>
      <c r="FE245" s="1785"/>
      <c r="FF245" s="1785"/>
      <c r="FG245" s="1785"/>
      <c r="FH245" s="1785"/>
      <c r="FI245" s="1785"/>
      <c r="FJ245" s="1785"/>
      <c r="FK245" s="1785"/>
      <c r="FL245" s="1785"/>
      <c r="FM245" s="1785"/>
      <c r="FN245" s="1785"/>
      <c r="FO245" s="1785"/>
    </row>
    <row r="246" spans="1:171" s="1925" customFormat="1" ht="31.5" customHeight="1" x14ac:dyDescent="0.2">
      <c r="A246" s="1793"/>
      <c r="B246" s="1794"/>
      <c r="C246" s="1795"/>
      <c r="D246" s="1848"/>
      <c r="E246" s="1848"/>
      <c r="F246" s="1795"/>
      <c r="G246" s="1848"/>
      <c r="H246" s="1848"/>
      <c r="I246" s="1795"/>
      <c r="J246" s="4154"/>
      <c r="K246" s="4136"/>
      <c r="L246" s="4136"/>
      <c r="M246" s="4180"/>
      <c r="N246" s="4123"/>
      <c r="O246" s="4183"/>
      <c r="P246" s="4123"/>
      <c r="Q246" s="4133"/>
      <c r="R246" s="2908"/>
      <c r="S246" s="4136"/>
      <c r="T246" s="4136"/>
      <c r="U246" s="4177"/>
      <c r="V246" s="1964">
        <v>5654000000</v>
      </c>
      <c r="W246" s="925">
        <v>0</v>
      </c>
      <c r="X246" s="925">
        <v>0</v>
      </c>
      <c r="Y246" s="1965">
        <v>59</v>
      </c>
      <c r="Z246" s="1927" t="s">
        <v>1829</v>
      </c>
      <c r="AA246" s="4123"/>
      <c r="AB246" s="4123"/>
      <c r="AC246" s="4123"/>
      <c r="AD246" s="4123"/>
      <c r="AE246" s="4123"/>
      <c r="AF246" s="4123"/>
      <c r="AG246" s="4123"/>
      <c r="AH246" s="4123"/>
      <c r="AI246" s="4123"/>
      <c r="AJ246" s="4123"/>
      <c r="AK246" s="4123"/>
      <c r="AL246" s="4123"/>
      <c r="AM246" s="4123"/>
      <c r="AN246" s="4123"/>
      <c r="AO246" s="4123"/>
      <c r="AP246" s="4123"/>
      <c r="AQ246" s="4123"/>
      <c r="AR246" s="4123"/>
      <c r="AS246" s="4123"/>
      <c r="AT246" s="4123"/>
      <c r="AU246" s="4123"/>
      <c r="AV246" s="4123"/>
      <c r="AW246" s="4123"/>
      <c r="AX246" s="4123"/>
      <c r="AY246" s="4123"/>
      <c r="AZ246" s="4123"/>
      <c r="BA246" s="4123"/>
      <c r="BB246" s="4123"/>
      <c r="BC246" s="4123"/>
      <c r="BD246" s="4123"/>
      <c r="BE246" s="4123"/>
      <c r="BF246" s="4123"/>
      <c r="BG246" s="4123"/>
      <c r="BH246" s="4123"/>
      <c r="BI246" s="4123"/>
      <c r="BJ246" s="2852"/>
      <c r="BK246" s="4123"/>
      <c r="BL246" s="4123"/>
      <c r="BM246" s="4125"/>
      <c r="BN246" s="4125"/>
      <c r="BO246" s="4125"/>
      <c r="BP246" s="4127"/>
      <c r="BQ246" s="4168"/>
      <c r="BR246" s="1785"/>
      <c r="BS246" s="1785"/>
      <c r="BT246" s="1785"/>
      <c r="BU246" s="1785"/>
      <c r="BV246" s="1785"/>
      <c r="BW246" s="1785"/>
      <c r="BX246" s="1785"/>
      <c r="BY246" s="1785"/>
      <c r="BZ246" s="1785"/>
      <c r="CA246" s="1785"/>
      <c r="CB246" s="1785"/>
      <c r="CC246" s="1785"/>
      <c r="CD246" s="1785"/>
      <c r="CE246" s="1785"/>
      <c r="CF246" s="1785"/>
      <c r="CG246" s="1785"/>
      <c r="CH246" s="1785"/>
      <c r="CI246" s="1785"/>
      <c r="CJ246" s="1785"/>
      <c r="CK246" s="1785"/>
      <c r="CL246" s="1785"/>
      <c r="CM246" s="1785"/>
      <c r="CN246" s="1785"/>
      <c r="CO246" s="1785"/>
      <c r="CP246" s="1785"/>
      <c r="CQ246" s="1785"/>
      <c r="CR246" s="1785"/>
      <c r="CS246" s="1785"/>
      <c r="CT246" s="1785"/>
      <c r="CU246" s="1785"/>
      <c r="CV246" s="1785"/>
      <c r="CW246" s="1785"/>
      <c r="CX246" s="1785"/>
      <c r="CY246" s="1785"/>
      <c r="CZ246" s="1785"/>
      <c r="DA246" s="1785"/>
      <c r="DB246" s="1785"/>
      <c r="DC246" s="1785"/>
      <c r="DD246" s="1785"/>
      <c r="DE246" s="1785"/>
      <c r="DF246" s="1785"/>
      <c r="DG246" s="1785"/>
      <c r="DH246" s="1785"/>
      <c r="DI246" s="1785"/>
      <c r="DJ246" s="1785"/>
      <c r="DK246" s="1785"/>
      <c r="DL246" s="1785"/>
      <c r="DM246" s="1785"/>
      <c r="DN246" s="1785"/>
      <c r="DO246" s="1785"/>
      <c r="DP246" s="1785"/>
      <c r="DQ246" s="1785"/>
      <c r="DR246" s="1785"/>
      <c r="DS246" s="1785"/>
      <c r="DT246" s="1785"/>
      <c r="DU246" s="1785"/>
      <c r="DV246" s="1785"/>
      <c r="DW246" s="1785"/>
      <c r="DX246" s="1785"/>
      <c r="DY246" s="1785"/>
      <c r="DZ246" s="1785"/>
      <c r="EA246" s="1785"/>
      <c r="EB246" s="1785"/>
      <c r="EC246" s="1785"/>
      <c r="ED246" s="1785"/>
      <c r="EE246" s="1785"/>
      <c r="EF246" s="1785"/>
      <c r="EG246" s="1785"/>
      <c r="EH246" s="1785"/>
      <c r="EI246" s="1785"/>
      <c r="EJ246" s="1785"/>
      <c r="EK246" s="1785"/>
      <c r="EL246" s="1785"/>
      <c r="EM246" s="1785"/>
      <c r="EN246" s="1785"/>
      <c r="EO246" s="1785"/>
      <c r="EP246" s="1785"/>
      <c r="EQ246" s="1785"/>
      <c r="ER246" s="1785"/>
      <c r="ES246" s="1785"/>
      <c r="ET246" s="1785"/>
      <c r="EU246" s="1785"/>
      <c r="EV246" s="1785"/>
      <c r="EW246" s="1785"/>
      <c r="EX246" s="1785"/>
      <c r="EY246" s="1785"/>
      <c r="EZ246" s="1785"/>
      <c r="FA246" s="1785"/>
      <c r="FB246" s="1785"/>
      <c r="FC246" s="1785"/>
      <c r="FD246" s="1785"/>
      <c r="FE246" s="1785"/>
      <c r="FF246" s="1785"/>
      <c r="FG246" s="1785"/>
      <c r="FH246" s="1785"/>
      <c r="FI246" s="1785"/>
      <c r="FJ246" s="1785"/>
      <c r="FK246" s="1785"/>
      <c r="FL246" s="1785"/>
      <c r="FM246" s="1785"/>
      <c r="FN246" s="1785"/>
      <c r="FO246" s="1785"/>
    </row>
    <row r="247" spans="1:171" s="1925" customFormat="1" ht="31.5" customHeight="1" x14ac:dyDescent="0.2">
      <c r="A247" s="1793"/>
      <c r="B247" s="1794"/>
      <c r="C247" s="1795"/>
      <c r="D247" s="1848"/>
      <c r="E247" s="1848"/>
      <c r="F247" s="1795"/>
      <c r="G247" s="1848"/>
      <c r="H247" s="1848"/>
      <c r="I247" s="1795"/>
      <c r="J247" s="4154"/>
      <c r="K247" s="4136"/>
      <c r="L247" s="4136"/>
      <c r="M247" s="4180"/>
      <c r="N247" s="4123"/>
      <c r="O247" s="4183"/>
      <c r="P247" s="4123"/>
      <c r="Q247" s="4133"/>
      <c r="R247" s="2908"/>
      <c r="S247" s="4136"/>
      <c r="T247" s="4136"/>
      <c r="U247" s="4177"/>
      <c r="V247" s="1964">
        <v>27056704</v>
      </c>
      <c r="W247" s="925">
        <v>0</v>
      </c>
      <c r="X247" s="925">
        <v>0</v>
      </c>
      <c r="Y247" s="1965">
        <v>59</v>
      </c>
      <c r="Z247" s="1927" t="s">
        <v>1830</v>
      </c>
      <c r="AA247" s="4123"/>
      <c r="AB247" s="4123"/>
      <c r="AC247" s="4123"/>
      <c r="AD247" s="4123"/>
      <c r="AE247" s="4123"/>
      <c r="AF247" s="4123"/>
      <c r="AG247" s="4123"/>
      <c r="AH247" s="4123"/>
      <c r="AI247" s="4123"/>
      <c r="AJ247" s="4123"/>
      <c r="AK247" s="4123"/>
      <c r="AL247" s="4123"/>
      <c r="AM247" s="4123"/>
      <c r="AN247" s="4123"/>
      <c r="AO247" s="4123"/>
      <c r="AP247" s="4123"/>
      <c r="AQ247" s="4123"/>
      <c r="AR247" s="4123"/>
      <c r="AS247" s="4123"/>
      <c r="AT247" s="4123"/>
      <c r="AU247" s="4123"/>
      <c r="AV247" s="4123"/>
      <c r="AW247" s="4123"/>
      <c r="AX247" s="4123"/>
      <c r="AY247" s="4123"/>
      <c r="AZ247" s="4123"/>
      <c r="BA247" s="4123"/>
      <c r="BB247" s="4123"/>
      <c r="BC247" s="4123"/>
      <c r="BD247" s="4123"/>
      <c r="BE247" s="4123"/>
      <c r="BF247" s="4123"/>
      <c r="BG247" s="4123"/>
      <c r="BH247" s="4123"/>
      <c r="BI247" s="4123"/>
      <c r="BJ247" s="2852"/>
      <c r="BK247" s="4123"/>
      <c r="BL247" s="4123"/>
      <c r="BM247" s="4125"/>
      <c r="BN247" s="4125"/>
      <c r="BO247" s="4125"/>
      <c r="BP247" s="4127"/>
      <c r="BQ247" s="4168"/>
      <c r="BR247" s="1785"/>
      <c r="BS247" s="1785"/>
      <c r="BT247" s="1785"/>
      <c r="BU247" s="1785"/>
      <c r="BV247" s="1785"/>
      <c r="BW247" s="1785"/>
      <c r="BX247" s="1785"/>
      <c r="BY247" s="1785"/>
      <c r="BZ247" s="1785"/>
      <c r="CA247" s="1785"/>
      <c r="CB247" s="1785"/>
      <c r="CC247" s="1785"/>
      <c r="CD247" s="1785"/>
      <c r="CE247" s="1785"/>
      <c r="CF247" s="1785"/>
      <c r="CG247" s="1785"/>
      <c r="CH247" s="1785"/>
      <c r="CI247" s="1785"/>
      <c r="CJ247" s="1785"/>
      <c r="CK247" s="1785"/>
      <c r="CL247" s="1785"/>
      <c r="CM247" s="1785"/>
      <c r="CN247" s="1785"/>
      <c r="CO247" s="1785"/>
      <c r="CP247" s="1785"/>
      <c r="CQ247" s="1785"/>
      <c r="CR247" s="1785"/>
      <c r="CS247" s="1785"/>
      <c r="CT247" s="1785"/>
      <c r="CU247" s="1785"/>
      <c r="CV247" s="1785"/>
      <c r="CW247" s="1785"/>
      <c r="CX247" s="1785"/>
      <c r="CY247" s="1785"/>
      <c r="CZ247" s="1785"/>
      <c r="DA247" s="1785"/>
      <c r="DB247" s="1785"/>
      <c r="DC247" s="1785"/>
      <c r="DD247" s="1785"/>
      <c r="DE247" s="1785"/>
      <c r="DF247" s="1785"/>
      <c r="DG247" s="1785"/>
      <c r="DH247" s="1785"/>
      <c r="DI247" s="1785"/>
      <c r="DJ247" s="1785"/>
      <c r="DK247" s="1785"/>
      <c r="DL247" s="1785"/>
      <c r="DM247" s="1785"/>
      <c r="DN247" s="1785"/>
      <c r="DO247" s="1785"/>
      <c r="DP247" s="1785"/>
      <c r="DQ247" s="1785"/>
      <c r="DR247" s="1785"/>
      <c r="DS247" s="1785"/>
      <c r="DT247" s="1785"/>
      <c r="DU247" s="1785"/>
      <c r="DV247" s="1785"/>
      <c r="DW247" s="1785"/>
      <c r="DX247" s="1785"/>
      <c r="DY247" s="1785"/>
      <c r="DZ247" s="1785"/>
      <c r="EA247" s="1785"/>
      <c r="EB247" s="1785"/>
      <c r="EC247" s="1785"/>
      <c r="ED247" s="1785"/>
      <c r="EE247" s="1785"/>
      <c r="EF247" s="1785"/>
      <c r="EG247" s="1785"/>
      <c r="EH247" s="1785"/>
      <c r="EI247" s="1785"/>
      <c r="EJ247" s="1785"/>
      <c r="EK247" s="1785"/>
      <c r="EL247" s="1785"/>
      <c r="EM247" s="1785"/>
      <c r="EN247" s="1785"/>
      <c r="EO247" s="1785"/>
      <c r="EP247" s="1785"/>
      <c r="EQ247" s="1785"/>
      <c r="ER247" s="1785"/>
      <c r="ES247" s="1785"/>
      <c r="ET247" s="1785"/>
      <c r="EU247" s="1785"/>
      <c r="EV247" s="1785"/>
      <c r="EW247" s="1785"/>
      <c r="EX247" s="1785"/>
      <c r="EY247" s="1785"/>
      <c r="EZ247" s="1785"/>
      <c r="FA247" s="1785"/>
      <c r="FB247" s="1785"/>
      <c r="FC247" s="1785"/>
      <c r="FD247" s="1785"/>
      <c r="FE247" s="1785"/>
      <c r="FF247" s="1785"/>
      <c r="FG247" s="1785"/>
      <c r="FH247" s="1785"/>
      <c r="FI247" s="1785"/>
      <c r="FJ247" s="1785"/>
      <c r="FK247" s="1785"/>
      <c r="FL247" s="1785"/>
      <c r="FM247" s="1785"/>
      <c r="FN247" s="1785"/>
      <c r="FO247" s="1785"/>
    </row>
    <row r="248" spans="1:171" s="1925" customFormat="1" ht="31.5" customHeight="1" x14ac:dyDescent="0.2">
      <c r="A248" s="1793"/>
      <c r="B248" s="1794"/>
      <c r="C248" s="1795"/>
      <c r="D248" s="1848"/>
      <c r="E248" s="1848"/>
      <c r="F248" s="1795"/>
      <c r="G248" s="1848"/>
      <c r="H248" s="1848"/>
      <c r="I248" s="1795"/>
      <c r="J248" s="4155"/>
      <c r="K248" s="4137"/>
      <c r="L248" s="4137"/>
      <c r="M248" s="4181"/>
      <c r="N248" s="4123"/>
      <c r="O248" s="4183"/>
      <c r="P248" s="4123"/>
      <c r="Q248" s="4175"/>
      <c r="R248" s="2908"/>
      <c r="S248" s="4136"/>
      <c r="T248" s="4137"/>
      <c r="U248" s="4178"/>
      <c r="V248" s="1964">
        <v>3888000000</v>
      </c>
      <c r="W248" s="925">
        <v>0</v>
      </c>
      <c r="X248" s="925">
        <v>0</v>
      </c>
      <c r="Y248" s="1965">
        <v>60</v>
      </c>
      <c r="Z248" s="1927" t="s">
        <v>1831</v>
      </c>
      <c r="AA248" s="4171"/>
      <c r="AB248" s="4171"/>
      <c r="AC248" s="4171"/>
      <c r="AD248" s="4171"/>
      <c r="AE248" s="4171"/>
      <c r="AF248" s="4171"/>
      <c r="AG248" s="4171"/>
      <c r="AH248" s="4171"/>
      <c r="AI248" s="4171"/>
      <c r="AJ248" s="4171"/>
      <c r="AK248" s="4171"/>
      <c r="AL248" s="4171"/>
      <c r="AM248" s="4171"/>
      <c r="AN248" s="4171"/>
      <c r="AO248" s="4171"/>
      <c r="AP248" s="4171"/>
      <c r="AQ248" s="4171"/>
      <c r="AR248" s="4171"/>
      <c r="AS248" s="4171"/>
      <c r="AT248" s="4171"/>
      <c r="AU248" s="4171"/>
      <c r="AV248" s="4171"/>
      <c r="AW248" s="4171"/>
      <c r="AX248" s="4171"/>
      <c r="AY248" s="4171"/>
      <c r="AZ248" s="4171"/>
      <c r="BA248" s="4171"/>
      <c r="BB248" s="4171"/>
      <c r="BC248" s="4171"/>
      <c r="BD248" s="4171"/>
      <c r="BE248" s="4171"/>
      <c r="BF248" s="4171"/>
      <c r="BG248" s="4171"/>
      <c r="BH248" s="4171"/>
      <c r="BI248" s="4171"/>
      <c r="BJ248" s="2853"/>
      <c r="BK248" s="4171"/>
      <c r="BL248" s="4171"/>
      <c r="BM248" s="4165"/>
      <c r="BN248" s="4165"/>
      <c r="BO248" s="4165"/>
      <c r="BP248" s="4127"/>
      <c r="BQ248" s="4168"/>
      <c r="BR248" s="1785"/>
      <c r="BS248" s="1785"/>
      <c r="BT248" s="1785"/>
      <c r="BU248" s="1785"/>
      <c r="BV248" s="1785"/>
      <c r="BW248" s="1785"/>
      <c r="BX248" s="1785"/>
      <c r="BY248" s="1785"/>
      <c r="BZ248" s="1785"/>
      <c r="CA248" s="1785"/>
      <c r="CB248" s="1785"/>
      <c r="CC248" s="1785"/>
      <c r="CD248" s="1785"/>
      <c r="CE248" s="1785"/>
      <c r="CF248" s="1785"/>
      <c r="CG248" s="1785"/>
      <c r="CH248" s="1785"/>
      <c r="CI248" s="1785"/>
      <c r="CJ248" s="1785"/>
      <c r="CK248" s="1785"/>
      <c r="CL248" s="1785"/>
      <c r="CM248" s="1785"/>
      <c r="CN248" s="1785"/>
      <c r="CO248" s="1785"/>
      <c r="CP248" s="1785"/>
      <c r="CQ248" s="1785"/>
      <c r="CR248" s="1785"/>
      <c r="CS248" s="1785"/>
      <c r="CT248" s="1785"/>
      <c r="CU248" s="1785"/>
      <c r="CV248" s="1785"/>
      <c r="CW248" s="1785"/>
      <c r="CX248" s="1785"/>
      <c r="CY248" s="1785"/>
      <c r="CZ248" s="1785"/>
      <c r="DA248" s="1785"/>
      <c r="DB248" s="1785"/>
      <c r="DC248" s="1785"/>
      <c r="DD248" s="1785"/>
      <c r="DE248" s="1785"/>
      <c r="DF248" s="1785"/>
      <c r="DG248" s="1785"/>
      <c r="DH248" s="1785"/>
      <c r="DI248" s="1785"/>
      <c r="DJ248" s="1785"/>
      <c r="DK248" s="1785"/>
      <c r="DL248" s="1785"/>
      <c r="DM248" s="1785"/>
      <c r="DN248" s="1785"/>
      <c r="DO248" s="1785"/>
      <c r="DP248" s="1785"/>
      <c r="DQ248" s="1785"/>
      <c r="DR248" s="1785"/>
      <c r="DS248" s="1785"/>
      <c r="DT248" s="1785"/>
      <c r="DU248" s="1785"/>
      <c r="DV248" s="1785"/>
      <c r="DW248" s="1785"/>
      <c r="DX248" s="1785"/>
      <c r="DY248" s="1785"/>
      <c r="DZ248" s="1785"/>
      <c r="EA248" s="1785"/>
      <c r="EB248" s="1785"/>
      <c r="EC248" s="1785"/>
      <c r="ED248" s="1785"/>
      <c r="EE248" s="1785"/>
      <c r="EF248" s="1785"/>
      <c r="EG248" s="1785"/>
      <c r="EH248" s="1785"/>
      <c r="EI248" s="1785"/>
      <c r="EJ248" s="1785"/>
      <c r="EK248" s="1785"/>
      <c r="EL248" s="1785"/>
      <c r="EM248" s="1785"/>
      <c r="EN248" s="1785"/>
      <c r="EO248" s="1785"/>
      <c r="EP248" s="1785"/>
      <c r="EQ248" s="1785"/>
      <c r="ER248" s="1785"/>
      <c r="ES248" s="1785"/>
      <c r="ET248" s="1785"/>
      <c r="EU248" s="1785"/>
      <c r="EV248" s="1785"/>
      <c r="EW248" s="1785"/>
      <c r="EX248" s="1785"/>
      <c r="EY248" s="1785"/>
      <c r="EZ248" s="1785"/>
      <c r="FA248" s="1785"/>
      <c r="FB248" s="1785"/>
      <c r="FC248" s="1785"/>
      <c r="FD248" s="1785"/>
      <c r="FE248" s="1785"/>
      <c r="FF248" s="1785"/>
      <c r="FG248" s="1785"/>
      <c r="FH248" s="1785"/>
      <c r="FI248" s="1785"/>
      <c r="FJ248" s="1785"/>
      <c r="FK248" s="1785"/>
      <c r="FL248" s="1785"/>
      <c r="FM248" s="1785"/>
      <c r="FN248" s="1785"/>
      <c r="FO248" s="1785"/>
    </row>
    <row r="249" spans="1:171" ht="15" x14ac:dyDescent="0.2">
      <c r="A249" s="1793"/>
      <c r="B249" s="1794"/>
      <c r="C249" s="1795"/>
      <c r="D249" s="1848"/>
      <c r="E249" s="1848"/>
      <c r="F249" s="1795"/>
      <c r="G249" s="1967">
        <v>51</v>
      </c>
      <c r="H249" s="1968" t="s">
        <v>1832</v>
      </c>
      <c r="I249" s="1968"/>
      <c r="J249" s="1917"/>
      <c r="K249" s="1969"/>
      <c r="L249" s="1800"/>
      <c r="M249" s="1799"/>
      <c r="N249" s="1801"/>
      <c r="O249" s="1799"/>
      <c r="P249" s="1800"/>
      <c r="Q249" s="1799"/>
      <c r="R249" s="1835"/>
      <c r="S249" s="1800"/>
      <c r="T249" s="1800"/>
      <c r="U249" s="1800"/>
      <c r="V249" s="1918"/>
      <c r="W249" s="1918"/>
      <c r="X249" s="1918"/>
      <c r="Y249" s="1837"/>
      <c r="Z249" s="1801"/>
      <c r="AA249" s="1801"/>
      <c r="AB249" s="1801"/>
      <c r="AC249" s="1801"/>
      <c r="AD249" s="1801"/>
      <c r="AE249" s="1801"/>
      <c r="AF249" s="1801"/>
      <c r="AG249" s="1801"/>
      <c r="AH249" s="1801"/>
      <c r="AI249" s="1801"/>
      <c r="AJ249" s="1801"/>
      <c r="AK249" s="1801"/>
      <c r="AL249" s="1801"/>
      <c r="AM249" s="1801"/>
      <c r="AN249" s="1801"/>
      <c r="AO249" s="1801"/>
      <c r="AP249" s="1801"/>
      <c r="AQ249" s="1801"/>
      <c r="AR249" s="1801"/>
      <c r="AS249" s="1801"/>
      <c r="AT249" s="1801"/>
      <c r="AU249" s="1801"/>
      <c r="AV249" s="1801"/>
      <c r="AW249" s="1801"/>
      <c r="AX249" s="1801"/>
      <c r="AY249" s="1801"/>
      <c r="AZ249" s="1801"/>
      <c r="BA249" s="1801"/>
      <c r="BB249" s="1801"/>
      <c r="BC249" s="1801"/>
      <c r="BD249" s="1801"/>
      <c r="BE249" s="1801"/>
      <c r="BF249" s="1801"/>
      <c r="BG249" s="1801"/>
      <c r="BH249" s="1801"/>
      <c r="BI249" s="1801"/>
      <c r="BJ249" s="1801"/>
      <c r="BK249" s="1801"/>
      <c r="BL249" s="1801"/>
      <c r="BM249" s="1849"/>
      <c r="BN249" s="1849"/>
      <c r="BO249" s="1849"/>
      <c r="BP249" s="1839"/>
      <c r="BQ249" s="1840"/>
    </row>
    <row r="250" spans="1:171" ht="66" customHeight="1" x14ac:dyDescent="0.2">
      <c r="A250" s="1970"/>
      <c r="B250" s="1971"/>
      <c r="C250" s="1972"/>
      <c r="D250" s="1973"/>
      <c r="E250" s="1973"/>
      <c r="F250" s="1972"/>
      <c r="G250" s="1974"/>
      <c r="H250" s="1974"/>
      <c r="I250" s="1975"/>
      <c r="J250" s="4122">
        <v>169</v>
      </c>
      <c r="K250" s="4135" t="s">
        <v>1833</v>
      </c>
      <c r="L250" s="4135" t="s">
        <v>1834</v>
      </c>
      <c r="M250" s="4122">
        <v>12</v>
      </c>
      <c r="N250" s="4122" t="s">
        <v>1835</v>
      </c>
      <c r="O250" s="4122">
        <v>155</v>
      </c>
      <c r="P250" s="4135" t="s">
        <v>1836</v>
      </c>
      <c r="Q250" s="4132">
        <v>1</v>
      </c>
      <c r="R250" s="4134">
        <f>SUM(V250+V251+V252)</f>
        <v>32318000</v>
      </c>
      <c r="S250" s="4135" t="s">
        <v>1837</v>
      </c>
      <c r="T250" s="1948" t="s">
        <v>1838</v>
      </c>
      <c r="U250" s="1976" t="s">
        <v>1839</v>
      </c>
      <c r="V250" s="1625">
        <v>10772666</v>
      </c>
      <c r="W250" s="1625">
        <v>854666</v>
      </c>
      <c r="X250" s="1625">
        <v>200000</v>
      </c>
      <c r="Y250" s="1816">
        <v>20</v>
      </c>
      <c r="Z250" s="1927" t="s">
        <v>70</v>
      </c>
      <c r="AA250" s="4122">
        <v>292684</v>
      </c>
      <c r="AB250" s="4122">
        <f>SUM(AA250*0.17)</f>
        <v>49756.280000000006</v>
      </c>
      <c r="AC250" s="4122">
        <v>282326</v>
      </c>
      <c r="AD250" s="4122">
        <f>SUM(AC250*0.17)</f>
        <v>47995.420000000006</v>
      </c>
      <c r="AE250" s="4122">
        <v>135912</v>
      </c>
      <c r="AF250" s="4122">
        <f>SUM(AE250*0.17)</f>
        <v>23105.040000000001</v>
      </c>
      <c r="AG250" s="4122">
        <v>45122</v>
      </c>
      <c r="AH250" s="4122">
        <f>SUM(AG250*0.17)</f>
        <v>7670.7400000000007</v>
      </c>
      <c r="AI250" s="4122">
        <f>SUM(AI243)</f>
        <v>365607</v>
      </c>
      <c r="AJ250" s="4122">
        <f>SUM(AI250*0.17)</f>
        <v>62153.19</v>
      </c>
      <c r="AK250" s="4122">
        <v>86875</v>
      </c>
      <c r="AL250" s="4122">
        <f>SUM(AK250*0.17)</f>
        <v>14768.750000000002</v>
      </c>
      <c r="AM250" s="4122">
        <v>2145</v>
      </c>
      <c r="AN250" s="4122">
        <f>SUM(AM250*0.17)</f>
        <v>364.65000000000003</v>
      </c>
      <c r="AO250" s="4122">
        <v>12718</v>
      </c>
      <c r="AP250" s="4122">
        <f>SUM(AO250*0.17)</f>
        <v>2162.06</v>
      </c>
      <c r="AQ250" s="4122">
        <v>26</v>
      </c>
      <c r="AR250" s="4122">
        <f>SUM(AQ250*0.17)</f>
        <v>4.42</v>
      </c>
      <c r="AS250" s="4122">
        <v>37</v>
      </c>
      <c r="AT250" s="4122">
        <f>SUM(AS250*0.17)</f>
        <v>6.29</v>
      </c>
      <c r="AU250" s="4122" t="s">
        <v>1164</v>
      </c>
      <c r="AV250" s="4122" t="s">
        <v>1164</v>
      </c>
      <c r="AW250" s="4122" t="s">
        <v>1164</v>
      </c>
      <c r="AX250" s="4122" t="s">
        <v>1164</v>
      </c>
      <c r="AY250" s="4122">
        <v>53164</v>
      </c>
      <c r="AZ250" s="4122">
        <f>SUM(AY250*0.17)</f>
        <v>9037.880000000001</v>
      </c>
      <c r="BA250" s="4122">
        <v>16982</v>
      </c>
      <c r="BB250" s="4122">
        <f>SUM(BA250*0.17)</f>
        <v>2886.94</v>
      </c>
      <c r="BC250" s="4122">
        <v>60013</v>
      </c>
      <c r="BD250" s="4122">
        <f>SUM(BC250*0.17)</f>
        <v>10202.210000000001</v>
      </c>
      <c r="BE250" s="4122">
        <v>575010</v>
      </c>
      <c r="BF250" s="4122">
        <f>SUM(BE250*0.17)</f>
        <v>97751.700000000012</v>
      </c>
      <c r="BG250" s="4122">
        <v>2</v>
      </c>
      <c r="BH250" s="4130">
        <f>SUM(W250:W252)</f>
        <v>22400000</v>
      </c>
      <c r="BI250" s="4130">
        <f>SUM(X250:X252)</f>
        <v>5600000</v>
      </c>
      <c r="BJ250" s="4131">
        <f>SUM(BI250/R250)</f>
        <v>0.17327804938424407</v>
      </c>
      <c r="BK250" s="4122">
        <v>20</v>
      </c>
      <c r="BL250" s="4122" t="s">
        <v>1800</v>
      </c>
      <c r="BM250" s="4124">
        <v>43467</v>
      </c>
      <c r="BN250" s="4124">
        <v>44196</v>
      </c>
      <c r="BO250" s="4124">
        <v>43830</v>
      </c>
      <c r="BP250" s="4126">
        <v>44196</v>
      </c>
      <c r="BQ250" s="4167" t="s">
        <v>1432</v>
      </c>
    </row>
    <row r="251" spans="1:171" ht="66" customHeight="1" x14ac:dyDescent="0.2">
      <c r="A251" s="1970"/>
      <c r="B251" s="1971"/>
      <c r="C251" s="1972"/>
      <c r="D251" s="1973"/>
      <c r="E251" s="1973"/>
      <c r="F251" s="1972"/>
      <c r="G251" s="1973"/>
      <c r="H251" s="1973"/>
      <c r="I251" s="1972"/>
      <c r="J251" s="4123"/>
      <c r="K251" s="4136"/>
      <c r="L251" s="4136"/>
      <c r="M251" s="4123"/>
      <c r="N251" s="4123"/>
      <c r="O251" s="4123"/>
      <c r="P251" s="4136"/>
      <c r="Q251" s="4133"/>
      <c r="R251" s="2908"/>
      <c r="S251" s="4136"/>
      <c r="T251" s="1948" t="s">
        <v>1840</v>
      </c>
      <c r="U251" s="1976" t="s">
        <v>1841</v>
      </c>
      <c r="V251" s="1625">
        <v>10772667</v>
      </c>
      <c r="W251" s="1625">
        <v>10772667</v>
      </c>
      <c r="X251" s="1625">
        <v>2700000</v>
      </c>
      <c r="Y251" s="1816">
        <v>20</v>
      </c>
      <c r="Z251" s="1927" t="s">
        <v>70</v>
      </c>
      <c r="AA251" s="4123"/>
      <c r="AB251" s="4123"/>
      <c r="AC251" s="4123"/>
      <c r="AD251" s="4123"/>
      <c r="AE251" s="4123"/>
      <c r="AF251" s="4123"/>
      <c r="AG251" s="4123"/>
      <c r="AH251" s="4123"/>
      <c r="AI251" s="4123"/>
      <c r="AJ251" s="4123"/>
      <c r="AK251" s="4123"/>
      <c r="AL251" s="4123"/>
      <c r="AM251" s="4123"/>
      <c r="AN251" s="4123"/>
      <c r="AO251" s="4123"/>
      <c r="AP251" s="4123"/>
      <c r="AQ251" s="4123"/>
      <c r="AR251" s="4123"/>
      <c r="AS251" s="4123"/>
      <c r="AT251" s="4123"/>
      <c r="AU251" s="4123"/>
      <c r="AV251" s="4123"/>
      <c r="AW251" s="4123"/>
      <c r="AX251" s="4123"/>
      <c r="AY251" s="4123"/>
      <c r="AZ251" s="4123"/>
      <c r="BA251" s="4123"/>
      <c r="BB251" s="4123"/>
      <c r="BC251" s="4123"/>
      <c r="BD251" s="4123"/>
      <c r="BE251" s="4123"/>
      <c r="BF251" s="4123"/>
      <c r="BG251" s="4123"/>
      <c r="BH251" s="4123"/>
      <c r="BI251" s="4123"/>
      <c r="BJ251" s="2852"/>
      <c r="BK251" s="4123"/>
      <c r="BL251" s="4123"/>
      <c r="BM251" s="4125"/>
      <c r="BN251" s="4125"/>
      <c r="BO251" s="4125"/>
      <c r="BP251" s="4127"/>
      <c r="BQ251" s="4168"/>
    </row>
    <row r="252" spans="1:171" ht="66" customHeight="1" x14ac:dyDescent="0.2">
      <c r="A252" s="1809"/>
      <c r="B252" s="1810"/>
      <c r="C252" s="1811"/>
      <c r="D252" s="1812"/>
      <c r="E252" s="1812"/>
      <c r="F252" s="1811"/>
      <c r="G252" s="1817"/>
      <c r="H252" s="1817"/>
      <c r="I252" s="1818"/>
      <c r="J252" s="4171"/>
      <c r="K252" s="4137"/>
      <c r="L252" s="4137"/>
      <c r="M252" s="4171"/>
      <c r="N252" s="4171"/>
      <c r="O252" s="4171"/>
      <c r="P252" s="4137"/>
      <c r="Q252" s="4175"/>
      <c r="R252" s="2909"/>
      <c r="S252" s="4137"/>
      <c r="T252" s="1948" t="s">
        <v>1842</v>
      </c>
      <c r="U252" s="1977" t="s">
        <v>1843</v>
      </c>
      <c r="V252" s="1625">
        <v>10772667</v>
      </c>
      <c r="W252" s="1625">
        <v>10772667</v>
      </c>
      <c r="X252" s="1625">
        <v>2700000</v>
      </c>
      <c r="Y252" s="1816">
        <v>20</v>
      </c>
      <c r="Z252" s="1927" t="s">
        <v>70</v>
      </c>
      <c r="AA252" s="4171"/>
      <c r="AB252" s="4171"/>
      <c r="AC252" s="4171"/>
      <c r="AD252" s="4171"/>
      <c r="AE252" s="4171"/>
      <c r="AF252" s="4171"/>
      <c r="AG252" s="4171"/>
      <c r="AH252" s="4171"/>
      <c r="AI252" s="4171"/>
      <c r="AJ252" s="4171"/>
      <c r="AK252" s="4171"/>
      <c r="AL252" s="4171"/>
      <c r="AM252" s="4171"/>
      <c r="AN252" s="4171"/>
      <c r="AO252" s="4171"/>
      <c r="AP252" s="4171"/>
      <c r="AQ252" s="4171"/>
      <c r="AR252" s="4171"/>
      <c r="AS252" s="4171"/>
      <c r="AT252" s="4171"/>
      <c r="AU252" s="4171"/>
      <c r="AV252" s="4171"/>
      <c r="AW252" s="4171"/>
      <c r="AX252" s="4171"/>
      <c r="AY252" s="4171"/>
      <c r="AZ252" s="4171"/>
      <c r="BA252" s="4171"/>
      <c r="BB252" s="4171"/>
      <c r="BC252" s="4171"/>
      <c r="BD252" s="4171"/>
      <c r="BE252" s="4171"/>
      <c r="BF252" s="4171"/>
      <c r="BG252" s="4171"/>
      <c r="BH252" s="4171"/>
      <c r="BI252" s="4171"/>
      <c r="BJ252" s="2853"/>
      <c r="BK252" s="4171"/>
      <c r="BL252" s="4171"/>
      <c r="BM252" s="4165"/>
      <c r="BN252" s="4165"/>
      <c r="BO252" s="4165"/>
      <c r="BP252" s="4166"/>
      <c r="BQ252" s="4169"/>
    </row>
    <row r="253" spans="1:171" ht="15" x14ac:dyDescent="0.2">
      <c r="A253" s="1793"/>
      <c r="B253" s="1794"/>
      <c r="C253" s="1795"/>
      <c r="D253" s="1848"/>
      <c r="E253" s="1848"/>
      <c r="F253" s="1795"/>
      <c r="G253" s="1834">
        <v>52</v>
      </c>
      <c r="H253" s="1799" t="s">
        <v>1844</v>
      </c>
      <c r="I253" s="1799"/>
      <c r="J253" s="1799"/>
      <c r="K253" s="1800"/>
      <c r="L253" s="1800"/>
      <c r="M253" s="1799"/>
      <c r="N253" s="1801"/>
      <c r="O253" s="1799"/>
      <c r="P253" s="1800"/>
      <c r="Q253" s="1799"/>
      <c r="R253" s="1835"/>
      <c r="S253" s="1800"/>
      <c r="T253" s="1800"/>
      <c r="U253" s="1800"/>
      <c r="V253" s="1836"/>
      <c r="W253" s="1836"/>
      <c r="X253" s="1836"/>
      <c r="Y253" s="1837"/>
      <c r="Z253" s="1801"/>
      <c r="AA253" s="1801"/>
      <c r="AB253" s="1801"/>
      <c r="AC253" s="1801"/>
      <c r="AD253" s="1801"/>
      <c r="AE253" s="1801"/>
      <c r="AF253" s="1801"/>
      <c r="AG253" s="1801"/>
      <c r="AH253" s="1801"/>
      <c r="AI253" s="1801"/>
      <c r="AJ253" s="1801"/>
      <c r="AK253" s="1801"/>
      <c r="AL253" s="1801"/>
      <c r="AM253" s="1801"/>
      <c r="AN253" s="1801"/>
      <c r="AO253" s="1801"/>
      <c r="AP253" s="1801"/>
      <c r="AQ253" s="1801"/>
      <c r="AR253" s="1801"/>
      <c r="AS253" s="1801"/>
      <c r="AT253" s="1801"/>
      <c r="AU253" s="1801"/>
      <c r="AV253" s="1801"/>
      <c r="AW253" s="1801"/>
      <c r="AX253" s="1801"/>
      <c r="AY253" s="1801"/>
      <c r="AZ253" s="1801"/>
      <c r="BA253" s="1801"/>
      <c r="BB253" s="1801"/>
      <c r="BC253" s="1801"/>
      <c r="BD253" s="1801"/>
      <c r="BE253" s="1801"/>
      <c r="BF253" s="1801"/>
      <c r="BG253" s="1801"/>
      <c r="BH253" s="1801"/>
      <c r="BI253" s="1801"/>
      <c r="BJ253" s="1801"/>
      <c r="BK253" s="1801"/>
      <c r="BL253" s="1801"/>
      <c r="BM253" s="1849"/>
      <c r="BN253" s="1849"/>
      <c r="BO253" s="1849"/>
      <c r="BP253" s="1839"/>
      <c r="BQ253" s="1840"/>
    </row>
    <row r="254" spans="1:171" ht="31.5" customHeight="1" x14ac:dyDescent="0.2">
      <c r="A254" s="1869"/>
      <c r="B254" s="1870"/>
      <c r="C254" s="1871"/>
      <c r="D254" s="1872"/>
      <c r="E254" s="1872"/>
      <c r="F254" s="1871"/>
      <c r="G254" s="1872"/>
      <c r="H254" s="1872"/>
      <c r="I254" s="1871"/>
      <c r="J254" s="4153">
        <v>172</v>
      </c>
      <c r="K254" s="4135" t="s">
        <v>1845</v>
      </c>
      <c r="L254" s="4135" t="s">
        <v>1846</v>
      </c>
      <c r="M254" s="4122">
        <v>12</v>
      </c>
      <c r="N254" s="4122" t="s">
        <v>1847</v>
      </c>
      <c r="O254" s="4122">
        <v>157</v>
      </c>
      <c r="P254" s="4135" t="s">
        <v>1848</v>
      </c>
      <c r="Q254" s="4132">
        <f>+SUM(V254:V259)/R254</f>
        <v>1</v>
      </c>
      <c r="R254" s="4134">
        <f>SUM(V254:V259)</f>
        <v>300000000</v>
      </c>
      <c r="S254" s="4135" t="s">
        <v>1849</v>
      </c>
      <c r="T254" s="4172" t="s">
        <v>1850</v>
      </c>
      <c r="U254" s="1977" t="s">
        <v>1851</v>
      </c>
      <c r="V254" s="1625">
        <v>161558359</v>
      </c>
      <c r="W254" s="1625">
        <v>30562670</v>
      </c>
      <c r="X254" s="1625">
        <v>25855000</v>
      </c>
      <c r="Y254" s="1816">
        <v>20</v>
      </c>
      <c r="Z254" s="1927" t="s">
        <v>70</v>
      </c>
      <c r="AA254" s="4122">
        <v>292684</v>
      </c>
      <c r="AB254" s="4122">
        <f>SUM(AA254*0.14)</f>
        <v>40975.760000000002</v>
      </c>
      <c r="AC254" s="4122">
        <v>282326</v>
      </c>
      <c r="AD254" s="4122">
        <f>SUM(AC254*0.14)</f>
        <v>39525.640000000007</v>
      </c>
      <c r="AE254" s="4122">
        <v>135912</v>
      </c>
      <c r="AF254" s="4122">
        <f>SUM(AE254*0.14)</f>
        <v>19027.68</v>
      </c>
      <c r="AG254" s="4122">
        <v>45122</v>
      </c>
      <c r="AH254" s="4122">
        <f>SUM(AG254*0.14)</f>
        <v>6317.0800000000008</v>
      </c>
      <c r="AI254" s="4122">
        <v>365607</v>
      </c>
      <c r="AJ254" s="4122">
        <f>SUM(AI254*0.14)</f>
        <v>51184.98</v>
      </c>
      <c r="AK254" s="4122">
        <v>86875</v>
      </c>
      <c r="AL254" s="4122">
        <f>SUM(AK254*0.14)</f>
        <v>12162.500000000002</v>
      </c>
      <c r="AM254" s="4122">
        <v>2145</v>
      </c>
      <c r="AN254" s="4122">
        <f>SUM(AM254*0.14)</f>
        <v>300.3</v>
      </c>
      <c r="AO254" s="4122">
        <v>12718</v>
      </c>
      <c r="AP254" s="4122">
        <f>SUM(AO254*0.14)</f>
        <v>1780.5200000000002</v>
      </c>
      <c r="AQ254" s="4122">
        <v>26</v>
      </c>
      <c r="AR254" s="4122">
        <f>SUM(AQ254*0.14)</f>
        <v>3.6400000000000006</v>
      </c>
      <c r="AS254" s="4122">
        <v>37</v>
      </c>
      <c r="AT254" s="4122">
        <f>SUM(AS254*0.14)</f>
        <v>5.1800000000000006</v>
      </c>
      <c r="AU254" s="4122" t="s">
        <v>1164</v>
      </c>
      <c r="AV254" s="4122" t="s">
        <v>1164</v>
      </c>
      <c r="AW254" s="4122" t="s">
        <v>1164</v>
      </c>
      <c r="AX254" s="4122" t="s">
        <v>1164</v>
      </c>
      <c r="AY254" s="4122">
        <v>53164</v>
      </c>
      <c r="AZ254" s="4122">
        <f>SUM(AY254*0.14)</f>
        <v>7442.9600000000009</v>
      </c>
      <c r="BA254" s="4122">
        <v>16982</v>
      </c>
      <c r="BB254" s="4122">
        <f>SUM(BA254*0.14)</f>
        <v>2377.48</v>
      </c>
      <c r="BC254" s="4122">
        <v>60013</v>
      </c>
      <c r="BD254" s="4122">
        <f>SUM(BC254*0.14)</f>
        <v>8401.8200000000015</v>
      </c>
      <c r="BE254" s="4122">
        <v>575010</v>
      </c>
      <c r="BF254" s="4122">
        <f>SUM(BE254*0.14)</f>
        <v>80501.400000000009</v>
      </c>
      <c r="BG254" s="4122">
        <v>9</v>
      </c>
      <c r="BH254" s="4130">
        <f>SUM(W254:W259)</f>
        <v>76394666</v>
      </c>
      <c r="BI254" s="4130">
        <f>SUM(X254:X259)</f>
        <v>40855000</v>
      </c>
      <c r="BJ254" s="4131">
        <f>SUM(BI254/R254)</f>
        <v>0.13618333333333332</v>
      </c>
      <c r="BK254" s="4122">
        <v>20</v>
      </c>
      <c r="BL254" s="4122" t="s">
        <v>1800</v>
      </c>
      <c r="BM254" s="4124">
        <v>43467</v>
      </c>
      <c r="BN254" s="4124">
        <v>44196</v>
      </c>
      <c r="BO254" s="4124">
        <v>43830</v>
      </c>
      <c r="BP254" s="4126">
        <v>44196</v>
      </c>
      <c r="BQ254" s="4167" t="s">
        <v>1432</v>
      </c>
    </row>
    <row r="255" spans="1:171" ht="31.5" customHeight="1" x14ac:dyDescent="0.2">
      <c r="A255" s="1869"/>
      <c r="B255" s="1870"/>
      <c r="C255" s="1871"/>
      <c r="D255" s="1872"/>
      <c r="E255" s="1872"/>
      <c r="F255" s="1871"/>
      <c r="G255" s="1872"/>
      <c r="H255" s="1872"/>
      <c r="I255" s="1871"/>
      <c r="J255" s="4154"/>
      <c r="K255" s="4136"/>
      <c r="L255" s="4136"/>
      <c r="M255" s="4123"/>
      <c r="N255" s="4123"/>
      <c r="O255" s="4123"/>
      <c r="P255" s="4136"/>
      <c r="Q255" s="4133"/>
      <c r="R255" s="2908"/>
      <c r="S255" s="4136"/>
      <c r="T255" s="4173"/>
      <c r="U255" s="1977" t="s">
        <v>1852</v>
      </c>
      <c r="V255" s="1625">
        <v>40000000</v>
      </c>
      <c r="W255" s="1625">
        <v>12281332</v>
      </c>
      <c r="X255" s="1625">
        <v>4000000</v>
      </c>
      <c r="Y255" s="1816">
        <v>20</v>
      </c>
      <c r="Z255" s="1927" t="s">
        <v>70</v>
      </c>
      <c r="AA255" s="4123"/>
      <c r="AB255" s="4123"/>
      <c r="AC255" s="4123"/>
      <c r="AD255" s="4123"/>
      <c r="AE255" s="4123"/>
      <c r="AF255" s="4123"/>
      <c r="AG255" s="4123"/>
      <c r="AH255" s="4123"/>
      <c r="AI255" s="4123"/>
      <c r="AJ255" s="4123"/>
      <c r="AK255" s="4123"/>
      <c r="AL255" s="4123"/>
      <c r="AM255" s="4123"/>
      <c r="AN255" s="4123"/>
      <c r="AO255" s="4123"/>
      <c r="AP255" s="4123"/>
      <c r="AQ255" s="4123"/>
      <c r="AR255" s="4123"/>
      <c r="AS255" s="4123"/>
      <c r="AT255" s="4123"/>
      <c r="AU255" s="4123"/>
      <c r="AV255" s="4123"/>
      <c r="AW255" s="4123"/>
      <c r="AX255" s="4123"/>
      <c r="AY255" s="4123"/>
      <c r="AZ255" s="4123"/>
      <c r="BA255" s="4123"/>
      <c r="BB255" s="4123"/>
      <c r="BC255" s="4123"/>
      <c r="BD255" s="4123"/>
      <c r="BE255" s="4123"/>
      <c r="BF255" s="4123"/>
      <c r="BG255" s="4123"/>
      <c r="BH255" s="4123"/>
      <c r="BI255" s="4123"/>
      <c r="BJ255" s="2852"/>
      <c r="BK255" s="4123"/>
      <c r="BL255" s="4123"/>
      <c r="BM255" s="4125"/>
      <c r="BN255" s="4125"/>
      <c r="BO255" s="4125"/>
      <c r="BP255" s="4127"/>
      <c r="BQ255" s="4168"/>
    </row>
    <row r="256" spans="1:171" ht="31.5" customHeight="1" x14ac:dyDescent="0.2">
      <c r="A256" s="1869"/>
      <c r="B256" s="1870"/>
      <c r="C256" s="1871"/>
      <c r="D256" s="1872"/>
      <c r="E256" s="1872"/>
      <c r="F256" s="1871"/>
      <c r="G256" s="1872"/>
      <c r="H256" s="1872"/>
      <c r="I256" s="1871"/>
      <c r="J256" s="4154"/>
      <c r="K256" s="4136"/>
      <c r="L256" s="4136"/>
      <c r="M256" s="4123"/>
      <c r="N256" s="4123"/>
      <c r="O256" s="4123"/>
      <c r="P256" s="4136"/>
      <c r="Q256" s="4133"/>
      <c r="R256" s="2908"/>
      <c r="S256" s="4136"/>
      <c r="T256" s="4173"/>
      <c r="U256" s="1977" t="s">
        <v>1853</v>
      </c>
      <c r="V256" s="1625">
        <v>18441641</v>
      </c>
      <c r="W256" s="1625">
        <v>0</v>
      </c>
      <c r="X256" s="1625">
        <v>0</v>
      </c>
      <c r="Y256" s="1816">
        <v>20</v>
      </c>
      <c r="Z256" s="1927" t="s">
        <v>70</v>
      </c>
      <c r="AA256" s="4123"/>
      <c r="AB256" s="4123"/>
      <c r="AC256" s="4123"/>
      <c r="AD256" s="4123"/>
      <c r="AE256" s="4123"/>
      <c r="AF256" s="4123"/>
      <c r="AG256" s="4123"/>
      <c r="AH256" s="4123"/>
      <c r="AI256" s="4123"/>
      <c r="AJ256" s="4123"/>
      <c r="AK256" s="4123"/>
      <c r="AL256" s="4123"/>
      <c r="AM256" s="4123"/>
      <c r="AN256" s="4123"/>
      <c r="AO256" s="4123"/>
      <c r="AP256" s="4123"/>
      <c r="AQ256" s="4123"/>
      <c r="AR256" s="4123"/>
      <c r="AS256" s="4123"/>
      <c r="AT256" s="4123"/>
      <c r="AU256" s="4123"/>
      <c r="AV256" s="4123"/>
      <c r="AW256" s="4123"/>
      <c r="AX256" s="4123"/>
      <c r="AY256" s="4123"/>
      <c r="AZ256" s="4123"/>
      <c r="BA256" s="4123"/>
      <c r="BB256" s="4123"/>
      <c r="BC256" s="4123"/>
      <c r="BD256" s="4123"/>
      <c r="BE256" s="4123"/>
      <c r="BF256" s="4123"/>
      <c r="BG256" s="4123"/>
      <c r="BH256" s="4123"/>
      <c r="BI256" s="4123"/>
      <c r="BJ256" s="2852"/>
      <c r="BK256" s="4123"/>
      <c r="BL256" s="4123"/>
      <c r="BM256" s="4125"/>
      <c r="BN256" s="4125"/>
      <c r="BO256" s="4125"/>
      <c r="BP256" s="4127"/>
      <c r="BQ256" s="4168"/>
    </row>
    <row r="257" spans="1:69" ht="31.5" customHeight="1" x14ac:dyDescent="0.2">
      <c r="A257" s="1869"/>
      <c r="B257" s="1870"/>
      <c r="C257" s="1871"/>
      <c r="D257" s="1872"/>
      <c r="E257" s="1872"/>
      <c r="F257" s="1871"/>
      <c r="G257" s="1872"/>
      <c r="H257" s="1872"/>
      <c r="I257" s="1871"/>
      <c r="J257" s="4154"/>
      <c r="K257" s="4136"/>
      <c r="L257" s="4136"/>
      <c r="M257" s="4123"/>
      <c r="N257" s="4123"/>
      <c r="O257" s="4123"/>
      <c r="P257" s="4136"/>
      <c r="Q257" s="4133"/>
      <c r="R257" s="2908"/>
      <c r="S257" s="4136"/>
      <c r="T257" s="4173"/>
      <c r="U257" s="1977" t="s">
        <v>1854</v>
      </c>
      <c r="V257" s="1625">
        <v>30000000</v>
      </c>
      <c r="W257" s="1625">
        <v>20075332</v>
      </c>
      <c r="X257" s="1625">
        <v>7500000</v>
      </c>
      <c r="Y257" s="1816">
        <v>20</v>
      </c>
      <c r="Z257" s="1927" t="s">
        <v>70</v>
      </c>
      <c r="AA257" s="4123"/>
      <c r="AB257" s="4123"/>
      <c r="AC257" s="4123"/>
      <c r="AD257" s="4123"/>
      <c r="AE257" s="4123"/>
      <c r="AF257" s="4123"/>
      <c r="AG257" s="4123"/>
      <c r="AH257" s="4123"/>
      <c r="AI257" s="4123"/>
      <c r="AJ257" s="4123"/>
      <c r="AK257" s="4123"/>
      <c r="AL257" s="4123"/>
      <c r="AM257" s="4123"/>
      <c r="AN257" s="4123"/>
      <c r="AO257" s="4123"/>
      <c r="AP257" s="4123"/>
      <c r="AQ257" s="4123"/>
      <c r="AR257" s="4123"/>
      <c r="AS257" s="4123"/>
      <c r="AT257" s="4123"/>
      <c r="AU257" s="4123"/>
      <c r="AV257" s="4123"/>
      <c r="AW257" s="4123"/>
      <c r="AX257" s="4123"/>
      <c r="AY257" s="4123"/>
      <c r="AZ257" s="4123"/>
      <c r="BA257" s="4123"/>
      <c r="BB257" s="4123"/>
      <c r="BC257" s="4123"/>
      <c r="BD257" s="4123"/>
      <c r="BE257" s="4123"/>
      <c r="BF257" s="4123"/>
      <c r="BG257" s="4123"/>
      <c r="BH257" s="4123"/>
      <c r="BI257" s="4123"/>
      <c r="BJ257" s="2852"/>
      <c r="BK257" s="4123"/>
      <c r="BL257" s="4123"/>
      <c r="BM257" s="4125"/>
      <c r="BN257" s="4125"/>
      <c r="BO257" s="4125"/>
      <c r="BP257" s="4127"/>
      <c r="BQ257" s="4168"/>
    </row>
    <row r="258" spans="1:69" ht="31.5" customHeight="1" x14ac:dyDescent="0.2">
      <c r="A258" s="1869"/>
      <c r="B258" s="1870"/>
      <c r="C258" s="1871"/>
      <c r="D258" s="1872"/>
      <c r="E258" s="1872"/>
      <c r="F258" s="1871"/>
      <c r="G258" s="1872"/>
      <c r="H258" s="1872"/>
      <c r="I258" s="1871"/>
      <c r="J258" s="4154"/>
      <c r="K258" s="4136"/>
      <c r="L258" s="4136"/>
      <c r="M258" s="4123"/>
      <c r="N258" s="4123"/>
      <c r="O258" s="4123"/>
      <c r="P258" s="4136"/>
      <c r="Q258" s="4133"/>
      <c r="R258" s="2908"/>
      <c r="S258" s="4136"/>
      <c r="T258" s="4174"/>
      <c r="U258" s="1977" t="s">
        <v>1855</v>
      </c>
      <c r="V258" s="1625">
        <v>30000000</v>
      </c>
      <c r="W258" s="1625">
        <v>13475332</v>
      </c>
      <c r="X258" s="1625">
        <v>3500000</v>
      </c>
      <c r="Y258" s="1816">
        <v>20</v>
      </c>
      <c r="Z258" s="1927" t="s">
        <v>70</v>
      </c>
      <c r="AA258" s="4123"/>
      <c r="AB258" s="4123"/>
      <c r="AC258" s="4123"/>
      <c r="AD258" s="4123"/>
      <c r="AE258" s="4123"/>
      <c r="AF258" s="4123"/>
      <c r="AG258" s="4123"/>
      <c r="AH258" s="4123"/>
      <c r="AI258" s="4123"/>
      <c r="AJ258" s="4123"/>
      <c r="AK258" s="4123"/>
      <c r="AL258" s="4123"/>
      <c r="AM258" s="4123"/>
      <c r="AN258" s="4123"/>
      <c r="AO258" s="4123"/>
      <c r="AP258" s="4123"/>
      <c r="AQ258" s="4123"/>
      <c r="AR258" s="4123"/>
      <c r="AS258" s="4123"/>
      <c r="AT258" s="4123"/>
      <c r="AU258" s="4123"/>
      <c r="AV258" s="4123"/>
      <c r="AW258" s="4123"/>
      <c r="AX258" s="4123"/>
      <c r="AY258" s="4123"/>
      <c r="AZ258" s="4123"/>
      <c r="BA258" s="4123"/>
      <c r="BB258" s="4123"/>
      <c r="BC258" s="4123"/>
      <c r="BD258" s="4123"/>
      <c r="BE258" s="4123"/>
      <c r="BF258" s="4123"/>
      <c r="BG258" s="4123"/>
      <c r="BH258" s="4123"/>
      <c r="BI258" s="4123"/>
      <c r="BJ258" s="2852"/>
      <c r="BK258" s="4123"/>
      <c r="BL258" s="4123"/>
      <c r="BM258" s="4125"/>
      <c r="BN258" s="4125"/>
      <c r="BO258" s="4125"/>
      <c r="BP258" s="4127"/>
      <c r="BQ258" s="4168"/>
    </row>
    <row r="259" spans="1:69" ht="61.5" customHeight="1" x14ac:dyDescent="0.2">
      <c r="A259" s="1869"/>
      <c r="B259" s="1870"/>
      <c r="C259" s="1871"/>
      <c r="D259" s="1872"/>
      <c r="E259" s="1872"/>
      <c r="F259" s="1871"/>
      <c r="G259" s="1978"/>
      <c r="H259" s="1978"/>
      <c r="I259" s="1979"/>
      <c r="J259" s="4155"/>
      <c r="K259" s="4137"/>
      <c r="L259" s="4137"/>
      <c r="M259" s="4171"/>
      <c r="N259" s="4171"/>
      <c r="O259" s="4171"/>
      <c r="P259" s="4137"/>
      <c r="Q259" s="4175"/>
      <c r="R259" s="2909"/>
      <c r="S259" s="4137"/>
      <c r="T259" s="1980" t="s">
        <v>1856</v>
      </c>
      <c r="U259" s="1977" t="s">
        <v>1857</v>
      </c>
      <c r="V259" s="1625">
        <v>20000000</v>
      </c>
      <c r="W259" s="1625">
        <v>0</v>
      </c>
      <c r="X259" s="1625">
        <v>0</v>
      </c>
      <c r="Y259" s="1816">
        <v>20</v>
      </c>
      <c r="Z259" s="1927" t="s">
        <v>70</v>
      </c>
      <c r="AA259" s="4171"/>
      <c r="AB259" s="4171"/>
      <c r="AC259" s="4171"/>
      <c r="AD259" s="4171"/>
      <c r="AE259" s="4171"/>
      <c r="AF259" s="4171"/>
      <c r="AG259" s="4171"/>
      <c r="AH259" s="4171"/>
      <c r="AI259" s="4171"/>
      <c r="AJ259" s="4171"/>
      <c r="AK259" s="4171"/>
      <c r="AL259" s="4171"/>
      <c r="AM259" s="4171"/>
      <c r="AN259" s="4171"/>
      <c r="AO259" s="4171"/>
      <c r="AP259" s="4171"/>
      <c r="AQ259" s="4171"/>
      <c r="AR259" s="4171"/>
      <c r="AS259" s="4171"/>
      <c r="AT259" s="4171"/>
      <c r="AU259" s="4171"/>
      <c r="AV259" s="4171"/>
      <c r="AW259" s="4171"/>
      <c r="AX259" s="4171"/>
      <c r="AY259" s="4171"/>
      <c r="AZ259" s="4171"/>
      <c r="BA259" s="4171"/>
      <c r="BB259" s="4171"/>
      <c r="BC259" s="4171"/>
      <c r="BD259" s="4171"/>
      <c r="BE259" s="4171"/>
      <c r="BF259" s="4171"/>
      <c r="BG259" s="4171"/>
      <c r="BH259" s="4171"/>
      <c r="BI259" s="4171"/>
      <c r="BJ259" s="2853"/>
      <c r="BK259" s="4171"/>
      <c r="BL259" s="4171"/>
      <c r="BM259" s="4165"/>
      <c r="BN259" s="4165"/>
      <c r="BO259" s="4165"/>
      <c r="BP259" s="4166"/>
      <c r="BQ259" s="4169"/>
    </row>
    <row r="260" spans="1:69" ht="15" x14ac:dyDescent="0.2">
      <c r="A260" s="1793"/>
      <c r="B260" s="1794"/>
      <c r="C260" s="1795"/>
      <c r="D260" s="1848"/>
      <c r="E260" s="1848"/>
      <c r="F260" s="1795"/>
      <c r="G260" s="1834">
        <v>53</v>
      </c>
      <c r="H260" s="1799" t="s">
        <v>1858</v>
      </c>
      <c r="I260" s="1799"/>
      <c r="J260" s="1799"/>
      <c r="K260" s="1800"/>
      <c r="L260" s="1800"/>
      <c r="M260" s="1799"/>
      <c r="N260" s="1801"/>
      <c r="O260" s="1799"/>
      <c r="P260" s="1800"/>
      <c r="Q260" s="1799"/>
      <c r="R260" s="1835"/>
      <c r="S260" s="1800"/>
      <c r="T260" s="1800"/>
      <c r="U260" s="1800"/>
      <c r="V260" s="1836"/>
      <c r="W260" s="1836"/>
      <c r="X260" s="1836"/>
      <c r="Y260" s="1837"/>
      <c r="Z260" s="1801"/>
      <c r="AA260" s="1801"/>
      <c r="AB260" s="1801"/>
      <c r="AC260" s="1801"/>
      <c r="AD260" s="1801"/>
      <c r="AE260" s="1801"/>
      <c r="AF260" s="1801"/>
      <c r="AG260" s="1801"/>
      <c r="AH260" s="1801"/>
      <c r="AI260" s="1801"/>
      <c r="AJ260" s="1801"/>
      <c r="AK260" s="1801"/>
      <c r="AL260" s="1801"/>
      <c r="AM260" s="1801"/>
      <c r="AN260" s="1801"/>
      <c r="AO260" s="1801"/>
      <c r="AP260" s="1801"/>
      <c r="AQ260" s="1801"/>
      <c r="AR260" s="1801"/>
      <c r="AS260" s="1801"/>
      <c r="AT260" s="1801"/>
      <c r="AU260" s="1801"/>
      <c r="AV260" s="1801"/>
      <c r="AW260" s="1801"/>
      <c r="AX260" s="1801"/>
      <c r="AY260" s="1801"/>
      <c r="AZ260" s="1801"/>
      <c r="BA260" s="1801"/>
      <c r="BB260" s="1801"/>
      <c r="BC260" s="1801"/>
      <c r="BD260" s="1801"/>
      <c r="BE260" s="1801"/>
      <c r="BF260" s="1801"/>
      <c r="BG260" s="1801"/>
      <c r="BH260" s="1801"/>
      <c r="BI260" s="1801"/>
      <c r="BJ260" s="1801"/>
      <c r="BK260" s="1801"/>
      <c r="BL260" s="1801"/>
      <c r="BM260" s="1849"/>
      <c r="BN260" s="1849"/>
      <c r="BO260" s="1849"/>
      <c r="BP260" s="1839"/>
      <c r="BQ260" s="1840"/>
    </row>
    <row r="261" spans="1:69" ht="60" customHeight="1" x14ac:dyDescent="0.2">
      <c r="A261" s="1857"/>
      <c r="B261" s="1858"/>
      <c r="C261" s="1859"/>
      <c r="D261" s="1860"/>
      <c r="E261" s="1860"/>
      <c r="F261" s="1859"/>
      <c r="G261" s="1862"/>
      <c r="H261" s="1862"/>
      <c r="I261" s="1863"/>
      <c r="J261" s="4138">
        <v>173</v>
      </c>
      <c r="K261" s="4152" t="s">
        <v>1859</v>
      </c>
      <c r="L261" s="4152" t="s">
        <v>1860</v>
      </c>
      <c r="M261" s="4170">
        <v>7</v>
      </c>
      <c r="N261" s="4153" t="s">
        <v>1861</v>
      </c>
      <c r="O261" s="4153">
        <v>158</v>
      </c>
      <c r="P261" s="4147" t="s">
        <v>1862</v>
      </c>
      <c r="Q261" s="4150">
        <f>+SUM(V261:V267)/R261</f>
        <v>0.5</v>
      </c>
      <c r="R261" s="4162">
        <f>SUM(V261:V268)</f>
        <v>64636000</v>
      </c>
      <c r="S261" s="4147" t="s">
        <v>1863</v>
      </c>
      <c r="T261" s="4147" t="s">
        <v>1864</v>
      </c>
      <c r="U261" s="161" t="s">
        <v>1865</v>
      </c>
      <c r="V261" s="608">
        <v>4106000</v>
      </c>
      <c r="W261" s="608">
        <v>3094000</v>
      </c>
      <c r="X261" s="608">
        <v>800000</v>
      </c>
      <c r="Y261" s="1852">
        <v>20</v>
      </c>
      <c r="Z261" s="1875" t="s">
        <v>70</v>
      </c>
      <c r="AA261" s="4153">
        <v>292684</v>
      </c>
      <c r="AB261" s="4153">
        <f>SUM(AA261*0.11)</f>
        <v>32195.24</v>
      </c>
      <c r="AC261" s="4153">
        <v>282326</v>
      </c>
      <c r="AD261" s="4153">
        <f>SUM(AC261*0.11)</f>
        <v>31055.86</v>
      </c>
      <c r="AE261" s="4153">
        <v>135912</v>
      </c>
      <c r="AF261" s="4153">
        <f>SUM(AE261*0.11)</f>
        <v>14950.32</v>
      </c>
      <c r="AG261" s="4153">
        <v>45122</v>
      </c>
      <c r="AH261" s="4153">
        <f>SUM(AG261*0.11)</f>
        <v>4963.42</v>
      </c>
      <c r="AI261" s="4153">
        <f>AI254</f>
        <v>365607</v>
      </c>
      <c r="AJ261" s="4153">
        <f>SUM(AI261*0.11)</f>
        <v>40216.769999999997</v>
      </c>
      <c r="AK261" s="4153">
        <f>AK254</f>
        <v>86875</v>
      </c>
      <c r="AL261" s="4153">
        <f>SUM(AK261*0.11)</f>
        <v>9556.25</v>
      </c>
      <c r="AM261" s="4153">
        <v>2145</v>
      </c>
      <c r="AN261" s="4153">
        <f>SUM(AM261*0.11)</f>
        <v>235.95</v>
      </c>
      <c r="AO261" s="4153">
        <v>12718</v>
      </c>
      <c r="AP261" s="4153">
        <f>SUM(AO261*0.11)</f>
        <v>1398.98</v>
      </c>
      <c r="AQ261" s="4153">
        <v>26</v>
      </c>
      <c r="AR261" s="4153">
        <f>SUM(AQ261*0.11)</f>
        <v>2.86</v>
      </c>
      <c r="AS261" s="4153">
        <v>37</v>
      </c>
      <c r="AT261" s="4153">
        <f>SUM(AS261*0.11)</f>
        <v>4.07</v>
      </c>
      <c r="AU261" s="4153" t="s">
        <v>1164</v>
      </c>
      <c r="AV261" s="4153" t="s">
        <v>1164</v>
      </c>
      <c r="AW261" s="4153" t="s">
        <v>1164</v>
      </c>
      <c r="AX261" s="4153" t="s">
        <v>1164</v>
      </c>
      <c r="AY261" s="4153">
        <v>53164</v>
      </c>
      <c r="AZ261" s="4153">
        <f>SUM(AY261*0.11)</f>
        <v>5848.04</v>
      </c>
      <c r="BA261" s="4153">
        <v>16982</v>
      </c>
      <c r="BB261" s="4153">
        <f>SUM(BA261*0.11)</f>
        <v>1868.02</v>
      </c>
      <c r="BC261" s="4153">
        <v>60013</v>
      </c>
      <c r="BD261" s="4153">
        <f>SUM(BC261*0.11)</f>
        <v>6601.43</v>
      </c>
      <c r="BE261" s="4153">
        <v>575010</v>
      </c>
      <c r="BF261" s="4153">
        <f>SUM(BE261*0.11)</f>
        <v>63251.1</v>
      </c>
      <c r="BG261" s="4153">
        <v>3</v>
      </c>
      <c r="BH261" s="4159">
        <f>SUM(W261:W268)</f>
        <v>33760000</v>
      </c>
      <c r="BI261" s="4159">
        <f>SUM(X261:X268)</f>
        <v>7040000</v>
      </c>
      <c r="BJ261" s="4160">
        <f>SUM(BI261/R261)</f>
        <v>0.10891763104152484</v>
      </c>
      <c r="BK261" s="4153">
        <v>20</v>
      </c>
      <c r="BL261" s="4153" t="s">
        <v>1800</v>
      </c>
      <c r="BM261" s="4156">
        <v>43467</v>
      </c>
      <c r="BN261" s="4156">
        <v>44196</v>
      </c>
      <c r="BO261" s="4156">
        <v>43830</v>
      </c>
      <c r="BP261" s="4140">
        <v>44196</v>
      </c>
      <c r="BQ261" s="4143" t="s">
        <v>1432</v>
      </c>
    </row>
    <row r="262" spans="1:69" ht="60" customHeight="1" x14ac:dyDescent="0.2">
      <c r="A262" s="1857"/>
      <c r="B262" s="1858"/>
      <c r="C262" s="1859"/>
      <c r="D262" s="1860"/>
      <c r="E262" s="1860"/>
      <c r="F262" s="1859"/>
      <c r="G262" s="1860"/>
      <c r="H262" s="1860"/>
      <c r="I262" s="1859"/>
      <c r="J262" s="4138"/>
      <c r="K262" s="4152"/>
      <c r="L262" s="4152"/>
      <c r="M262" s="4170"/>
      <c r="N262" s="4154"/>
      <c r="O262" s="4154"/>
      <c r="P262" s="4148"/>
      <c r="Q262" s="4150"/>
      <c r="R262" s="4163"/>
      <c r="S262" s="4148"/>
      <c r="T262" s="4148"/>
      <c r="U262" s="161" t="s">
        <v>1866</v>
      </c>
      <c r="V262" s="608">
        <v>4106000</v>
      </c>
      <c r="W262" s="608">
        <v>4106000</v>
      </c>
      <c r="X262" s="608">
        <v>1000000</v>
      </c>
      <c r="Y262" s="1852">
        <v>20</v>
      </c>
      <c r="Z262" s="1875" t="s">
        <v>70</v>
      </c>
      <c r="AA262" s="4154"/>
      <c r="AB262" s="4154"/>
      <c r="AC262" s="4154"/>
      <c r="AD262" s="4154"/>
      <c r="AE262" s="4154"/>
      <c r="AF262" s="4154"/>
      <c r="AG262" s="4154"/>
      <c r="AH262" s="4154"/>
      <c r="AI262" s="4154"/>
      <c r="AJ262" s="4154"/>
      <c r="AK262" s="4154"/>
      <c r="AL262" s="4154"/>
      <c r="AM262" s="4154"/>
      <c r="AN262" s="4154"/>
      <c r="AO262" s="4154"/>
      <c r="AP262" s="4154"/>
      <c r="AQ262" s="4154"/>
      <c r="AR262" s="4154"/>
      <c r="AS262" s="4154"/>
      <c r="AT262" s="4154"/>
      <c r="AU262" s="4154"/>
      <c r="AV262" s="4154"/>
      <c r="AW262" s="4154"/>
      <c r="AX262" s="4154"/>
      <c r="AY262" s="4154"/>
      <c r="AZ262" s="4154"/>
      <c r="BA262" s="4154"/>
      <c r="BB262" s="4154"/>
      <c r="BC262" s="4154"/>
      <c r="BD262" s="4154"/>
      <c r="BE262" s="4154"/>
      <c r="BF262" s="4154"/>
      <c r="BG262" s="4154"/>
      <c r="BH262" s="4154"/>
      <c r="BI262" s="4154"/>
      <c r="BJ262" s="2692"/>
      <c r="BK262" s="4154"/>
      <c r="BL262" s="4154"/>
      <c r="BM262" s="4157"/>
      <c r="BN262" s="4157"/>
      <c r="BO262" s="4157"/>
      <c r="BP262" s="4141"/>
      <c r="BQ262" s="4144"/>
    </row>
    <row r="263" spans="1:69" ht="60" customHeight="1" x14ac:dyDescent="0.2">
      <c r="A263" s="1857"/>
      <c r="B263" s="1858"/>
      <c r="C263" s="1859"/>
      <c r="D263" s="1860"/>
      <c r="E263" s="1860"/>
      <c r="F263" s="1859"/>
      <c r="G263" s="1860"/>
      <c r="H263" s="1860"/>
      <c r="I263" s="1859"/>
      <c r="J263" s="4138"/>
      <c r="K263" s="4152"/>
      <c r="L263" s="4152"/>
      <c r="M263" s="4170"/>
      <c r="N263" s="4154"/>
      <c r="O263" s="4154"/>
      <c r="P263" s="4148"/>
      <c r="Q263" s="4150"/>
      <c r="R263" s="4163"/>
      <c r="S263" s="4148"/>
      <c r="T263" s="4149"/>
      <c r="U263" s="161" t="s">
        <v>1867</v>
      </c>
      <c r="V263" s="608">
        <v>4106000</v>
      </c>
      <c r="W263" s="608">
        <v>0</v>
      </c>
      <c r="X263" s="608">
        <v>0</v>
      </c>
      <c r="Y263" s="1852">
        <v>20</v>
      </c>
      <c r="Z263" s="1875" t="s">
        <v>70</v>
      </c>
      <c r="AA263" s="4154"/>
      <c r="AB263" s="4154"/>
      <c r="AC263" s="4154"/>
      <c r="AD263" s="4154"/>
      <c r="AE263" s="4154"/>
      <c r="AF263" s="4154"/>
      <c r="AG263" s="4154"/>
      <c r="AH263" s="4154"/>
      <c r="AI263" s="4154"/>
      <c r="AJ263" s="4154"/>
      <c r="AK263" s="4154"/>
      <c r="AL263" s="4154"/>
      <c r="AM263" s="4154"/>
      <c r="AN263" s="4154"/>
      <c r="AO263" s="4154"/>
      <c r="AP263" s="4154"/>
      <c r="AQ263" s="4154"/>
      <c r="AR263" s="4154"/>
      <c r="AS263" s="4154"/>
      <c r="AT263" s="4154"/>
      <c r="AU263" s="4154"/>
      <c r="AV263" s="4154"/>
      <c r="AW263" s="4154"/>
      <c r="AX263" s="4154"/>
      <c r="AY263" s="4154"/>
      <c r="AZ263" s="4154"/>
      <c r="BA263" s="4154"/>
      <c r="BB263" s="4154"/>
      <c r="BC263" s="4154"/>
      <c r="BD263" s="4154"/>
      <c r="BE263" s="4154"/>
      <c r="BF263" s="4154"/>
      <c r="BG263" s="4154"/>
      <c r="BH263" s="4154"/>
      <c r="BI263" s="4154"/>
      <c r="BJ263" s="2692"/>
      <c r="BK263" s="4154"/>
      <c r="BL263" s="4154"/>
      <c r="BM263" s="4157"/>
      <c r="BN263" s="4157"/>
      <c r="BO263" s="4157"/>
      <c r="BP263" s="4141"/>
      <c r="BQ263" s="4144"/>
    </row>
    <row r="264" spans="1:69" ht="60" customHeight="1" x14ac:dyDescent="0.2">
      <c r="A264" s="1857"/>
      <c r="B264" s="1858"/>
      <c r="C264" s="1859"/>
      <c r="D264" s="1860"/>
      <c r="E264" s="1860"/>
      <c r="F264" s="1859"/>
      <c r="G264" s="1860"/>
      <c r="H264" s="1860"/>
      <c r="I264" s="1859"/>
      <c r="J264" s="4138"/>
      <c r="K264" s="4152"/>
      <c r="L264" s="4152"/>
      <c r="M264" s="4170"/>
      <c r="N264" s="4154"/>
      <c r="O264" s="4154"/>
      <c r="P264" s="4148"/>
      <c r="Q264" s="4150"/>
      <c r="R264" s="4163"/>
      <c r="S264" s="4148"/>
      <c r="T264" s="4147" t="s">
        <v>1868</v>
      </c>
      <c r="U264" s="161" t="s">
        <v>1869</v>
      </c>
      <c r="V264" s="608">
        <v>10000000</v>
      </c>
      <c r="W264" s="608">
        <v>0</v>
      </c>
      <c r="X264" s="608">
        <v>0</v>
      </c>
      <c r="Y264" s="1852">
        <v>20</v>
      </c>
      <c r="Z264" s="1875" t="s">
        <v>70</v>
      </c>
      <c r="AA264" s="4154"/>
      <c r="AB264" s="4154"/>
      <c r="AC264" s="4154"/>
      <c r="AD264" s="4154"/>
      <c r="AE264" s="4154"/>
      <c r="AF264" s="4154"/>
      <c r="AG264" s="4154"/>
      <c r="AH264" s="4154"/>
      <c r="AI264" s="4154"/>
      <c r="AJ264" s="4154"/>
      <c r="AK264" s="4154"/>
      <c r="AL264" s="4154"/>
      <c r="AM264" s="4154"/>
      <c r="AN264" s="4154"/>
      <c r="AO264" s="4154"/>
      <c r="AP264" s="4154"/>
      <c r="AQ264" s="4154"/>
      <c r="AR264" s="4154"/>
      <c r="AS264" s="4154"/>
      <c r="AT264" s="4154"/>
      <c r="AU264" s="4154"/>
      <c r="AV264" s="4154"/>
      <c r="AW264" s="4154"/>
      <c r="AX264" s="4154"/>
      <c r="AY264" s="4154"/>
      <c r="AZ264" s="4154"/>
      <c r="BA264" s="4154"/>
      <c r="BB264" s="4154"/>
      <c r="BC264" s="4154"/>
      <c r="BD264" s="4154"/>
      <c r="BE264" s="4154"/>
      <c r="BF264" s="4154"/>
      <c r="BG264" s="4154"/>
      <c r="BH264" s="4154"/>
      <c r="BI264" s="4154"/>
      <c r="BJ264" s="2692"/>
      <c r="BK264" s="4154"/>
      <c r="BL264" s="4154"/>
      <c r="BM264" s="4157"/>
      <c r="BN264" s="4157"/>
      <c r="BO264" s="4157"/>
      <c r="BP264" s="4141"/>
      <c r="BQ264" s="4144"/>
    </row>
    <row r="265" spans="1:69" ht="60" customHeight="1" x14ac:dyDescent="0.2">
      <c r="A265" s="1857"/>
      <c r="B265" s="1858"/>
      <c r="C265" s="1859"/>
      <c r="D265" s="1860"/>
      <c r="E265" s="1860"/>
      <c r="F265" s="1859"/>
      <c r="G265" s="1860"/>
      <c r="H265" s="1860"/>
      <c r="I265" s="1859"/>
      <c r="J265" s="4138"/>
      <c r="K265" s="4152"/>
      <c r="L265" s="4152"/>
      <c r="M265" s="4170"/>
      <c r="N265" s="4154"/>
      <c r="O265" s="4154"/>
      <c r="P265" s="4148"/>
      <c r="Q265" s="4150"/>
      <c r="R265" s="4163"/>
      <c r="S265" s="4148"/>
      <c r="T265" s="4148"/>
      <c r="U265" s="1929" t="s">
        <v>1870</v>
      </c>
      <c r="V265" s="608">
        <v>4000000</v>
      </c>
      <c r="W265" s="608">
        <v>0</v>
      </c>
      <c r="X265" s="608">
        <v>0</v>
      </c>
      <c r="Y265" s="1852">
        <v>20</v>
      </c>
      <c r="Z265" s="1875" t="s">
        <v>70</v>
      </c>
      <c r="AA265" s="4154"/>
      <c r="AB265" s="4154"/>
      <c r="AC265" s="4154"/>
      <c r="AD265" s="4154"/>
      <c r="AE265" s="4154"/>
      <c r="AF265" s="4154"/>
      <c r="AG265" s="4154"/>
      <c r="AH265" s="4154"/>
      <c r="AI265" s="4154"/>
      <c r="AJ265" s="4154"/>
      <c r="AK265" s="4154"/>
      <c r="AL265" s="4154"/>
      <c r="AM265" s="4154"/>
      <c r="AN265" s="4154"/>
      <c r="AO265" s="4154"/>
      <c r="AP265" s="4154"/>
      <c r="AQ265" s="4154"/>
      <c r="AR265" s="4154"/>
      <c r="AS265" s="4154"/>
      <c r="AT265" s="4154"/>
      <c r="AU265" s="4154"/>
      <c r="AV265" s="4154"/>
      <c r="AW265" s="4154"/>
      <c r="AX265" s="4154"/>
      <c r="AY265" s="4154"/>
      <c r="AZ265" s="4154"/>
      <c r="BA265" s="4154"/>
      <c r="BB265" s="4154"/>
      <c r="BC265" s="4154"/>
      <c r="BD265" s="4154"/>
      <c r="BE265" s="4154"/>
      <c r="BF265" s="4154"/>
      <c r="BG265" s="4154"/>
      <c r="BH265" s="4154"/>
      <c r="BI265" s="4154"/>
      <c r="BJ265" s="2692"/>
      <c r="BK265" s="4154"/>
      <c r="BL265" s="4154"/>
      <c r="BM265" s="4157"/>
      <c r="BN265" s="4157"/>
      <c r="BO265" s="4157"/>
      <c r="BP265" s="4141"/>
      <c r="BQ265" s="4144"/>
    </row>
    <row r="266" spans="1:69" ht="60" customHeight="1" x14ac:dyDescent="0.2">
      <c r="A266" s="1857"/>
      <c r="B266" s="1858"/>
      <c r="C266" s="1859"/>
      <c r="D266" s="1860"/>
      <c r="E266" s="1860"/>
      <c r="F266" s="1859"/>
      <c r="G266" s="1860"/>
      <c r="H266" s="1860"/>
      <c r="I266" s="1859"/>
      <c r="J266" s="4138"/>
      <c r="K266" s="4152"/>
      <c r="L266" s="4152"/>
      <c r="M266" s="4170"/>
      <c r="N266" s="4154"/>
      <c r="O266" s="4154"/>
      <c r="P266" s="4148"/>
      <c r="Q266" s="4150"/>
      <c r="R266" s="4163"/>
      <c r="S266" s="4148"/>
      <c r="T266" s="4148"/>
      <c r="U266" s="1929" t="s">
        <v>1871</v>
      </c>
      <c r="V266" s="608">
        <v>4000000</v>
      </c>
      <c r="W266" s="608">
        <v>4000000</v>
      </c>
      <c r="X266" s="608">
        <v>1000000</v>
      </c>
      <c r="Y266" s="1852">
        <v>20</v>
      </c>
      <c r="Z266" s="1875" t="s">
        <v>70</v>
      </c>
      <c r="AA266" s="4154"/>
      <c r="AB266" s="4154"/>
      <c r="AC266" s="4154"/>
      <c r="AD266" s="4154"/>
      <c r="AE266" s="4154"/>
      <c r="AF266" s="4154"/>
      <c r="AG266" s="4154"/>
      <c r="AH266" s="4154"/>
      <c r="AI266" s="4154"/>
      <c r="AJ266" s="4154"/>
      <c r="AK266" s="4154"/>
      <c r="AL266" s="4154"/>
      <c r="AM266" s="4154"/>
      <c r="AN266" s="4154"/>
      <c r="AO266" s="4154"/>
      <c r="AP266" s="4154"/>
      <c r="AQ266" s="4154"/>
      <c r="AR266" s="4154"/>
      <c r="AS266" s="4154"/>
      <c r="AT266" s="4154"/>
      <c r="AU266" s="4154"/>
      <c r="AV266" s="4154"/>
      <c r="AW266" s="4154"/>
      <c r="AX266" s="4154"/>
      <c r="AY266" s="4154"/>
      <c r="AZ266" s="4154"/>
      <c r="BA266" s="4154"/>
      <c r="BB266" s="4154"/>
      <c r="BC266" s="4154"/>
      <c r="BD266" s="4154"/>
      <c r="BE266" s="4154"/>
      <c r="BF266" s="4154"/>
      <c r="BG266" s="4154"/>
      <c r="BH266" s="4154"/>
      <c r="BI266" s="4154"/>
      <c r="BJ266" s="2692"/>
      <c r="BK266" s="4154"/>
      <c r="BL266" s="4154"/>
      <c r="BM266" s="4157"/>
      <c r="BN266" s="4157"/>
      <c r="BO266" s="4157"/>
      <c r="BP266" s="4141"/>
      <c r="BQ266" s="4144"/>
    </row>
    <row r="267" spans="1:69" ht="60" customHeight="1" x14ac:dyDescent="0.2">
      <c r="A267" s="1857"/>
      <c r="B267" s="1858"/>
      <c r="C267" s="1859"/>
      <c r="D267" s="1860"/>
      <c r="E267" s="1860"/>
      <c r="F267" s="1859"/>
      <c r="G267" s="1860"/>
      <c r="H267" s="1860"/>
      <c r="I267" s="1859"/>
      <c r="J267" s="4138"/>
      <c r="K267" s="4152"/>
      <c r="L267" s="4152"/>
      <c r="M267" s="4170"/>
      <c r="N267" s="4154"/>
      <c r="O267" s="4154"/>
      <c r="P267" s="4148"/>
      <c r="Q267" s="4150"/>
      <c r="R267" s="4163"/>
      <c r="S267" s="4148"/>
      <c r="T267" s="4149"/>
      <c r="U267" s="1929" t="s">
        <v>1872</v>
      </c>
      <c r="V267" s="608">
        <v>2000000</v>
      </c>
      <c r="W267" s="608">
        <v>0</v>
      </c>
      <c r="X267" s="608">
        <v>0</v>
      </c>
      <c r="Y267" s="1852">
        <v>20</v>
      </c>
      <c r="Z267" s="1875" t="s">
        <v>70</v>
      </c>
      <c r="AA267" s="4154"/>
      <c r="AB267" s="4154"/>
      <c r="AC267" s="4154"/>
      <c r="AD267" s="4154"/>
      <c r="AE267" s="4154"/>
      <c r="AF267" s="4154"/>
      <c r="AG267" s="4154"/>
      <c r="AH267" s="4154"/>
      <c r="AI267" s="4154"/>
      <c r="AJ267" s="4154"/>
      <c r="AK267" s="4154"/>
      <c r="AL267" s="4154"/>
      <c r="AM267" s="4154"/>
      <c r="AN267" s="4154"/>
      <c r="AO267" s="4154"/>
      <c r="AP267" s="4154"/>
      <c r="AQ267" s="4154"/>
      <c r="AR267" s="4154"/>
      <c r="AS267" s="4154"/>
      <c r="AT267" s="4154"/>
      <c r="AU267" s="4154"/>
      <c r="AV267" s="4154"/>
      <c r="AW267" s="4154"/>
      <c r="AX267" s="4154"/>
      <c r="AY267" s="4154"/>
      <c r="AZ267" s="4154"/>
      <c r="BA267" s="4154"/>
      <c r="BB267" s="4154"/>
      <c r="BC267" s="4154"/>
      <c r="BD267" s="4154"/>
      <c r="BE267" s="4154"/>
      <c r="BF267" s="4154"/>
      <c r="BG267" s="4154"/>
      <c r="BH267" s="4154"/>
      <c r="BI267" s="4154"/>
      <c r="BJ267" s="2692"/>
      <c r="BK267" s="4154"/>
      <c r="BL267" s="4154"/>
      <c r="BM267" s="4157"/>
      <c r="BN267" s="4157"/>
      <c r="BO267" s="4157"/>
      <c r="BP267" s="4141"/>
      <c r="BQ267" s="4144"/>
    </row>
    <row r="268" spans="1:69" ht="62.25" customHeight="1" x14ac:dyDescent="0.2">
      <c r="A268" s="1981"/>
      <c r="B268" s="1982"/>
      <c r="C268" s="1983"/>
      <c r="D268" s="1984"/>
      <c r="E268" s="1984"/>
      <c r="F268" s="1983"/>
      <c r="G268" s="1985"/>
      <c r="H268" s="1985"/>
      <c r="I268" s="1986"/>
      <c r="J268" s="1987">
        <v>174</v>
      </c>
      <c r="K268" s="1988" t="s">
        <v>1873</v>
      </c>
      <c r="L268" s="1988" t="s">
        <v>1874</v>
      </c>
      <c r="M268" s="1989">
        <v>150</v>
      </c>
      <c r="N268" s="4155"/>
      <c r="O268" s="4155"/>
      <c r="P268" s="4149"/>
      <c r="Q268" s="1990">
        <f>V268/R261</f>
        <v>0.5</v>
      </c>
      <c r="R268" s="4164"/>
      <c r="S268" s="4149"/>
      <c r="T268" s="1921" t="s">
        <v>1875</v>
      </c>
      <c r="U268" s="1922" t="s">
        <v>1876</v>
      </c>
      <c r="V268" s="608">
        <v>32318000</v>
      </c>
      <c r="W268" s="608">
        <v>22560000</v>
      </c>
      <c r="X268" s="608">
        <v>4240000</v>
      </c>
      <c r="Y268" s="1852">
        <v>20</v>
      </c>
      <c r="Z268" s="1875" t="s">
        <v>70</v>
      </c>
      <c r="AA268" s="4155"/>
      <c r="AB268" s="4155"/>
      <c r="AC268" s="4155"/>
      <c r="AD268" s="4155"/>
      <c r="AE268" s="4155"/>
      <c r="AF268" s="4155"/>
      <c r="AG268" s="4155"/>
      <c r="AH268" s="4155"/>
      <c r="AI268" s="4155"/>
      <c r="AJ268" s="4155"/>
      <c r="AK268" s="4155"/>
      <c r="AL268" s="4155"/>
      <c r="AM268" s="4155"/>
      <c r="AN268" s="4155"/>
      <c r="AO268" s="4155"/>
      <c r="AP268" s="4155"/>
      <c r="AQ268" s="4155"/>
      <c r="AR268" s="4155"/>
      <c r="AS268" s="4155"/>
      <c r="AT268" s="4155"/>
      <c r="AU268" s="4155"/>
      <c r="AV268" s="4155"/>
      <c r="AW268" s="4155"/>
      <c r="AX268" s="4155"/>
      <c r="AY268" s="4155"/>
      <c r="AZ268" s="4155"/>
      <c r="BA268" s="4155"/>
      <c r="BB268" s="4155"/>
      <c r="BC268" s="4155"/>
      <c r="BD268" s="4155"/>
      <c r="BE268" s="4155"/>
      <c r="BF268" s="4155"/>
      <c r="BG268" s="4155"/>
      <c r="BH268" s="4155"/>
      <c r="BI268" s="4155"/>
      <c r="BJ268" s="4161"/>
      <c r="BK268" s="4155"/>
      <c r="BL268" s="4155"/>
      <c r="BM268" s="4158"/>
      <c r="BN268" s="4158"/>
      <c r="BO268" s="4158"/>
      <c r="BP268" s="4142"/>
      <c r="BQ268" s="4145"/>
    </row>
    <row r="269" spans="1:69" ht="15" x14ac:dyDescent="0.2">
      <c r="A269" s="1793"/>
      <c r="B269" s="1794"/>
      <c r="C269" s="1795"/>
      <c r="D269" s="1848"/>
      <c r="E269" s="1848"/>
      <c r="F269" s="1795"/>
      <c r="G269" s="1955">
        <v>54</v>
      </c>
      <c r="H269" s="1956" t="s">
        <v>1877</v>
      </c>
      <c r="I269" s="1956"/>
      <c r="J269" s="1799"/>
      <c r="K269" s="1800"/>
      <c r="L269" s="1800"/>
      <c r="M269" s="1799"/>
      <c r="N269" s="1801"/>
      <c r="O269" s="1799"/>
      <c r="P269" s="1800"/>
      <c r="Q269" s="1799"/>
      <c r="R269" s="1835"/>
      <c r="S269" s="1800"/>
      <c r="T269" s="1800"/>
      <c r="U269" s="1800"/>
      <c r="V269" s="1836"/>
      <c r="W269" s="1836"/>
      <c r="X269" s="1836"/>
      <c r="Y269" s="1837"/>
      <c r="Z269" s="1801"/>
      <c r="AA269" s="1801"/>
      <c r="AB269" s="1801"/>
      <c r="AC269" s="1801"/>
      <c r="AD269" s="1801"/>
      <c r="AE269" s="1801"/>
      <c r="AF269" s="1801"/>
      <c r="AG269" s="1801"/>
      <c r="AH269" s="1801"/>
      <c r="AI269" s="1801"/>
      <c r="AJ269" s="1801"/>
      <c r="AK269" s="1801"/>
      <c r="AL269" s="1801"/>
      <c r="AM269" s="1801"/>
      <c r="AN269" s="1801"/>
      <c r="AO269" s="1801"/>
      <c r="AP269" s="1801"/>
      <c r="AQ269" s="1801"/>
      <c r="AR269" s="1801"/>
      <c r="AS269" s="1801"/>
      <c r="AT269" s="1801"/>
      <c r="AU269" s="1801"/>
      <c r="AV269" s="1801"/>
      <c r="AW269" s="1801"/>
      <c r="AX269" s="1801"/>
      <c r="AY269" s="1801"/>
      <c r="AZ269" s="1801"/>
      <c r="BA269" s="1801"/>
      <c r="BB269" s="1801"/>
      <c r="BC269" s="1801"/>
      <c r="BD269" s="1801"/>
      <c r="BE269" s="1801"/>
      <c r="BF269" s="1801"/>
      <c r="BG269" s="1801"/>
      <c r="BH269" s="1801"/>
      <c r="BI269" s="1801"/>
      <c r="BJ269" s="1801"/>
      <c r="BK269" s="1801"/>
      <c r="BL269" s="1801"/>
      <c r="BM269" s="1849"/>
      <c r="BN269" s="1849"/>
      <c r="BO269" s="1849"/>
      <c r="BP269" s="1839"/>
      <c r="BQ269" s="1840"/>
    </row>
    <row r="270" spans="1:69" ht="43.5" customHeight="1" x14ac:dyDescent="0.2">
      <c r="A270" s="1857"/>
      <c r="B270" s="1858"/>
      <c r="C270" s="1859"/>
      <c r="D270" s="1860"/>
      <c r="E270" s="1860"/>
      <c r="F270" s="1860"/>
      <c r="G270" s="1861"/>
      <c r="H270" s="1862"/>
      <c r="I270" s="1863"/>
      <c r="J270" s="4153">
        <v>175</v>
      </c>
      <c r="K270" s="4147" t="s">
        <v>1878</v>
      </c>
      <c r="L270" s="4147" t="s">
        <v>1879</v>
      </c>
      <c r="M270" s="4153">
        <v>14</v>
      </c>
      <c r="N270" s="4153" t="s">
        <v>1880</v>
      </c>
      <c r="O270" s="4153">
        <v>159</v>
      </c>
      <c r="P270" s="4147" t="s">
        <v>1881</v>
      </c>
      <c r="Q270" s="4150">
        <f>+SUM(V270:V273)/R270</f>
        <v>1</v>
      </c>
      <c r="R270" s="4151">
        <f>SUM(V270:V273)</f>
        <v>64636000</v>
      </c>
      <c r="S270" s="4147" t="s">
        <v>1882</v>
      </c>
      <c r="T270" s="4152" t="s">
        <v>1883</v>
      </c>
      <c r="U270" s="161" t="s">
        <v>1884</v>
      </c>
      <c r="V270" s="1991">
        <f>11619000+13659000</f>
        <v>25278000</v>
      </c>
      <c r="W270" s="1992">
        <v>5600000</v>
      </c>
      <c r="X270" s="1992">
        <v>0</v>
      </c>
      <c r="Y270" s="1852">
        <v>20</v>
      </c>
      <c r="Z270" s="1875" t="s">
        <v>70</v>
      </c>
      <c r="AA270" s="4138">
        <v>292684</v>
      </c>
      <c r="AB270" s="4138">
        <f>SUM(AA270*0.09)</f>
        <v>26341.559999999998</v>
      </c>
      <c r="AC270" s="4138">
        <v>282326</v>
      </c>
      <c r="AD270" s="4138">
        <f>SUM(AC270*0.09)</f>
        <v>25409.34</v>
      </c>
      <c r="AE270" s="4138">
        <v>135912</v>
      </c>
      <c r="AF270" s="4138">
        <f>SUM(AE270*0.09)</f>
        <v>12232.08</v>
      </c>
      <c r="AG270" s="4138">
        <v>45122</v>
      </c>
      <c r="AH270" s="4138">
        <f>SUM(AG270*0.09)</f>
        <v>4060.98</v>
      </c>
      <c r="AI270" s="4138">
        <f>AI261</f>
        <v>365607</v>
      </c>
      <c r="AJ270" s="4138">
        <f>SUM(AI270*0.09)</f>
        <v>32904.629999999997</v>
      </c>
      <c r="AK270" s="4138">
        <f>AK261</f>
        <v>86875</v>
      </c>
      <c r="AL270" s="4138">
        <f>SUM(AK270*0.09)</f>
        <v>7818.75</v>
      </c>
      <c r="AM270" s="4138">
        <v>2145</v>
      </c>
      <c r="AN270" s="4138">
        <f>SUM(AM270*0.09)</f>
        <v>193.04999999999998</v>
      </c>
      <c r="AO270" s="4138">
        <v>12718</v>
      </c>
      <c r="AP270" s="4138">
        <f>SUM(AO270*0.09)</f>
        <v>1144.6199999999999</v>
      </c>
      <c r="AQ270" s="4138">
        <v>26</v>
      </c>
      <c r="AR270" s="4138">
        <f>SUM(AQ270*0.09)</f>
        <v>2.34</v>
      </c>
      <c r="AS270" s="4138">
        <v>37</v>
      </c>
      <c r="AT270" s="4138">
        <f>SUM(AS270*0.09)</f>
        <v>3.33</v>
      </c>
      <c r="AU270" s="4138" t="s">
        <v>1164</v>
      </c>
      <c r="AV270" s="4138" t="s">
        <v>1164</v>
      </c>
      <c r="AW270" s="4138" t="s">
        <v>1164</v>
      </c>
      <c r="AX270" s="4138" t="s">
        <v>1164</v>
      </c>
      <c r="AY270" s="4138">
        <v>53164</v>
      </c>
      <c r="AZ270" s="4138">
        <f>SUM(AY270*0.09)</f>
        <v>4784.76</v>
      </c>
      <c r="BA270" s="4138">
        <v>16982</v>
      </c>
      <c r="BB270" s="4138">
        <f>SUM(BA270*0.09)</f>
        <v>1528.3799999999999</v>
      </c>
      <c r="BC270" s="4138">
        <v>60013</v>
      </c>
      <c r="BD270" s="4138">
        <f>SUM(BC270*0.09)</f>
        <v>5401.17</v>
      </c>
      <c r="BE270" s="4138">
        <v>575010</v>
      </c>
      <c r="BF270" s="4138">
        <f>SUM(BE270*0.09)</f>
        <v>51750.9</v>
      </c>
      <c r="BG270" s="4138">
        <v>1</v>
      </c>
      <c r="BH270" s="4146">
        <f>SUM(W270:W273)</f>
        <v>5600000</v>
      </c>
      <c r="BI270" s="4146">
        <f>SUM(X270:X273)</f>
        <v>0</v>
      </c>
      <c r="BJ270" s="2725">
        <f>SUM(BH270/R270)</f>
        <v>8.6639024692122035E-2</v>
      </c>
      <c r="BK270" s="4138">
        <v>20</v>
      </c>
      <c r="BL270" s="4138" t="s">
        <v>1800</v>
      </c>
      <c r="BM270" s="4139">
        <v>43467</v>
      </c>
      <c r="BN270" s="4139">
        <v>44196</v>
      </c>
      <c r="BO270" s="4139">
        <v>43830</v>
      </c>
      <c r="BP270" s="4140">
        <v>44196</v>
      </c>
      <c r="BQ270" s="4143" t="s">
        <v>1432</v>
      </c>
    </row>
    <row r="271" spans="1:69" ht="43.5" customHeight="1" x14ac:dyDescent="0.2">
      <c r="A271" s="1857"/>
      <c r="B271" s="1858"/>
      <c r="C271" s="1859"/>
      <c r="D271" s="1860"/>
      <c r="E271" s="1860"/>
      <c r="F271" s="1860"/>
      <c r="G271" s="1857"/>
      <c r="H271" s="1860"/>
      <c r="I271" s="1859"/>
      <c r="J271" s="4154"/>
      <c r="K271" s="4148"/>
      <c r="L271" s="4148"/>
      <c r="M271" s="4154"/>
      <c r="N271" s="4154"/>
      <c r="O271" s="4154"/>
      <c r="P271" s="4148"/>
      <c r="Q271" s="4150"/>
      <c r="R271" s="4151"/>
      <c r="S271" s="4148"/>
      <c r="T271" s="4152"/>
      <c r="U271" s="161" t="s">
        <v>1885</v>
      </c>
      <c r="V271" s="1992">
        <v>9080000</v>
      </c>
      <c r="W271" s="1992">
        <v>0</v>
      </c>
      <c r="X271" s="1992">
        <v>0</v>
      </c>
      <c r="Y271" s="1852">
        <v>20</v>
      </c>
      <c r="Z271" s="1875" t="s">
        <v>70</v>
      </c>
      <c r="AA271" s="4138"/>
      <c r="AB271" s="4138"/>
      <c r="AC271" s="4138"/>
      <c r="AD271" s="4138"/>
      <c r="AE271" s="4138"/>
      <c r="AF271" s="4138"/>
      <c r="AG271" s="4138"/>
      <c r="AH271" s="4138"/>
      <c r="AI271" s="4138"/>
      <c r="AJ271" s="4138"/>
      <c r="AK271" s="4138"/>
      <c r="AL271" s="4138"/>
      <c r="AM271" s="4138"/>
      <c r="AN271" s="4138"/>
      <c r="AO271" s="4138"/>
      <c r="AP271" s="4138"/>
      <c r="AQ271" s="4138"/>
      <c r="AR271" s="4138"/>
      <c r="AS271" s="4138"/>
      <c r="AT271" s="4138"/>
      <c r="AU271" s="4138"/>
      <c r="AV271" s="4138"/>
      <c r="AW271" s="4138"/>
      <c r="AX271" s="4138"/>
      <c r="AY271" s="4138"/>
      <c r="AZ271" s="4138"/>
      <c r="BA271" s="4138"/>
      <c r="BB271" s="4138"/>
      <c r="BC271" s="4138"/>
      <c r="BD271" s="4138"/>
      <c r="BE271" s="4138"/>
      <c r="BF271" s="4138"/>
      <c r="BG271" s="4138"/>
      <c r="BH271" s="4138"/>
      <c r="BI271" s="4138"/>
      <c r="BJ271" s="2725"/>
      <c r="BK271" s="4138"/>
      <c r="BL271" s="4138"/>
      <c r="BM271" s="4139"/>
      <c r="BN271" s="4139"/>
      <c r="BO271" s="4139"/>
      <c r="BP271" s="4141"/>
      <c r="BQ271" s="4144"/>
    </row>
    <row r="272" spans="1:69" ht="43.5" customHeight="1" x14ac:dyDescent="0.2">
      <c r="A272" s="1857"/>
      <c r="B272" s="1858"/>
      <c r="C272" s="1859"/>
      <c r="D272" s="1860"/>
      <c r="E272" s="1860"/>
      <c r="F272" s="1860"/>
      <c r="G272" s="1857"/>
      <c r="H272" s="1860"/>
      <c r="I272" s="1859"/>
      <c r="J272" s="4154"/>
      <c r="K272" s="4148"/>
      <c r="L272" s="4148"/>
      <c r="M272" s="4154"/>
      <c r="N272" s="4154"/>
      <c r="O272" s="4154"/>
      <c r="P272" s="4148"/>
      <c r="Q272" s="4150"/>
      <c r="R272" s="4151"/>
      <c r="S272" s="4148"/>
      <c r="T272" s="4152"/>
      <c r="U272" s="161" t="s">
        <v>1886</v>
      </c>
      <c r="V272" s="1992">
        <f>11619000+13659000</f>
        <v>25278000</v>
      </c>
      <c r="W272" s="1992">
        <v>0</v>
      </c>
      <c r="X272" s="1992">
        <v>0</v>
      </c>
      <c r="Y272" s="1852">
        <v>20</v>
      </c>
      <c r="Z272" s="1875" t="s">
        <v>70</v>
      </c>
      <c r="AA272" s="4138"/>
      <c r="AB272" s="4138"/>
      <c r="AC272" s="4138"/>
      <c r="AD272" s="4138"/>
      <c r="AE272" s="4138"/>
      <c r="AF272" s="4138"/>
      <c r="AG272" s="4138"/>
      <c r="AH272" s="4138"/>
      <c r="AI272" s="4138"/>
      <c r="AJ272" s="4138"/>
      <c r="AK272" s="4138"/>
      <c r="AL272" s="4138"/>
      <c r="AM272" s="4138"/>
      <c r="AN272" s="4138"/>
      <c r="AO272" s="4138"/>
      <c r="AP272" s="4138"/>
      <c r="AQ272" s="4138"/>
      <c r="AR272" s="4138"/>
      <c r="AS272" s="4138"/>
      <c r="AT272" s="4138"/>
      <c r="AU272" s="4138"/>
      <c r="AV272" s="4138"/>
      <c r="AW272" s="4138"/>
      <c r="AX272" s="4138"/>
      <c r="AY272" s="4138"/>
      <c r="AZ272" s="4138"/>
      <c r="BA272" s="4138"/>
      <c r="BB272" s="4138"/>
      <c r="BC272" s="4138"/>
      <c r="BD272" s="4138"/>
      <c r="BE272" s="4138"/>
      <c r="BF272" s="4138"/>
      <c r="BG272" s="4138"/>
      <c r="BH272" s="4138"/>
      <c r="BI272" s="4138"/>
      <c r="BJ272" s="2725"/>
      <c r="BK272" s="4138"/>
      <c r="BL272" s="4138"/>
      <c r="BM272" s="4139"/>
      <c r="BN272" s="4139"/>
      <c r="BO272" s="4139"/>
      <c r="BP272" s="4141"/>
      <c r="BQ272" s="4144"/>
    </row>
    <row r="273" spans="1:180" ht="63.75" customHeight="1" x14ac:dyDescent="0.2">
      <c r="A273" s="1857"/>
      <c r="B273" s="1858"/>
      <c r="C273" s="1859"/>
      <c r="D273" s="1865"/>
      <c r="E273" s="1865"/>
      <c r="F273" s="1865"/>
      <c r="G273" s="1857"/>
      <c r="H273" s="1860"/>
      <c r="I273" s="1859"/>
      <c r="J273" s="1875">
        <v>176</v>
      </c>
      <c r="K273" s="1922" t="s">
        <v>1887</v>
      </c>
      <c r="L273" s="1922" t="s">
        <v>1888</v>
      </c>
      <c r="M273" s="1875">
        <v>2</v>
      </c>
      <c r="N273" s="4155"/>
      <c r="O273" s="4155"/>
      <c r="P273" s="4149"/>
      <c r="Q273" s="4150"/>
      <c r="R273" s="4151"/>
      <c r="S273" s="4148"/>
      <c r="T273" s="1921" t="s">
        <v>1889</v>
      </c>
      <c r="U273" s="161" t="s">
        <v>1890</v>
      </c>
      <c r="V273" s="608">
        <v>5000000</v>
      </c>
      <c r="W273" s="608">
        <v>0</v>
      </c>
      <c r="X273" s="1992">
        <v>0</v>
      </c>
      <c r="Y273" s="1852">
        <v>20</v>
      </c>
      <c r="Z273" s="1875" t="s">
        <v>70</v>
      </c>
      <c r="AA273" s="4138"/>
      <c r="AB273" s="4138"/>
      <c r="AC273" s="4138"/>
      <c r="AD273" s="4138"/>
      <c r="AE273" s="4138"/>
      <c r="AF273" s="4138"/>
      <c r="AG273" s="4138"/>
      <c r="AH273" s="4138"/>
      <c r="AI273" s="4138"/>
      <c r="AJ273" s="4138"/>
      <c r="AK273" s="4138"/>
      <c r="AL273" s="4138"/>
      <c r="AM273" s="4138"/>
      <c r="AN273" s="4138"/>
      <c r="AO273" s="4138"/>
      <c r="AP273" s="4138"/>
      <c r="AQ273" s="4138"/>
      <c r="AR273" s="4138"/>
      <c r="AS273" s="4138"/>
      <c r="AT273" s="4138"/>
      <c r="AU273" s="4138"/>
      <c r="AV273" s="4138"/>
      <c r="AW273" s="4138"/>
      <c r="AX273" s="4138"/>
      <c r="AY273" s="4138"/>
      <c r="AZ273" s="4138"/>
      <c r="BA273" s="4138"/>
      <c r="BB273" s="4138"/>
      <c r="BC273" s="4138"/>
      <c r="BD273" s="4138"/>
      <c r="BE273" s="4138"/>
      <c r="BF273" s="4138"/>
      <c r="BG273" s="4138"/>
      <c r="BH273" s="4138"/>
      <c r="BI273" s="4138"/>
      <c r="BJ273" s="2725"/>
      <c r="BK273" s="4138"/>
      <c r="BL273" s="4138"/>
      <c r="BM273" s="4139"/>
      <c r="BN273" s="4139"/>
      <c r="BO273" s="4139"/>
      <c r="BP273" s="4142"/>
      <c r="BQ273" s="4145"/>
    </row>
    <row r="274" spans="1:180" ht="15" x14ac:dyDescent="0.2">
      <c r="A274" s="1793"/>
      <c r="B274" s="1820"/>
      <c r="C274" s="1821"/>
      <c r="D274" s="1953">
        <v>15</v>
      </c>
      <c r="E274" s="1787" t="s">
        <v>1891</v>
      </c>
      <c r="F274" s="1787"/>
      <c r="G274" s="1936"/>
      <c r="H274" s="1936"/>
      <c r="I274" s="1936"/>
      <c r="J274" s="1825"/>
      <c r="K274" s="1826"/>
      <c r="L274" s="1826"/>
      <c r="M274" s="1825"/>
      <c r="N274" s="1827"/>
      <c r="O274" s="1825"/>
      <c r="P274" s="1826"/>
      <c r="Q274" s="1825"/>
      <c r="R274" s="1828"/>
      <c r="S274" s="1826"/>
      <c r="T274" s="1826"/>
      <c r="U274" s="1826"/>
      <c r="V274" s="1829">
        <f>+V270+V271+V272-'[5]POAI INICIAL 2020'!$V$550</f>
        <v>0</v>
      </c>
      <c r="W274" s="1829"/>
      <c r="X274" s="1829"/>
      <c r="Y274" s="1830">
        <f>+V274/2</f>
        <v>0</v>
      </c>
      <c r="Z274" s="1827"/>
      <c r="AA274" s="1827"/>
      <c r="AB274" s="1827"/>
      <c r="AC274" s="1827"/>
      <c r="AD274" s="1827"/>
      <c r="AE274" s="1827"/>
      <c r="AF274" s="1827"/>
      <c r="AG274" s="1827"/>
      <c r="AH274" s="1827"/>
      <c r="AI274" s="1827"/>
      <c r="AJ274" s="1827"/>
      <c r="AK274" s="1827"/>
      <c r="AL274" s="1827"/>
      <c r="AM274" s="1827"/>
      <c r="AN274" s="1827"/>
      <c r="AO274" s="1827"/>
      <c r="AP274" s="1827"/>
      <c r="AQ274" s="1827"/>
      <c r="AR274" s="1827"/>
      <c r="AS274" s="1827"/>
      <c r="AT274" s="1827"/>
      <c r="AU274" s="1827"/>
      <c r="AV274" s="1827"/>
      <c r="AW274" s="1827"/>
      <c r="AX274" s="1827"/>
      <c r="AY274" s="1827"/>
      <c r="AZ274" s="1827"/>
      <c r="BA274" s="1827"/>
      <c r="BB274" s="1827"/>
      <c r="BC274" s="1827"/>
      <c r="BD274" s="1827"/>
      <c r="BE274" s="1827"/>
      <c r="BF274" s="1827"/>
      <c r="BG274" s="1827"/>
      <c r="BH274" s="1827"/>
      <c r="BI274" s="1827"/>
      <c r="BJ274" s="1827"/>
      <c r="BK274" s="1827"/>
      <c r="BL274" s="1827"/>
      <c r="BM274" s="1954"/>
      <c r="BN274" s="1954"/>
      <c r="BO274" s="1954"/>
      <c r="BP274" s="1832"/>
      <c r="BQ274" s="1833"/>
    </row>
    <row r="275" spans="1:180" ht="15.75" thickBot="1" x14ac:dyDescent="0.25">
      <c r="A275" s="1793"/>
      <c r="B275" s="1794"/>
      <c r="C275" s="1795"/>
      <c r="D275" s="1796"/>
      <c r="E275" s="1796"/>
      <c r="F275" s="1797"/>
      <c r="G275" s="1834">
        <v>55</v>
      </c>
      <c r="H275" s="1799" t="s">
        <v>1892</v>
      </c>
      <c r="I275" s="1799"/>
      <c r="J275" s="1799"/>
      <c r="K275" s="1800"/>
      <c r="L275" s="1800"/>
      <c r="M275" s="1799"/>
      <c r="N275" s="1801"/>
      <c r="O275" s="1799"/>
      <c r="P275" s="1800"/>
      <c r="Q275" s="1799"/>
      <c r="R275" s="1835"/>
      <c r="S275" s="1800"/>
      <c r="T275" s="1800"/>
      <c r="U275" s="1800"/>
      <c r="V275" s="1836"/>
      <c r="W275" s="1836"/>
      <c r="X275" s="1836"/>
      <c r="Y275" s="1837"/>
      <c r="Z275" s="1993"/>
      <c r="AA275" s="1993"/>
      <c r="AB275" s="1993"/>
      <c r="AC275" s="1993"/>
      <c r="AD275" s="1993"/>
      <c r="AE275" s="1993"/>
      <c r="AF275" s="1993"/>
      <c r="AG275" s="1993"/>
      <c r="AH275" s="1993"/>
      <c r="AI275" s="1993"/>
      <c r="AJ275" s="1993"/>
      <c r="AK275" s="1993"/>
      <c r="AL275" s="1993"/>
      <c r="AM275" s="1993"/>
      <c r="AN275" s="1993"/>
      <c r="AO275" s="1993"/>
      <c r="AP275" s="1993"/>
      <c r="AQ275" s="1993"/>
      <c r="AR275" s="1993"/>
      <c r="AS275" s="1993"/>
      <c r="AT275" s="1993"/>
      <c r="AU275" s="1993"/>
      <c r="AV275" s="1993"/>
      <c r="AW275" s="1993"/>
      <c r="AX275" s="1993"/>
      <c r="AY275" s="1993"/>
      <c r="AZ275" s="1993"/>
      <c r="BA275" s="1993"/>
      <c r="BB275" s="1993"/>
      <c r="BC275" s="1993"/>
      <c r="BD275" s="1993"/>
      <c r="BE275" s="1993"/>
      <c r="BF275" s="1993"/>
      <c r="BG275" s="1993"/>
      <c r="BH275" s="1993"/>
      <c r="BI275" s="1993"/>
      <c r="BJ275" s="1993"/>
      <c r="BK275" s="1993"/>
      <c r="BL275" s="1993"/>
      <c r="BM275" s="1994"/>
      <c r="BN275" s="1994"/>
      <c r="BO275" s="1994"/>
      <c r="BP275" s="1839"/>
      <c r="BQ275" s="1963"/>
    </row>
    <row r="276" spans="1:180" s="1815" customFormat="1" ht="60" customHeight="1" x14ac:dyDescent="0.2">
      <c r="A276" s="1869"/>
      <c r="B276" s="1870"/>
      <c r="C276" s="1871"/>
      <c r="D276" s="1872"/>
      <c r="E276" s="1872"/>
      <c r="F276" s="1871"/>
      <c r="G276" s="1995"/>
      <c r="H276" s="1995"/>
      <c r="I276" s="1996"/>
      <c r="J276" s="4122">
        <v>178</v>
      </c>
      <c r="K276" s="4135" t="s">
        <v>1893</v>
      </c>
      <c r="L276" s="4135" t="s">
        <v>1894</v>
      </c>
      <c r="M276" s="4122">
        <v>3</v>
      </c>
      <c r="N276" s="4122" t="s">
        <v>1895</v>
      </c>
      <c r="O276" s="4122">
        <v>160</v>
      </c>
      <c r="P276" s="4122" t="s">
        <v>1896</v>
      </c>
      <c r="Q276" s="4132">
        <f>SUM(V276:V280)/R276</f>
        <v>1</v>
      </c>
      <c r="R276" s="4134">
        <f>SUM(V276:V280)</f>
        <v>150000000</v>
      </c>
      <c r="S276" s="4135" t="s">
        <v>1897</v>
      </c>
      <c r="T276" s="4135" t="s">
        <v>1898</v>
      </c>
      <c r="U276" s="161" t="s">
        <v>1899</v>
      </c>
      <c r="V276" s="1885">
        <v>60000000</v>
      </c>
      <c r="W276" s="1885">
        <v>12000000</v>
      </c>
      <c r="X276" s="1885">
        <v>3600000</v>
      </c>
      <c r="Y276" s="1886">
        <v>72</v>
      </c>
      <c r="Z276" s="1927" t="s">
        <v>1900</v>
      </c>
      <c r="AA276" s="4122">
        <v>292684</v>
      </c>
      <c r="AB276" s="4122">
        <f>SUM(AA276*0.05)</f>
        <v>14634.2</v>
      </c>
      <c r="AC276" s="4122">
        <v>282326</v>
      </c>
      <c r="AD276" s="4122">
        <f>SUM(AC276*0.05)</f>
        <v>14116.300000000001</v>
      </c>
      <c r="AE276" s="4122">
        <v>135912</v>
      </c>
      <c r="AF276" s="4122">
        <f>SUM(AE276*0.05)</f>
        <v>6795.6</v>
      </c>
      <c r="AG276" s="4122">
        <v>45122</v>
      </c>
      <c r="AH276" s="4122">
        <f>SUM(AG276*0.05)</f>
        <v>2256.1</v>
      </c>
      <c r="AI276" s="4122">
        <f>SUM(AI270)</f>
        <v>365607</v>
      </c>
      <c r="AJ276" s="4122">
        <f>SUM(AI276*0.05)</f>
        <v>18280.350000000002</v>
      </c>
      <c r="AK276" s="4122">
        <v>86875</v>
      </c>
      <c r="AL276" s="4122">
        <f>SUM(AK276*0.05)</f>
        <v>4343.75</v>
      </c>
      <c r="AM276" s="4122">
        <v>2145</v>
      </c>
      <c r="AN276" s="4122">
        <f>SUM(AM276*0.05)</f>
        <v>107.25</v>
      </c>
      <c r="AO276" s="4122">
        <v>12718</v>
      </c>
      <c r="AP276" s="4122">
        <f>SUM(AO276*0.05)</f>
        <v>635.90000000000009</v>
      </c>
      <c r="AQ276" s="4122">
        <v>26</v>
      </c>
      <c r="AR276" s="4122">
        <f>SUM(AQ276*0.05)</f>
        <v>1.3</v>
      </c>
      <c r="AS276" s="4122">
        <v>37</v>
      </c>
      <c r="AT276" s="4122">
        <f>SUM(AS276*0.05)</f>
        <v>1.85</v>
      </c>
      <c r="AU276" s="4122" t="s">
        <v>1164</v>
      </c>
      <c r="AV276" s="4122" t="s">
        <v>1164</v>
      </c>
      <c r="AW276" s="4122" t="s">
        <v>1164</v>
      </c>
      <c r="AX276" s="4122" t="s">
        <v>1164</v>
      </c>
      <c r="AY276" s="4122">
        <v>53164</v>
      </c>
      <c r="AZ276" s="4122">
        <f>SUM(AY276*0.05)</f>
        <v>2658.2000000000003</v>
      </c>
      <c r="BA276" s="4122">
        <v>16982</v>
      </c>
      <c r="BB276" s="4122">
        <f>SUM(BA276*0.05)</f>
        <v>849.1</v>
      </c>
      <c r="BC276" s="4122">
        <v>60013</v>
      </c>
      <c r="BD276" s="4122">
        <f>SUM(BC276*0.05)</f>
        <v>3000.65</v>
      </c>
      <c r="BE276" s="4122">
        <v>575010</v>
      </c>
      <c r="BF276" s="4122">
        <f>SUM(BE276*0.05)</f>
        <v>28750.5</v>
      </c>
      <c r="BG276" s="4122">
        <v>3</v>
      </c>
      <c r="BH276" s="4130">
        <f>SUM(W276:W280)</f>
        <v>37866667</v>
      </c>
      <c r="BI276" s="4130">
        <f t="shared" ref="BI276" si="0">SUM(X276:X280)</f>
        <v>7600000</v>
      </c>
      <c r="BJ276" s="4131">
        <f>SUM(BI276/R276)</f>
        <v>5.0666666666666665E-2</v>
      </c>
      <c r="BK276" s="4122">
        <v>72</v>
      </c>
      <c r="BL276" s="4122" t="s">
        <v>1901</v>
      </c>
      <c r="BM276" s="4124">
        <v>43467</v>
      </c>
      <c r="BN276" s="4124">
        <v>44196</v>
      </c>
      <c r="BO276" s="4124">
        <v>43830</v>
      </c>
      <c r="BP276" s="4126">
        <v>44196</v>
      </c>
      <c r="BQ276" s="4128" t="s">
        <v>1432</v>
      </c>
    </row>
    <row r="277" spans="1:180" ht="60" customHeight="1" x14ac:dyDescent="0.2">
      <c r="A277" s="1869"/>
      <c r="B277" s="1870"/>
      <c r="C277" s="1871"/>
      <c r="D277" s="1872"/>
      <c r="E277" s="1872"/>
      <c r="F277" s="1871"/>
      <c r="G277" s="1872"/>
      <c r="H277" s="1872"/>
      <c r="I277" s="1871"/>
      <c r="J277" s="4123"/>
      <c r="K277" s="4136"/>
      <c r="L277" s="4136"/>
      <c r="M277" s="4123"/>
      <c r="N277" s="4123"/>
      <c r="O277" s="4123"/>
      <c r="P277" s="4123"/>
      <c r="Q277" s="4133"/>
      <c r="R277" s="2908"/>
      <c r="S277" s="4136"/>
      <c r="T277" s="4136"/>
      <c r="U277" s="161" t="s">
        <v>1902</v>
      </c>
      <c r="V277" s="1932">
        <v>40000000</v>
      </c>
      <c r="W277" s="1932">
        <v>17366667</v>
      </c>
      <c r="X277" s="1885">
        <v>4000000</v>
      </c>
      <c r="Y277" s="1886">
        <v>72</v>
      </c>
      <c r="Z277" s="1927" t="s">
        <v>1900</v>
      </c>
      <c r="AA277" s="4123"/>
      <c r="AB277" s="4123"/>
      <c r="AC277" s="4123"/>
      <c r="AD277" s="4123"/>
      <c r="AE277" s="4123"/>
      <c r="AF277" s="4123"/>
      <c r="AG277" s="4123"/>
      <c r="AH277" s="4123"/>
      <c r="AI277" s="4123"/>
      <c r="AJ277" s="4123"/>
      <c r="AK277" s="4123"/>
      <c r="AL277" s="4123"/>
      <c r="AM277" s="4123"/>
      <c r="AN277" s="4123"/>
      <c r="AO277" s="4123"/>
      <c r="AP277" s="4123"/>
      <c r="AQ277" s="4123"/>
      <c r="AR277" s="4123"/>
      <c r="AS277" s="4123"/>
      <c r="AT277" s="4123"/>
      <c r="AU277" s="4123"/>
      <c r="AV277" s="4123"/>
      <c r="AW277" s="4123"/>
      <c r="AX277" s="4123"/>
      <c r="AY277" s="4123"/>
      <c r="AZ277" s="4123"/>
      <c r="BA277" s="4123"/>
      <c r="BB277" s="4123"/>
      <c r="BC277" s="4123"/>
      <c r="BD277" s="4123"/>
      <c r="BE277" s="4123"/>
      <c r="BF277" s="4123"/>
      <c r="BG277" s="4123"/>
      <c r="BH277" s="4123"/>
      <c r="BI277" s="4123"/>
      <c r="BJ277" s="2852"/>
      <c r="BK277" s="4123"/>
      <c r="BL277" s="4123"/>
      <c r="BM277" s="4125"/>
      <c r="BN277" s="4125"/>
      <c r="BO277" s="4125"/>
      <c r="BP277" s="4127"/>
      <c r="BQ277" s="4129"/>
    </row>
    <row r="278" spans="1:180" ht="60" customHeight="1" x14ac:dyDescent="0.2">
      <c r="A278" s="1869"/>
      <c r="B278" s="1870"/>
      <c r="C278" s="1871"/>
      <c r="D278" s="1872"/>
      <c r="E278" s="1872"/>
      <c r="F278" s="1871"/>
      <c r="G278" s="1872"/>
      <c r="H278" s="1872"/>
      <c r="I278" s="1871"/>
      <c r="J278" s="4123"/>
      <c r="K278" s="4136"/>
      <c r="L278" s="4136"/>
      <c r="M278" s="4123"/>
      <c r="N278" s="4123"/>
      <c r="O278" s="4123"/>
      <c r="P278" s="4123"/>
      <c r="Q278" s="4133"/>
      <c r="R278" s="2908"/>
      <c r="S278" s="4136"/>
      <c r="T278" s="4137"/>
      <c r="U278" s="161" t="s">
        <v>1903</v>
      </c>
      <c r="V278" s="1932">
        <v>20000000</v>
      </c>
      <c r="W278" s="1932">
        <v>5000000</v>
      </c>
      <c r="X278" s="1885">
        <v>0</v>
      </c>
      <c r="Y278" s="1886">
        <v>72</v>
      </c>
      <c r="Z278" s="1927" t="s">
        <v>1900</v>
      </c>
      <c r="AA278" s="4123"/>
      <c r="AB278" s="4123"/>
      <c r="AC278" s="4123"/>
      <c r="AD278" s="4123"/>
      <c r="AE278" s="4123"/>
      <c r="AF278" s="4123"/>
      <c r="AG278" s="4123"/>
      <c r="AH278" s="4123"/>
      <c r="AI278" s="4123"/>
      <c r="AJ278" s="4123"/>
      <c r="AK278" s="4123"/>
      <c r="AL278" s="4123"/>
      <c r="AM278" s="4123"/>
      <c r="AN278" s="4123"/>
      <c r="AO278" s="4123"/>
      <c r="AP278" s="4123"/>
      <c r="AQ278" s="4123"/>
      <c r="AR278" s="4123"/>
      <c r="AS278" s="4123"/>
      <c r="AT278" s="4123"/>
      <c r="AU278" s="4123"/>
      <c r="AV278" s="4123"/>
      <c r="AW278" s="4123"/>
      <c r="AX278" s="4123"/>
      <c r="AY278" s="4123"/>
      <c r="AZ278" s="4123"/>
      <c r="BA278" s="4123"/>
      <c r="BB278" s="4123"/>
      <c r="BC278" s="4123"/>
      <c r="BD278" s="4123"/>
      <c r="BE278" s="4123"/>
      <c r="BF278" s="4123"/>
      <c r="BG278" s="4123"/>
      <c r="BH278" s="4123"/>
      <c r="BI278" s="4123"/>
      <c r="BJ278" s="2852"/>
      <c r="BK278" s="4123"/>
      <c r="BL278" s="4123"/>
      <c r="BM278" s="4125"/>
      <c r="BN278" s="4125"/>
      <c r="BO278" s="4125"/>
      <c r="BP278" s="4127"/>
      <c r="BQ278" s="4129"/>
    </row>
    <row r="279" spans="1:180" ht="31.5" customHeight="1" x14ac:dyDescent="0.2">
      <c r="A279" s="1869"/>
      <c r="B279" s="1870"/>
      <c r="C279" s="1871"/>
      <c r="D279" s="1872"/>
      <c r="E279" s="1872"/>
      <c r="F279" s="1871"/>
      <c r="G279" s="1872"/>
      <c r="H279" s="1872"/>
      <c r="I279" s="1871"/>
      <c r="J279" s="4123"/>
      <c r="K279" s="4136"/>
      <c r="L279" s="4136"/>
      <c r="M279" s="4123"/>
      <c r="N279" s="4123"/>
      <c r="O279" s="4123"/>
      <c r="P279" s="4123"/>
      <c r="Q279" s="4133"/>
      <c r="R279" s="2908"/>
      <c r="S279" s="4136"/>
      <c r="T279" s="4135" t="s">
        <v>1904</v>
      </c>
      <c r="U279" s="161" t="s">
        <v>1905</v>
      </c>
      <c r="V279" s="1932">
        <v>15000000</v>
      </c>
      <c r="W279" s="1932">
        <v>3500000</v>
      </c>
      <c r="X279" s="1885">
        <v>0</v>
      </c>
      <c r="Y279" s="1886">
        <v>72</v>
      </c>
      <c r="Z279" s="1927" t="s">
        <v>1900</v>
      </c>
      <c r="AA279" s="4123"/>
      <c r="AB279" s="4123"/>
      <c r="AC279" s="4123"/>
      <c r="AD279" s="4123"/>
      <c r="AE279" s="4123"/>
      <c r="AF279" s="4123"/>
      <c r="AG279" s="4123"/>
      <c r="AH279" s="4123"/>
      <c r="AI279" s="4123"/>
      <c r="AJ279" s="4123"/>
      <c r="AK279" s="4123"/>
      <c r="AL279" s="4123"/>
      <c r="AM279" s="4123"/>
      <c r="AN279" s="4123"/>
      <c r="AO279" s="4123"/>
      <c r="AP279" s="4123"/>
      <c r="AQ279" s="4123"/>
      <c r="AR279" s="4123"/>
      <c r="AS279" s="4123"/>
      <c r="AT279" s="4123"/>
      <c r="AU279" s="4123"/>
      <c r="AV279" s="4123"/>
      <c r="AW279" s="4123"/>
      <c r="AX279" s="4123"/>
      <c r="AY279" s="4123"/>
      <c r="AZ279" s="4123"/>
      <c r="BA279" s="4123"/>
      <c r="BB279" s="4123"/>
      <c r="BC279" s="4123"/>
      <c r="BD279" s="4123"/>
      <c r="BE279" s="4123"/>
      <c r="BF279" s="4123"/>
      <c r="BG279" s="4123"/>
      <c r="BH279" s="4123"/>
      <c r="BI279" s="4123"/>
      <c r="BJ279" s="2852"/>
      <c r="BK279" s="4123"/>
      <c r="BL279" s="4123"/>
      <c r="BM279" s="4125"/>
      <c r="BN279" s="4125"/>
      <c r="BO279" s="4125"/>
      <c r="BP279" s="4127"/>
      <c r="BQ279" s="4129"/>
    </row>
    <row r="280" spans="1:180" ht="38.25" customHeight="1" thickBot="1" x14ac:dyDescent="0.25">
      <c r="A280" s="1869"/>
      <c r="B280" s="1870"/>
      <c r="C280" s="1871"/>
      <c r="D280" s="1869"/>
      <c r="E280" s="1870"/>
      <c r="F280" s="1871"/>
      <c r="G280" s="1870"/>
      <c r="H280" s="1870"/>
      <c r="I280" s="1871"/>
      <c r="J280" s="4123"/>
      <c r="K280" s="4136"/>
      <c r="L280" s="4136"/>
      <c r="M280" s="4123"/>
      <c r="N280" s="4123"/>
      <c r="O280" s="4123"/>
      <c r="P280" s="4123"/>
      <c r="Q280" s="4133"/>
      <c r="R280" s="2908"/>
      <c r="S280" s="4136"/>
      <c r="T280" s="4136"/>
      <c r="U280" s="1997" t="s">
        <v>1906</v>
      </c>
      <c r="V280" s="1877">
        <v>15000000</v>
      </c>
      <c r="W280" s="1877">
        <v>0</v>
      </c>
      <c r="X280" s="1998">
        <v>0</v>
      </c>
      <c r="Y280" s="1999">
        <v>72</v>
      </c>
      <c r="Z280" s="1846" t="s">
        <v>1900</v>
      </c>
      <c r="AA280" s="4123"/>
      <c r="AB280" s="4123"/>
      <c r="AC280" s="4123"/>
      <c r="AD280" s="4123"/>
      <c r="AE280" s="4123"/>
      <c r="AF280" s="4123"/>
      <c r="AG280" s="4123"/>
      <c r="AH280" s="4123"/>
      <c r="AI280" s="4123"/>
      <c r="AJ280" s="4123"/>
      <c r="AK280" s="4123"/>
      <c r="AL280" s="4123"/>
      <c r="AM280" s="4123"/>
      <c r="AN280" s="4123"/>
      <c r="AO280" s="4123"/>
      <c r="AP280" s="4123"/>
      <c r="AQ280" s="4123"/>
      <c r="AR280" s="4123"/>
      <c r="AS280" s="4123"/>
      <c r="AT280" s="4123"/>
      <c r="AU280" s="4123"/>
      <c r="AV280" s="4123"/>
      <c r="AW280" s="4123"/>
      <c r="AX280" s="4123"/>
      <c r="AY280" s="4123"/>
      <c r="AZ280" s="4123"/>
      <c r="BA280" s="4123"/>
      <c r="BB280" s="4123"/>
      <c r="BC280" s="4123"/>
      <c r="BD280" s="4123"/>
      <c r="BE280" s="4123"/>
      <c r="BF280" s="4123"/>
      <c r="BG280" s="4123"/>
      <c r="BH280" s="4123"/>
      <c r="BI280" s="4123"/>
      <c r="BJ280" s="2852"/>
      <c r="BK280" s="4123"/>
      <c r="BL280" s="4123"/>
      <c r="BM280" s="4125"/>
      <c r="BN280" s="4125"/>
      <c r="BO280" s="4125"/>
      <c r="BP280" s="4127"/>
      <c r="BQ280" s="4129"/>
    </row>
    <row r="281" spans="1:180" s="2012" customFormat="1" ht="15.75" thickBot="1" x14ac:dyDescent="0.3">
      <c r="A281" s="4117"/>
      <c r="B281" s="4118"/>
      <c r="C281" s="4118"/>
      <c r="D281" s="4118"/>
      <c r="E281" s="4118"/>
      <c r="F281" s="4118"/>
      <c r="G281" s="4118"/>
      <c r="H281" s="4118"/>
      <c r="I281" s="4118"/>
      <c r="J281" s="4118"/>
      <c r="K281" s="4118"/>
      <c r="L281" s="4118"/>
      <c r="M281" s="4118"/>
      <c r="N281" s="4118"/>
      <c r="O281" s="4118"/>
      <c r="P281" s="4118"/>
      <c r="Q281" s="4119"/>
      <c r="R281" s="2000">
        <f>SUM(R13:R280)</f>
        <v>45458110034</v>
      </c>
      <c r="S281" s="2001"/>
      <c r="T281" s="2002"/>
      <c r="U281" s="2003"/>
      <c r="V281" s="2004">
        <f>SUM(V13:V280)</f>
        <v>45458110034</v>
      </c>
      <c r="W281" s="2004">
        <f>SUM(W13:W280)</f>
        <v>1418839042</v>
      </c>
      <c r="X281" s="2004">
        <f>SUM(X13:X280)</f>
        <v>193744383</v>
      </c>
      <c r="Y281" s="2005"/>
      <c r="Z281" s="2006"/>
      <c r="AA281" s="2007"/>
      <c r="AB281" s="2007"/>
      <c r="AC281" s="2007"/>
      <c r="AD281" s="2007"/>
      <c r="AE281" s="2007"/>
      <c r="AF281" s="2007"/>
      <c r="AG281" s="2007"/>
      <c r="AH281" s="2007"/>
      <c r="AI281" s="2007"/>
      <c r="AJ281" s="2007"/>
      <c r="AK281" s="2007"/>
      <c r="AL281" s="2007"/>
      <c r="AM281" s="2007"/>
      <c r="AN281" s="2007"/>
      <c r="AO281" s="2007"/>
      <c r="AP281" s="2007"/>
      <c r="AQ281" s="2007"/>
      <c r="AR281" s="2007"/>
      <c r="AS281" s="2007"/>
      <c r="AT281" s="2007"/>
      <c r="AU281" s="2007"/>
      <c r="AV281" s="2007"/>
      <c r="AW281" s="2007"/>
      <c r="AX281" s="2007"/>
      <c r="AY281" s="2007"/>
      <c r="AZ281" s="2007"/>
      <c r="BA281" s="2007"/>
      <c r="BB281" s="2007"/>
      <c r="BC281" s="2007"/>
      <c r="BD281" s="2007"/>
      <c r="BE281" s="2007"/>
      <c r="BF281" s="2007"/>
      <c r="BG281" s="2007"/>
      <c r="BH281" s="2004">
        <f>SUM(BH13:BH280)</f>
        <v>1418839042</v>
      </c>
      <c r="BI281" s="2004">
        <f>SUM(BI13:BI280)</f>
        <v>193744383</v>
      </c>
      <c r="BJ281" s="2008">
        <f>BI281/BH281</f>
        <v>0.13655134745016412</v>
      </c>
      <c r="BK281" s="2007"/>
      <c r="BL281" s="2007"/>
      <c r="BM281" s="2009"/>
      <c r="BN281" s="2009"/>
      <c r="BO281" s="2009"/>
      <c r="BP281" s="2010"/>
      <c r="BQ281" s="2011"/>
      <c r="BR281" s="1785"/>
      <c r="BS281" s="1785"/>
      <c r="BT281" s="1785"/>
      <c r="BU281" s="1785"/>
      <c r="BV281" s="1785"/>
      <c r="BW281" s="1785"/>
      <c r="BX281" s="1785"/>
      <c r="BY281" s="1785"/>
      <c r="BZ281" s="1785"/>
      <c r="CA281" s="1785"/>
      <c r="CB281" s="1785"/>
      <c r="CC281" s="1785"/>
      <c r="CD281" s="1785"/>
      <c r="CE281" s="1785"/>
      <c r="CF281" s="1785"/>
      <c r="CG281" s="1785"/>
      <c r="CH281" s="1785"/>
      <c r="CI281" s="1785"/>
      <c r="CJ281" s="1785"/>
      <c r="CK281" s="1785"/>
      <c r="CL281" s="1785"/>
      <c r="CM281" s="1785"/>
      <c r="CN281" s="1785"/>
      <c r="CO281" s="1785"/>
      <c r="CP281" s="1785"/>
      <c r="CQ281" s="1785"/>
      <c r="CR281" s="1785"/>
      <c r="CS281" s="1785"/>
      <c r="CT281" s="1785"/>
      <c r="CU281" s="1785"/>
      <c r="CV281" s="1785"/>
      <c r="CW281" s="1785"/>
      <c r="CX281" s="1785"/>
      <c r="CY281" s="1785"/>
      <c r="CZ281" s="1785"/>
      <c r="DA281" s="1785"/>
      <c r="DB281" s="1785"/>
      <c r="DC281" s="1785"/>
      <c r="DD281" s="1785"/>
      <c r="DE281" s="1785"/>
      <c r="DF281" s="1785"/>
      <c r="DG281" s="1785"/>
      <c r="DH281" s="1785"/>
      <c r="DI281" s="1785"/>
      <c r="DJ281" s="1785"/>
      <c r="DK281" s="1785"/>
      <c r="DL281" s="1785"/>
      <c r="DM281" s="1785"/>
      <c r="DN281" s="1785"/>
      <c r="DO281" s="1785"/>
      <c r="DP281" s="1785"/>
      <c r="DQ281" s="1785"/>
      <c r="DR281" s="1785"/>
      <c r="DS281" s="1785"/>
      <c r="DT281" s="1785"/>
      <c r="DU281" s="1785"/>
      <c r="DV281" s="1785"/>
      <c r="DW281" s="1785"/>
      <c r="DX281" s="1785"/>
      <c r="DY281" s="1785"/>
      <c r="DZ281" s="1785"/>
      <c r="EA281" s="1785"/>
      <c r="EB281" s="1785"/>
      <c r="EC281" s="1785"/>
      <c r="ED281" s="1785"/>
      <c r="EE281" s="1785"/>
      <c r="EF281" s="1785"/>
      <c r="EG281" s="1785"/>
      <c r="EH281" s="1785"/>
      <c r="EI281" s="1785"/>
      <c r="EJ281" s="1785"/>
      <c r="EK281" s="1785"/>
      <c r="EL281" s="1785"/>
      <c r="EM281" s="1785"/>
      <c r="EN281" s="1785"/>
      <c r="EO281" s="1785"/>
      <c r="EP281" s="1785"/>
      <c r="EQ281" s="1785"/>
      <c r="ER281" s="1785"/>
      <c r="ES281" s="1785"/>
      <c r="ET281" s="1785"/>
      <c r="EU281" s="1785"/>
      <c r="EV281" s="1785"/>
      <c r="EW281" s="1785"/>
      <c r="EX281" s="1785"/>
      <c r="EY281" s="1785"/>
      <c r="EZ281" s="1785"/>
      <c r="FA281" s="1785"/>
      <c r="FB281" s="1785"/>
      <c r="FC281" s="1785"/>
      <c r="FD281" s="1785"/>
      <c r="FE281" s="1785"/>
      <c r="FF281" s="1785"/>
      <c r="FG281" s="1785"/>
      <c r="FH281" s="1785"/>
      <c r="FI281" s="1785"/>
      <c r="FJ281" s="1785"/>
      <c r="FK281" s="1785"/>
      <c r="FL281" s="1785"/>
      <c r="FM281" s="1785"/>
      <c r="FN281" s="1785"/>
      <c r="FO281" s="1785"/>
      <c r="FP281" s="1785"/>
      <c r="FQ281" s="1785"/>
      <c r="FR281" s="1785"/>
      <c r="FS281" s="1785"/>
      <c r="FT281" s="1785"/>
      <c r="FU281" s="1785"/>
      <c r="FV281" s="1785"/>
      <c r="FW281" s="1785"/>
      <c r="FX281" s="1785"/>
    </row>
    <row r="282" spans="1:180" x14ac:dyDescent="0.2">
      <c r="V282" s="2017"/>
      <c r="W282" s="2017"/>
      <c r="X282" s="2017"/>
    </row>
    <row r="283" spans="1:180" ht="22.5" customHeight="1" x14ac:dyDescent="0.2">
      <c r="V283" s="2021"/>
      <c r="W283" s="2021"/>
      <c r="X283" s="2021"/>
      <c r="Y283" s="2021"/>
      <c r="Z283" s="2021"/>
    </row>
    <row r="284" spans="1:180" ht="43.5" customHeight="1" x14ac:dyDescent="0.2">
      <c r="R284" s="2022"/>
      <c r="V284" s="2023"/>
      <c r="W284" s="2023"/>
      <c r="X284" s="2023"/>
    </row>
    <row r="285" spans="1:180" ht="43.5" customHeight="1" x14ac:dyDescent="0.25">
      <c r="K285" s="4120"/>
      <c r="L285" s="4120"/>
      <c r="M285" s="4120"/>
      <c r="V285" s="2024"/>
      <c r="W285" s="2024"/>
      <c r="X285" s="2024"/>
    </row>
    <row r="286" spans="1:180" s="2016" customFormat="1" ht="43.5" customHeight="1" x14ac:dyDescent="0.2">
      <c r="A286" s="1785"/>
      <c r="B286" s="1785"/>
      <c r="C286" s="1785"/>
      <c r="D286" s="1785"/>
      <c r="E286" s="1785"/>
      <c r="F286" s="1785"/>
      <c r="G286" s="1785"/>
      <c r="H286" s="1785"/>
      <c r="I286" s="1785"/>
      <c r="J286" s="1785"/>
      <c r="K286" s="4121"/>
      <c r="L286" s="4121"/>
      <c r="M286" s="4121"/>
      <c r="N286" s="2014"/>
      <c r="O286" s="1815"/>
      <c r="P286" s="2015"/>
      <c r="R286" s="2014"/>
      <c r="S286" s="1815"/>
      <c r="T286" s="2015"/>
      <c r="U286" s="2013"/>
      <c r="V286" s="2013"/>
      <c r="W286" s="2013"/>
      <c r="X286" s="2013"/>
      <c r="AA286" s="2018"/>
      <c r="AB286" s="2018"/>
      <c r="AC286" s="2018"/>
      <c r="AD286" s="2018"/>
      <c r="AE286" s="2019"/>
      <c r="AF286" s="2019"/>
      <c r="AG286" s="2018"/>
      <c r="AH286" s="2018"/>
      <c r="AI286" s="2018"/>
      <c r="AJ286" s="2018"/>
      <c r="AK286" s="2018"/>
      <c r="AL286" s="2018"/>
      <c r="AM286" s="2018"/>
      <c r="AN286" s="2018"/>
      <c r="AO286" s="2020"/>
      <c r="AP286" s="2020"/>
      <c r="AQ286" s="2018"/>
      <c r="AR286" s="2018"/>
      <c r="AS286" s="2019"/>
      <c r="AT286" s="2019"/>
      <c r="AU286" s="2018"/>
      <c r="AV286" s="2018"/>
      <c r="AW286" s="2018"/>
      <c r="AX286" s="2018"/>
      <c r="AY286" s="2019"/>
      <c r="AZ286" s="2019"/>
      <c r="BA286" s="2019"/>
      <c r="BB286" s="2019"/>
      <c r="BC286" s="2019"/>
      <c r="BD286" s="2019"/>
      <c r="BE286" s="2019"/>
      <c r="BF286" s="2019"/>
      <c r="BG286" s="2019"/>
      <c r="BH286" s="2019"/>
      <c r="BI286" s="2019"/>
      <c r="BJ286" s="2019"/>
      <c r="BK286" s="2019"/>
      <c r="BL286" s="2019"/>
      <c r="BM286" s="1785"/>
      <c r="BN286" s="1785"/>
      <c r="BO286" s="1785"/>
      <c r="BP286" s="1785"/>
      <c r="BQ286" s="1785"/>
    </row>
    <row r="287" spans="1:180" s="2016" customFormat="1" ht="43.5" customHeight="1" x14ac:dyDescent="0.2">
      <c r="A287" s="1785"/>
      <c r="B287" s="1785"/>
      <c r="C287" s="1785"/>
      <c r="D287" s="1785"/>
      <c r="E287" s="1785"/>
      <c r="F287" s="1785"/>
      <c r="G287" s="1785"/>
      <c r="H287" s="1785"/>
      <c r="I287" s="1785"/>
      <c r="J287" s="1785"/>
      <c r="K287" s="2013"/>
      <c r="L287" s="1815"/>
      <c r="M287" s="1815"/>
      <c r="N287" s="2014"/>
      <c r="O287" s="1815"/>
      <c r="P287" s="2015"/>
      <c r="R287" s="2014"/>
      <c r="S287" s="1815"/>
      <c r="T287" s="2015"/>
      <c r="U287" s="2013"/>
      <c r="V287" s="2024"/>
      <c r="W287" s="2024"/>
      <c r="X287" s="2024"/>
      <c r="AA287" s="2018"/>
      <c r="AB287" s="2018"/>
      <c r="AC287" s="2018"/>
      <c r="AD287" s="2018"/>
      <c r="AE287" s="2019"/>
      <c r="AF287" s="2019"/>
      <c r="AG287" s="2018"/>
      <c r="AH287" s="2018"/>
      <c r="AI287" s="2018"/>
      <c r="AJ287" s="2018"/>
      <c r="AK287" s="2018"/>
      <c r="AL287" s="2018"/>
      <c r="AM287" s="2018"/>
      <c r="AN287" s="2018"/>
      <c r="AO287" s="2020"/>
      <c r="AP287" s="2020"/>
      <c r="AQ287" s="2018"/>
      <c r="AR287" s="2018"/>
      <c r="AS287" s="2019"/>
      <c r="AT287" s="2019"/>
      <c r="AU287" s="2018"/>
      <c r="AV287" s="2018"/>
      <c r="AW287" s="2018"/>
      <c r="AX287" s="2018"/>
      <c r="AY287" s="2019"/>
      <c r="AZ287" s="2019"/>
      <c r="BA287" s="2019"/>
      <c r="BB287" s="2019"/>
      <c r="BC287" s="2019"/>
      <c r="BD287" s="2019"/>
      <c r="BE287" s="2019"/>
      <c r="BF287" s="2019"/>
      <c r="BG287" s="2019"/>
      <c r="BH287" s="2019"/>
      <c r="BI287" s="2019"/>
      <c r="BJ287" s="2019"/>
      <c r="BK287" s="2019"/>
      <c r="BL287" s="2019"/>
      <c r="BM287" s="1785"/>
      <c r="BN287" s="1785"/>
      <c r="BO287" s="1785"/>
      <c r="BP287" s="1785"/>
      <c r="BQ287" s="1785"/>
    </row>
    <row r="288" spans="1:180" s="2016" customFormat="1" ht="43.5" customHeight="1" x14ac:dyDescent="0.2">
      <c r="A288" s="1785"/>
      <c r="B288" s="1785"/>
      <c r="C288" s="1785"/>
      <c r="D288" s="1785"/>
      <c r="E288" s="1785"/>
      <c r="F288" s="1785"/>
      <c r="G288" s="1785"/>
      <c r="H288" s="1785"/>
      <c r="I288" s="1785"/>
      <c r="J288" s="1785"/>
      <c r="K288" s="2013"/>
      <c r="L288" s="1815"/>
      <c r="M288" s="1815"/>
      <c r="N288" s="2014"/>
      <c r="O288" s="1815"/>
      <c r="P288" s="2015"/>
      <c r="R288" s="2014"/>
      <c r="S288" s="1815"/>
      <c r="T288" s="2015"/>
      <c r="U288" s="2013"/>
      <c r="V288" s="2013"/>
      <c r="W288" s="2013"/>
      <c r="X288" s="2013"/>
      <c r="AA288" s="2018"/>
      <c r="AB288" s="2018"/>
      <c r="AC288" s="2018"/>
      <c r="AD288" s="2018"/>
      <c r="AE288" s="2019"/>
      <c r="AF288" s="2019"/>
      <c r="AG288" s="2018"/>
      <c r="AH288" s="2018"/>
      <c r="AI288" s="2018"/>
      <c r="AJ288" s="2018"/>
      <c r="AK288" s="2018"/>
      <c r="AL288" s="2018"/>
      <c r="AM288" s="2018"/>
      <c r="AN288" s="2018"/>
      <c r="AO288" s="2020"/>
      <c r="AP288" s="2020"/>
      <c r="AQ288" s="2018"/>
      <c r="AR288" s="2018"/>
      <c r="AS288" s="2019"/>
      <c r="AT288" s="2019"/>
      <c r="AU288" s="2018"/>
      <c r="AV288" s="2018"/>
      <c r="AW288" s="2018"/>
      <c r="AX288" s="2018"/>
      <c r="AY288" s="2019"/>
      <c r="AZ288" s="2019"/>
      <c r="BA288" s="2019"/>
      <c r="BB288" s="2019"/>
      <c r="BC288" s="2019"/>
      <c r="BD288" s="2019"/>
      <c r="BE288" s="2019"/>
      <c r="BF288" s="2019"/>
      <c r="BG288" s="2019"/>
      <c r="BH288" s="2019"/>
      <c r="BI288" s="2019"/>
      <c r="BJ288" s="2019"/>
      <c r="BK288" s="2019"/>
      <c r="BL288" s="2019"/>
      <c r="BM288" s="1785"/>
      <c r="BN288" s="1785"/>
      <c r="BO288" s="1785"/>
      <c r="BP288" s="1785"/>
      <c r="BQ288" s="1785"/>
    </row>
  </sheetData>
  <sheetProtection algorithmName="SHA-512" hashValue="RY7SA+Zu3ig+gGS+uJYFDxxjKyyusMchxN1CGcU7dHYiKbD6mZxYMMOLnOybiodaNkFZ5MI8K14Hm5cpP9BfYA==" saltValue="p9+tH4ImOOZUb+5nJSmrfw==" spinCount="100000" sheet="1" objects="1" scenarios="1"/>
  <protectedRanges>
    <protectedRange sqref="U218" name="Rango1"/>
    <protectedRange sqref="U219" name="Rango1_1"/>
    <protectedRange sqref="U220:U221" name="Rango1_2"/>
    <protectedRange sqref="U227:U228" name="Rango1_2_1"/>
    <protectedRange sqref="U264" name="Rango1_1_1"/>
    <protectedRange sqref="U273" name="Rango1_1_2"/>
    <protectedRange sqref="U279" name="Rango1_3"/>
    <protectedRange sqref="U144:U147 U280" name="Rango1_1_3"/>
  </protectedRanges>
  <mergeCells count="1445">
    <mergeCell ref="P7:P9"/>
    <mergeCell ref="Q7:Q9"/>
    <mergeCell ref="R7:R9"/>
    <mergeCell ref="S7:S9"/>
    <mergeCell ref="T7:T9"/>
    <mergeCell ref="U7:U9"/>
    <mergeCell ref="H7:I9"/>
    <mergeCell ref="J7:J9"/>
    <mergeCell ref="K7:K9"/>
    <mergeCell ref="L7:M9"/>
    <mergeCell ref="N7:N9"/>
    <mergeCell ref="O7:O9"/>
    <mergeCell ref="A1:BO4"/>
    <mergeCell ref="A5:L6"/>
    <mergeCell ref="P5:BQ5"/>
    <mergeCell ref="P6:Z6"/>
    <mergeCell ref="BM6:BQ6"/>
    <mergeCell ref="A7:A9"/>
    <mergeCell ref="B7:C9"/>
    <mergeCell ref="D7:D9"/>
    <mergeCell ref="E7:F9"/>
    <mergeCell ref="G7:G9"/>
    <mergeCell ref="AQ8:AR8"/>
    <mergeCell ref="AS8:AT8"/>
    <mergeCell ref="AY7:BD7"/>
    <mergeCell ref="BE7:BF7"/>
    <mergeCell ref="BG7:BL7"/>
    <mergeCell ref="BM7:BN8"/>
    <mergeCell ref="BO7:BP8"/>
    <mergeCell ref="BQ7:BQ9"/>
    <mergeCell ref="BG8:BG9"/>
    <mergeCell ref="BH8:BH9"/>
    <mergeCell ref="BI8:BI9"/>
    <mergeCell ref="BJ8:BJ9"/>
    <mergeCell ref="V7:X8"/>
    <mergeCell ref="Y7:Y9"/>
    <mergeCell ref="Z7:Z8"/>
    <mergeCell ref="AA7:AD7"/>
    <mergeCell ref="AE7:AL7"/>
    <mergeCell ref="AM7:AX7"/>
    <mergeCell ref="AA8:AB8"/>
    <mergeCell ref="AC8:AD8"/>
    <mergeCell ref="AE8:AF8"/>
    <mergeCell ref="AG8:AH8"/>
    <mergeCell ref="AB13:AB31"/>
    <mergeCell ref="AC13:AC31"/>
    <mergeCell ref="AD13:AD31"/>
    <mergeCell ref="AE13:AE31"/>
    <mergeCell ref="AF13:AF31"/>
    <mergeCell ref="AG13:AG31"/>
    <mergeCell ref="AN13:AN31"/>
    <mergeCell ref="AO13:AO31"/>
    <mergeCell ref="AP13:AP31"/>
    <mergeCell ref="AQ13:AQ31"/>
    <mergeCell ref="AR13:AR31"/>
    <mergeCell ref="AS13:AS31"/>
    <mergeCell ref="AH13:AH31"/>
    <mergeCell ref="AI13:AI31"/>
    <mergeCell ref="AJ13:AJ31"/>
    <mergeCell ref="AK13:AK31"/>
    <mergeCell ref="AL13:AL31"/>
    <mergeCell ref="AM13:AM31"/>
    <mergeCell ref="Q13:Q19"/>
    <mergeCell ref="R13:R31"/>
    <mergeCell ref="S13:S31"/>
    <mergeCell ref="T13:T19"/>
    <mergeCell ref="Z13:Z31"/>
    <mergeCell ref="AA13:AA31"/>
    <mergeCell ref="BK8:BK9"/>
    <mergeCell ref="BL8:BL9"/>
    <mergeCell ref="A11:C11"/>
    <mergeCell ref="J13:J19"/>
    <mergeCell ref="K13:K19"/>
    <mergeCell ref="L13:L19"/>
    <mergeCell ref="M13:M19"/>
    <mergeCell ref="N13:N31"/>
    <mergeCell ref="O13:O31"/>
    <mergeCell ref="P13:P31"/>
    <mergeCell ref="AU8:AV8"/>
    <mergeCell ref="AW8:AX8"/>
    <mergeCell ref="AY8:AZ8"/>
    <mergeCell ref="BA8:BB8"/>
    <mergeCell ref="BC8:BD8"/>
    <mergeCell ref="BE8:BF8"/>
    <mergeCell ref="AI8:AJ8"/>
    <mergeCell ref="AK8:AL8"/>
    <mergeCell ref="AM8:AN8"/>
    <mergeCell ref="AO8:AP8"/>
    <mergeCell ref="AT13:AT31"/>
    <mergeCell ref="AU13:AU31"/>
    <mergeCell ref="AV13:AV31"/>
    <mergeCell ref="AW13:AW31"/>
    <mergeCell ref="AX13:AX31"/>
    <mergeCell ref="AY13:AY31"/>
    <mergeCell ref="BL13:BL31"/>
    <mergeCell ref="BM13:BM31"/>
    <mergeCell ref="BN13:BN31"/>
    <mergeCell ref="BO13:BO31"/>
    <mergeCell ref="BP13:BP31"/>
    <mergeCell ref="BQ13:BQ31"/>
    <mergeCell ref="BF13:BF31"/>
    <mergeCell ref="BG13:BG31"/>
    <mergeCell ref="BH13:BH31"/>
    <mergeCell ref="BI13:BI31"/>
    <mergeCell ref="BJ13:BJ31"/>
    <mergeCell ref="BK13:BK31"/>
    <mergeCell ref="AZ13:AZ31"/>
    <mergeCell ref="BA13:BA31"/>
    <mergeCell ref="BB13:BB31"/>
    <mergeCell ref="BC13:BC31"/>
    <mergeCell ref="BD13:BD31"/>
    <mergeCell ref="BE13:BE31"/>
    <mergeCell ref="N34:N37"/>
    <mergeCell ref="O34:O37"/>
    <mergeCell ref="P34:P37"/>
    <mergeCell ref="R34:R37"/>
    <mergeCell ref="S34:S37"/>
    <mergeCell ref="Z34:Z37"/>
    <mergeCell ref="J25:J31"/>
    <mergeCell ref="K25:K31"/>
    <mergeCell ref="L25:L31"/>
    <mergeCell ref="M25:M31"/>
    <mergeCell ref="Q25:Q31"/>
    <mergeCell ref="T25:T31"/>
    <mergeCell ref="J20:J24"/>
    <mergeCell ref="K20:K24"/>
    <mergeCell ref="L20:L24"/>
    <mergeCell ref="M20:M24"/>
    <mergeCell ref="Q20:Q24"/>
    <mergeCell ref="T20:T24"/>
    <mergeCell ref="AN34:AN37"/>
    <mergeCell ref="AO34:AO37"/>
    <mergeCell ref="AP34:AP37"/>
    <mergeCell ref="AQ34:AQ37"/>
    <mergeCell ref="AR34:AR37"/>
    <mergeCell ref="AG34:AG37"/>
    <mergeCell ref="AH34:AH37"/>
    <mergeCell ref="AI34:AI37"/>
    <mergeCell ref="AJ34:AJ37"/>
    <mergeCell ref="AK34:AK37"/>
    <mergeCell ref="AL34:AL37"/>
    <mergeCell ref="AA34:AA37"/>
    <mergeCell ref="AB34:AB37"/>
    <mergeCell ref="AC34:AC37"/>
    <mergeCell ref="AD34:AD37"/>
    <mergeCell ref="AE34:AE37"/>
    <mergeCell ref="AF34:AF37"/>
    <mergeCell ref="BQ34:BQ37"/>
    <mergeCell ref="J35:J37"/>
    <mergeCell ref="K35:K37"/>
    <mergeCell ref="L35:L37"/>
    <mergeCell ref="M35:M37"/>
    <mergeCell ref="Q35:Q37"/>
    <mergeCell ref="T35:T37"/>
    <mergeCell ref="BK34:BK37"/>
    <mergeCell ref="BL34:BL37"/>
    <mergeCell ref="BM34:BM37"/>
    <mergeCell ref="BN34:BN37"/>
    <mergeCell ref="BO34:BO37"/>
    <mergeCell ref="BP34:BP37"/>
    <mergeCell ref="BE34:BE37"/>
    <mergeCell ref="BF34:BF37"/>
    <mergeCell ref="BG34:BG37"/>
    <mergeCell ref="BH34:BH37"/>
    <mergeCell ref="BI34:BI37"/>
    <mergeCell ref="BJ34:BJ37"/>
    <mergeCell ref="AY34:AY37"/>
    <mergeCell ref="AZ34:AZ37"/>
    <mergeCell ref="BA34:BA37"/>
    <mergeCell ref="BB34:BB37"/>
    <mergeCell ref="BC34:BC37"/>
    <mergeCell ref="BD34:BD37"/>
    <mergeCell ref="AS34:AS37"/>
    <mergeCell ref="AT34:AT37"/>
    <mergeCell ref="AU34:AU37"/>
    <mergeCell ref="AV34:AV37"/>
    <mergeCell ref="AW34:AW37"/>
    <mergeCell ref="AX34:AX37"/>
    <mergeCell ref="AM34:AM37"/>
    <mergeCell ref="P39:P64"/>
    <mergeCell ref="Q39:Q42"/>
    <mergeCell ref="R39:R64"/>
    <mergeCell ref="S39:S64"/>
    <mergeCell ref="T39:T47"/>
    <mergeCell ref="Z39:Z64"/>
    <mergeCell ref="Q48:Q59"/>
    <mergeCell ref="T48:T64"/>
    <mergeCell ref="Q60:Q64"/>
    <mergeCell ref="J39:J42"/>
    <mergeCell ref="K39:K42"/>
    <mergeCell ref="L39:L42"/>
    <mergeCell ref="M39:M42"/>
    <mergeCell ref="N39:N64"/>
    <mergeCell ref="O39:O64"/>
    <mergeCell ref="J60:J64"/>
    <mergeCell ref="K60:K64"/>
    <mergeCell ref="L60:L64"/>
    <mergeCell ref="M60:M64"/>
    <mergeCell ref="AW39:AW64"/>
    <mergeCell ref="AX39:AX64"/>
    <mergeCell ref="AM39:AM64"/>
    <mergeCell ref="AN39:AN64"/>
    <mergeCell ref="AO39:AO64"/>
    <mergeCell ref="AP39:AP64"/>
    <mergeCell ref="AQ39:AQ64"/>
    <mergeCell ref="AR39:AR64"/>
    <mergeCell ref="AG39:AG64"/>
    <mergeCell ref="AH39:AH64"/>
    <mergeCell ref="AI39:AI64"/>
    <mergeCell ref="AJ39:AJ64"/>
    <mergeCell ref="AK39:AK64"/>
    <mergeCell ref="AL39:AL64"/>
    <mergeCell ref="AA39:AA64"/>
    <mergeCell ref="AB39:AB64"/>
    <mergeCell ref="AC39:AC64"/>
    <mergeCell ref="AD39:AD64"/>
    <mergeCell ref="AE39:AE64"/>
    <mergeCell ref="AF39:AF64"/>
    <mergeCell ref="BQ39:BQ64"/>
    <mergeCell ref="J43:J47"/>
    <mergeCell ref="K43:K47"/>
    <mergeCell ref="L43:L47"/>
    <mergeCell ref="M43:M47"/>
    <mergeCell ref="Q43:Q47"/>
    <mergeCell ref="J48:J59"/>
    <mergeCell ref="K48:K59"/>
    <mergeCell ref="L48:L59"/>
    <mergeCell ref="M48:M59"/>
    <mergeCell ref="BK39:BK64"/>
    <mergeCell ref="BL39:BL64"/>
    <mergeCell ref="BM39:BM64"/>
    <mergeCell ref="BN39:BN64"/>
    <mergeCell ref="BO39:BO64"/>
    <mergeCell ref="BP39:BP64"/>
    <mergeCell ref="BE39:BE64"/>
    <mergeCell ref="BF39:BF64"/>
    <mergeCell ref="BG39:BG64"/>
    <mergeCell ref="BH39:BH64"/>
    <mergeCell ref="BI39:BI64"/>
    <mergeCell ref="BJ39:BJ64"/>
    <mergeCell ref="AY39:AY64"/>
    <mergeCell ref="AZ39:AZ64"/>
    <mergeCell ref="BA39:BA64"/>
    <mergeCell ref="BB39:BB64"/>
    <mergeCell ref="BC39:BC64"/>
    <mergeCell ref="BD39:BD64"/>
    <mergeCell ref="AS39:AS64"/>
    <mergeCell ref="AT39:AT64"/>
    <mergeCell ref="AU39:AU64"/>
    <mergeCell ref="AV39:AV64"/>
    <mergeCell ref="AA66:AA83"/>
    <mergeCell ref="AB66:AB83"/>
    <mergeCell ref="AC66:AC83"/>
    <mergeCell ref="AD66:AD83"/>
    <mergeCell ref="AE66:AE83"/>
    <mergeCell ref="AF66:AF83"/>
    <mergeCell ref="P66:P83"/>
    <mergeCell ref="Q66:Q70"/>
    <mergeCell ref="R66:R83"/>
    <mergeCell ref="S66:S83"/>
    <mergeCell ref="T66:T70"/>
    <mergeCell ref="Z66:Z83"/>
    <mergeCell ref="Q77:Q83"/>
    <mergeCell ref="T77:T83"/>
    <mergeCell ref="J66:J70"/>
    <mergeCell ref="K66:K70"/>
    <mergeCell ref="L66:L70"/>
    <mergeCell ref="M66:M70"/>
    <mergeCell ref="N66:N83"/>
    <mergeCell ref="O66:O83"/>
    <mergeCell ref="M77:M83"/>
    <mergeCell ref="BB66:BB83"/>
    <mergeCell ref="BC66:BC83"/>
    <mergeCell ref="BD66:BD83"/>
    <mergeCell ref="AS66:AS83"/>
    <mergeCell ref="AT66:AT83"/>
    <mergeCell ref="AU66:AU83"/>
    <mergeCell ref="AV66:AV83"/>
    <mergeCell ref="AW66:AW83"/>
    <mergeCell ref="AX66:AX83"/>
    <mergeCell ref="AM66:AM83"/>
    <mergeCell ref="AN66:AN83"/>
    <mergeCell ref="AO66:AO83"/>
    <mergeCell ref="AP66:AP83"/>
    <mergeCell ref="AQ66:AQ83"/>
    <mergeCell ref="AR66:AR83"/>
    <mergeCell ref="AG66:AG83"/>
    <mergeCell ref="AH66:AH83"/>
    <mergeCell ref="AI66:AI83"/>
    <mergeCell ref="AJ66:AJ83"/>
    <mergeCell ref="AK66:AK83"/>
    <mergeCell ref="AL66:AL83"/>
    <mergeCell ref="J85:J88"/>
    <mergeCell ref="K85:K88"/>
    <mergeCell ref="L85:L88"/>
    <mergeCell ref="M85:M88"/>
    <mergeCell ref="N85:N95"/>
    <mergeCell ref="O85:O95"/>
    <mergeCell ref="M93:M95"/>
    <mergeCell ref="BQ66:BQ83"/>
    <mergeCell ref="J71:J76"/>
    <mergeCell ref="K71:K76"/>
    <mergeCell ref="L71:L76"/>
    <mergeCell ref="M71:M76"/>
    <mergeCell ref="Q71:Q76"/>
    <mergeCell ref="T71:T76"/>
    <mergeCell ref="J77:J83"/>
    <mergeCell ref="K77:K83"/>
    <mergeCell ref="L77:L83"/>
    <mergeCell ref="BK66:BK83"/>
    <mergeCell ref="BL66:BL83"/>
    <mergeCell ref="BM66:BM83"/>
    <mergeCell ref="BN66:BN83"/>
    <mergeCell ref="BO66:BO83"/>
    <mergeCell ref="BP66:BP83"/>
    <mergeCell ref="BE66:BE83"/>
    <mergeCell ref="BF66:BF83"/>
    <mergeCell ref="BG66:BG83"/>
    <mergeCell ref="BH66:BH83"/>
    <mergeCell ref="BI66:BI83"/>
    <mergeCell ref="BJ66:BJ83"/>
    <mergeCell ref="AY66:AY83"/>
    <mergeCell ref="AZ66:AZ83"/>
    <mergeCell ref="BA66:BA83"/>
    <mergeCell ref="AG85:AG95"/>
    <mergeCell ref="AH85:AH95"/>
    <mergeCell ref="AI85:AI95"/>
    <mergeCell ref="AJ85:AJ95"/>
    <mergeCell ref="AK85:AK95"/>
    <mergeCell ref="AL85:AL95"/>
    <mergeCell ref="AA85:AA95"/>
    <mergeCell ref="AB85:AB95"/>
    <mergeCell ref="AC85:AC95"/>
    <mergeCell ref="AD85:AD95"/>
    <mergeCell ref="AE85:AE95"/>
    <mergeCell ref="AF85:AF95"/>
    <mergeCell ref="P85:P95"/>
    <mergeCell ref="Q85:Q88"/>
    <mergeCell ref="R85:R95"/>
    <mergeCell ref="S85:S95"/>
    <mergeCell ref="T85:T88"/>
    <mergeCell ref="Z85:Z95"/>
    <mergeCell ref="Q93:Q95"/>
    <mergeCell ref="T93:T95"/>
    <mergeCell ref="BH85:BH95"/>
    <mergeCell ref="BI85:BI95"/>
    <mergeCell ref="BJ85:BJ95"/>
    <mergeCell ref="AY85:AY95"/>
    <mergeCell ref="AZ85:AZ95"/>
    <mergeCell ref="BA85:BA95"/>
    <mergeCell ref="BB85:BB95"/>
    <mergeCell ref="BC85:BC95"/>
    <mergeCell ref="BD85:BD95"/>
    <mergeCell ref="AS85:AS95"/>
    <mergeCell ref="AT85:AT95"/>
    <mergeCell ref="AU85:AU95"/>
    <mergeCell ref="AV85:AV95"/>
    <mergeCell ref="AW85:AW95"/>
    <mergeCell ref="AX85:AX95"/>
    <mergeCell ref="AM85:AM95"/>
    <mergeCell ref="AN85:AN95"/>
    <mergeCell ref="AO85:AO95"/>
    <mergeCell ref="AP85:AP95"/>
    <mergeCell ref="AQ85:AQ95"/>
    <mergeCell ref="AR85:AR95"/>
    <mergeCell ref="P97:P108"/>
    <mergeCell ref="Q97:Q100"/>
    <mergeCell ref="R97:R108"/>
    <mergeCell ref="S97:S108"/>
    <mergeCell ref="T97:T100"/>
    <mergeCell ref="Z97:Z100"/>
    <mergeCell ref="U107:U108"/>
    <mergeCell ref="J97:J100"/>
    <mergeCell ref="K97:K100"/>
    <mergeCell ref="L97:L100"/>
    <mergeCell ref="M97:M100"/>
    <mergeCell ref="N97:N108"/>
    <mergeCell ref="O97:O108"/>
    <mergeCell ref="BQ85:BQ95"/>
    <mergeCell ref="J89:J92"/>
    <mergeCell ref="K89:K92"/>
    <mergeCell ref="L89:L92"/>
    <mergeCell ref="M89:M92"/>
    <mergeCell ref="Q89:Q92"/>
    <mergeCell ref="T89:T92"/>
    <mergeCell ref="J93:J95"/>
    <mergeCell ref="K93:K95"/>
    <mergeCell ref="L93:L95"/>
    <mergeCell ref="BK85:BK95"/>
    <mergeCell ref="BL85:BL95"/>
    <mergeCell ref="BM85:BM95"/>
    <mergeCell ref="BN85:BN95"/>
    <mergeCell ref="BO85:BO95"/>
    <mergeCell ref="BP85:BP95"/>
    <mergeCell ref="BE85:BE95"/>
    <mergeCell ref="BF85:BF95"/>
    <mergeCell ref="BG85:BG95"/>
    <mergeCell ref="AW97:AW108"/>
    <mergeCell ref="AX97:AX108"/>
    <mergeCell ref="AM97:AM108"/>
    <mergeCell ref="AN97:AN108"/>
    <mergeCell ref="AO97:AO108"/>
    <mergeCell ref="AP97:AP108"/>
    <mergeCell ref="AQ97:AQ108"/>
    <mergeCell ref="AR97:AR108"/>
    <mergeCell ref="AG97:AG108"/>
    <mergeCell ref="AH97:AH108"/>
    <mergeCell ref="AI97:AI108"/>
    <mergeCell ref="AJ97:AJ108"/>
    <mergeCell ref="AK97:AK108"/>
    <mergeCell ref="AL97:AL108"/>
    <mergeCell ref="AA97:AA108"/>
    <mergeCell ref="AB97:AB108"/>
    <mergeCell ref="AC97:AC108"/>
    <mergeCell ref="AD97:AD108"/>
    <mergeCell ref="AE97:AE108"/>
    <mergeCell ref="AF97:AF108"/>
    <mergeCell ref="BQ97:BQ108"/>
    <mergeCell ref="J101:J108"/>
    <mergeCell ref="K101:K108"/>
    <mergeCell ref="L101:L108"/>
    <mergeCell ref="M101:M108"/>
    <mergeCell ref="Q101:Q108"/>
    <mergeCell ref="T101:T108"/>
    <mergeCell ref="U101:U102"/>
    <mergeCell ref="U103:U104"/>
    <mergeCell ref="U105:U106"/>
    <mergeCell ref="BK97:BK108"/>
    <mergeCell ref="BL97:BL108"/>
    <mergeCell ref="BM97:BM108"/>
    <mergeCell ref="BN97:BN108"/>
    <mergeCell ref="BO97:BO108"/>
    <mergeCell ref="BP97:BP108"/>
    <mergeCell ref="BE97:BE108"/>
    <mergeCell ref="BF97:BF108"/>
    <mergeCell ref="BG97:BG108"/>
    <mergeCell ref="BH97:BH108"/>
    <mergeCell ref="BI97:BI108"/>
    <mergeCell ref="BJ97:BJ108"/>
    <mergeCell ref="AY97:AY108"/>
    <mergeCell ref="AZ97:AZ108"/>
    <mergeCell ref="BA97:BA108"/>
    <mergeCell ref="BB97:BB108"/>
    <mergeCell ref="BC97:BC108"/>
    <mergeCell ref="BD97:BD108"/>
    <mergeCell ref="AS97:AS108"/>
    <mergeCell ref="AT97:AT108"/>
    <mergeCell ref="AU97:AU108"/>
    <mergeCell ref="AV97:AV108"/>
    <mergeCell ref="AA109:AA120"/>
    <mergeCell ref="AB109:AB120"/>
    <mergeCell ref="AC109:AC120"/>
    <mergeCell ref="AD109:AD120"/>
    <mergeCell ref="AE109:AE120"/>
    <mergeCell ref="AF109:AF120"/>
    <mergeCell ref="P109:P120"/>
    <mergeCell ref="Q109:Q116"/>
    <mergeCell ref="R109:R120"/>
    <mergeCell ref="S109:S120"/>
    <mergeCell ref="T109:T116"/>
    <mergeCell ref="U109:U110"/>
    <mergeCell ref="J109:J116"/>
    <mergeCell ref="K109:K116"/>
    <mergeCell ref="L109:L116"/>
    <mergeCell ref="M109:M116"/>
    <mergeCell ref="N109:N120"/>
    <mergeCell ref="O109:O120"/>
    <mergeCell ref="AS109:AS120"/>
    <mergeCell ref="AT109:AT120"/>
    <mergeCell ref="AU109:AU120"/>
    <mergeCell ref="AV109:AV120"/>
    <mergeCell ref="AW109:AW120"/>
    <mergeCell ref="AX109:AX120"/>
    <mergeCell ref="AM109:AM120"/>
    <mergeCell ref="AN109:AN120"/>
    <mergeCell ref="AO109:AO120"/>
    <mergeCell ref="AP109:AP120"/>
    <mergeCell ref="AQ109:AQ120"/>
    <mergeCell ref="AR109:AR120"/>
    <mergeCell ref="AG109:AG120"/>
    <mergeCell ref="AH109:AH120"/>
    <mergeCell ref="AI109:AI120"/>
    <mergeCell ref="AJ109:AJ120"/>
    <mergeCell ref="AK109:AK120"/>
    <mergeCell ref="AL109:AL120"/>
    <mergeCell ref="J121:J143"/>
    <mergeCell ref="K121:K143"/>
    <mergeCell ref="L121:L143"/>
    <mergeCell ref="M121:M143"/>
    <mergeCell ref="O121:O143"/>
    <mergeCell ref="P121:P143"/>
    <mergeCell ref="BQ109:BQ120"/>
    <mergeCell ref="U112:U113"/>
    <mergeCell ref="J117:J120"/>
    <mergeCell ref="K117:K120"/>
    <mergeCell ref="L117:L120"/>
    <mergeCell ref="M117:M120"/>
    <mergeCell ref="Q117:Q120"/>
    <mergeCell ref="T117:T120"/>
    <mergeCell ref="BK109:BK120"/>
    <mergeCell ref="BL109:BL120"/>
    <mergeCell ref="BM109:BM120"/>
    <mergeCell ref="BN109:BN120"/>
    <mergeCell ref="BO109:BO120"/>
    <mergeCell ref="BP109:BP120"/>
    <mergeCell ref="BE109:BE120"/>
    <mergeCell ref="BF109:BF120"/>
    <mergeCell ref="BG109:BG120"/>
    <mergeCell ref="BH109:BH120"/>
    <mergeCell ref="BI109:BI120"/>
    <mergeCell ref="BJ109:BJ120"/>
    <mergeCell ref="AY109:AY120"/>
    <mergeCell ref="AZ109:AZ120"/>
    <mergeCell ref="BA109:BA120"/>
    <mergeCell ref="BB109:BB120"/>
    <mergeCell ref="BC109:BC120"/>
    <mergeCell ref="BD109:BD120"/>
    <mergeCell ref="AK121:AK143"/>
    <mergeCell ref="AL121:AL143"/>
    <mergeCell ref="AM121:AM143"/>
    <mergeCell ref="AB121:AB143"/>
    <mergeCell ref="AC121:AC143"/>
    <mergeCell ref="AD121:AD143"/>
    <mergeCell ref="AE121:AE143"/>
    <mergeCell ref="AF121:AF143"/>
    <mergeCell ref="AG121:AG143"/>
    <mergeCell ref="Q121:Q143"/>
    <mergeCell ref="R121:R143"/>
    <mergeCell ref="S121:S143"/>
    <mergeCell ref="T121:T126"/>
    <mergeCell ref="U121:U123"/>
    <mergeCell ref="AA121:AA143"/>
    <mergeCell ref="U124:U126"/>
    <mergeCell ref="T127:T130"/>
    <mergeCell ref="U128:U130"/>
    <mergeCell ref="T131:T143"/>
    <mergeCell ref="BM121:BM143"/>
    <mergeCell ref="BN121:BN143"/>
    <mergeCell ref="BO121:BO143"/>
    <mergeCell ref="BP121:BP143"/>
    <mergeCell ref="BQ121:BQ143"/>
    <mergeCell ref="BF121:BF143"/>
    <mergeCell ref="BG121:BG143"/>
    <mergeCell ref="BH121:BH143"/>
    <mergeCell ref="BI121:BI143"/>
    <mergeCell ref="BJ121:BJ143"/>
    <mergeCell ref="BK121:BK143"/>
    <mergeCell ref="AZ121:AZ143"/>
    <mergeCell ref="BA121:BA143"/>
    <mergeCell ref="BB121:BB143"/>
    <mergeCell ref="BC121:BC143"/>
    <mergeCell ref="BD121:BD143"/>
    <mergeCell ref="BE121:BE143"/>
    <mergeCell ref="P144:P147"/>
    <mergeCell ref="R144:R147"/>
    <mergeCell ref="S144:S147"/>
    <mergeCell ref="T144:T147"/>
    <mergeCell ref="AA144:AA147"/>
    <mergeCell ref="AB144:AB147"/>
    <mergeCell ref="U131:U133"/>
    <mergeCell ref="U134:U136"/>
    <mergeCell ref="U138:U140"/>
    <mergeCell ref="U141:U143"/>
    <mergeCell ref="J144:J147"/>
    <mergeCell ref="K144:K147"/>
    <mergeCell ref="L144:L147"/>
    <mergeCell ref="M144:M147"/>
    <mergeCell ref="N144:N147"/>
    <mergeCell ref="O144:O147"/>
    <mergeCell ref="BL121:BL143"/>
    <mergeCell ref="AT121:AT143"/>
    <mergeCell ref="AU121:AU143"/>
    <mergeCell ref="AV121:AV143"/>
    <mergeCell ref="AW121:AW143"/>
    <mergeCell ref="AX121:AX143"/>
    <mergeCell ref="AY121:AY143"/>
    <mergeCell ref="AN121:AN143"/>
    <mergeCell ref="AO121:AO143"/>
    <mergeCell ref="AP121:AP143"/>
    <mergeCell ref="AQ121:AQ143"/>
    <mergeCell ref="AR121:AR143"/>
    <mergeCell ref="AS121:AS143"/>
    <mergeCell ref="AH121:AH143"/>
    <mergeCell ref="AI121:AI143"/>
    <mergeCell ref="AJ121:AJ143"/>
    <mergeCell ref="AY144:AY147"/>
    <mergeCell ref="AZ144:AZ147"/>
    <mergeCell ref="AO144:AO147"/>
    <mergeCell ref="AP144:AP147"/>
    <mergeCell ref="AQ144:AQ147"/>
    <mergeCell ref="AR144:AR147"/>
    <mergeCell ref="AS144:AS147"/>
    <mergeCell ref="AT144:AT147"/>
    <mergeCell ref="AI144:AI147"/>
    <mergeCell ref="AJ144:AJ147"/>
    <mergeCell ref="AK144:AK147"/>
    <mergeCell ref="AL144:AL147"/>
    <mergeCell ref="AM144:AM147"/>
    <mergeCell ref="AN144:AN147"/>
    <mergeCell ref="AC144:AC147"/>
    <mergeCell ref="AD144:AD147"/>
    <mergeCell ref="AE144:AE147"/>
    <mergeCell ref="AF144:AF147"/>
    <mergeCell ref="AG144:AG147"/>
    <mergeCell ref="AH144:AH147"/>
    <mergeCell ref="O150:O156"/>
    <mergeCell ref="P150:P156"/>
    <mergeCell ref="Q150:Q152"/>
    <mergeCell ref="R150:R156"/>
    <mergeCell ref="S150:S156"/>
    <mergeCell ref="T150:T152"/>
    <mergeCell ref="BM144:BM147"/>
    <mergeCell ref="BN144:BN147"/>
    <mergeCell ref="BO144:BO147"/>
    <mergeCell ref="BP144:BP147"/>
    <mergeCell ref="BQ144:BQ147"/>
    <mergeCell ref="J150:J152"/>
    <mergeCell ref="K150:K152"/>
    <mergeCell ref="L150:L152"/>
    <mergeCell ref="M150:M152"/>
    <mergeCell ref="N150:N156"/>
    <mergeCell ref="BG144:BG147"/>
    <mergeCell ref="BH144:BH147"/>
    <mergeCell ref="BI144:BI147"/>
    <mergeCell ref="BJ144:BJ147"/>
    <mergeCell ref="BK144:BK147"/>
    <mergeCell ref="BL144:BL147"/>
    <mergeCell ref="BA144:BA147"/>
    <mergeCell ref="BB144:BB147"/>
    <mergeCell ref="BC144:BC147"/>
    <mergeCell ref="BD144:BD147"/>
    <mergeCell ref="BE144:BE147"/>
    <mergeCell ref="BF144:BF147"/>
    <mergeCell ref="AU144:AU147"/>
    <mergeCell ref="AV144:AV147"/>
    <mergeCell ref="AW144:AW147"/>
    <mergeCell ref="AX144:AX147"/>
    <mergeCell ref="AN150:AN156"/>
    <mergeCell ref="AO150:AO156"/>
    <mergeCell ref="AP150:AP156"/>
    <mergeCell ref="AQ150:AQ156"/>
    <mergeCell ref="AR150:AR156"/>
    <mergeCell ref="AG150:AG156"/>
    <mergeCell ref="AH150:AH156"/>
    <mergeCell ref="AI150:AI156"/>
    <mergeCell ref="AJ150:AJ156"/>
    <mergeCell ref="AK150:AK156"/>
    <mergeCell ref="AL150:AL156"/>
    <mergeCell ref="AA150:AA156"/>
    <mergeCell ref="AB150:AB156"/>
    <mergeCell ref="AC150:AC156"/>
    <mergeCell ref="AD150:AD156"/>
    <mergeCell ref="AE150:AE156"/>
    <mergeCell ref="AF150:AF156"/>
    <mergeCell ref="BQ150:BQ156"/>
    <mergeCell ref="J153:J156"/>
    <mergeCell ref="K153:K156"/>
    <mergeCell ref="L153:L156"/>
    <mergeCell ref="M153:M156"/>
    <mergeCell ref="Q153:Q156"/>
    <mergeCell ref="T153:T156"/>
    <mergeCell ref="BK150:BK156"/>
    <mergeCell ref="BL150:BL156"/>
    <mergeCell ref="BM150:BM156"/>
    <mergeCell ref="BN150:BN156"/>
    <mergeCell ref="BO150:BO156"/>
    <mergeCell ref="BP150:BP156"/>
    <mergeCell ref="BE150:BE156"/>
    <mergeCell ref="BF150:BF156"/>
    <mergeCell ref="BG150:BG156"/>
    <mergeCell ref="BH150:BH156"/>
    <mergeCell ref="BI150:BI156"/>
    <mergeCell ref="BJ150:BJ156"/>
    <mergeCell ref="AY150:AY156"/>
    <mergeCell ref="AZ150:AZ156"/>
    <mergeCell ref="BA150:BA156"/>
    <mergeCell ref="BB150:BB156"/>
    <mergeCell ref="BC150:BC156"/>
    <mergeCell ref="BD150:BD156"/>
    <mergeCell ref="AS150:AS156"/>
    <mergeCell ref="AT150:AT156"/>
    <mergeCell ref="AU150:AU156"/>
    <mergeCell ref="AV150:AV156"/>
    <mergeCell ref="AW150:AW156"/>
    <mergeCell ref="AX150:AX156"/>
    <mergeCell ref="AM150:AM156"/>
    <mergeCell ref="P158:P168"/>
    <mergeCell ref="Q158:Q163"/>
    <mergeCell ref="R158:R168"/>
    <mergeCell ref="S158:S168"/>
    <mergeCell ref="T158:T163"/>
    <mergeCell ref="AA158:AA168"/>
    <mergeCell ref="Q164:Q168"/>
    <mergeCell ref="T164:T168"/>
    <mergeCell ref="J158:J163"/>
    <mergeCell ref="K158:K163"/>
    <mergeCell ref="L158:L163"/>
    <mergeCell ref="M158:M163"/>
    <mergeCell ref="N158:N168"/>
    <mergeCell ref="O158:O168"/>
    <mergeCell ref="J164:J168"/>
    <mergeCell ref="K164:K168"/>
    <mergeCell ref="L164:L168"/>
    <mergeCell ref="M164:M168"/>
    <mergeCell ref="AX158:AX168"/>
    <mergeCell ref="AY158:AY168"/>
    <mergeCell ref="AN158:AN168"/>
    <mergeCell ref="AO158:AO168"/>
    <mergeCell ref="AP158:AP168"/>
    <mergeCell ref="AQ158:AQ168"/>
    <mergeCell ref="AR158:AR168"/>
    <mergeCell ref="AS158:AS168"/>
    <mergeCell ref="AH158:AH168"/>
    <mergeCell ref="AI158:AI168"/>
    <mergeCell ref="AJ158:AJ168"/>
    <mergeCell ref="AK158:AK168"/>
    <mergeCell ref="AL158:AL168"/>
    <mergeCell ref="AM158:AM168"/>
    <mergeCell ref="AB158:AB168"/>
    <mergeCell ref="AC158:AC168"/>
    <mergeCell ref="AD158:AD168"/>
    <mergeCell ref="AE158:AE168"/>
    <mergeCell ref="AF158:AF168"/>
    <mergeCell ref="AG158:AG168"/>
    <mergeCell ref="J170:J172"/>
    <mergeCell ref="K170:K172"/>
    <mergeCell ref="L170:L172"/>
    <mergeCell ref="M170:M172"/>
    <mergeCell ref="O170:O180"/>
    <mergeCell ref="P170:P180"/>
    <mergeCell ref="J174:J180"/>
    <mergeCell ref="K174:K180"/>
    <mergeCell ref="L174:L180"/>
    <mergeCell ref="M174:M180"/>
    <mergeCell ref="BL158:BL168"/>
    <mergeCell ref="BM158:BM168"/>
    <mergeCell ref="BN158:BN168"/>
    <mergeCell ref="BO158:BO168"/>
    <mergeCell ref="BP158:BP168"/>
    <mergeCell ref="BQ158:BQ168"/>
    <mergeCell ref="BF158:BF168"/>
    <mergeCell ref="BG158:BG168"/>
    <mergeCell ref="BH158:BH168"/>
    <mergeCell ref="BI158:BI168"/>
    <mergeCell ref="BJ158:BJ168"/>
    <mergeCell ref="BK158:BK168"/>
    <mergeCell ref="AZ158:AZ168"/>
    <mergeCell ref="BA158:BA168"/>
    <mergeCell ref="BB158:BB168"/>
    <mergeCell ref="BC158:BC168"/>
    <mergeCell ref="BD158:BD168"/>
    <mergeCell ref="BE158:BE168"/>
    <mergeCell ref="AT158:AT168"/>
    <mergeCell ref="AU158:AU168"/>
    <mergeCell ref="AV158:AV168"/>
    <mergeCell ref="AW158:AW168"/>
    <mergeCell ref="AK170:AK180"/>
    <mergeCell ref="AL170:AL180"/>
    <mergeCell ref="AM170:AM180"/>
    <mergeCell ref="AN170:AN180"/>
    <mergeCell ref="AC170:AC180"/>
    <mergeCell ref="AD170:AD180"/>
    <mergeCell ref="AE170:AE180"/>
    <mergeCell ref="AF170:AF180"/>
    <mergeCell ref="AG170:AG180"/>
    <mergeCell ref="AH170:AH180"/>
    <mergeCell ref="Q170:Q172"/>
    <mergeCell ref="R170:R180"/>
    <mergeCell ref="S170:S180"/>
    <mergeCell ref="T170:T172"/>
    <mergeCell ref="AA170:AA180"/>
    <mergeCell ref="AB170:AB180"/>
    <mergeCell ref="Q174:Q180"/>
    <mergeCell ref="BM170:BM180"/>
    <mergeCell ref="BN170:BN180"/>
    <mergeCell ref="BO170:BO180"/>
    <mergeCell ref="BP170:BP180"/>
    <mergeCell ref="BQ170:BQ180"/>
    <mergeCell ref="T173:T180"/>
    <mergeCell ref="BG170:BG180"/>
    <mergeCell ref="BH170:BH180"/>
    <mergeCell ref="BI170:BI180"/>
    <mergeCell ref="BJ170:BJ180"/>
    <mergeCell ref="BK170:BK180"/>
    <mergeCell ref="BL170:BL180"/>
    <mergeCell ref="BA170:BA180"/>
    <mergeCell ref="BB170:BB180"/>
    <mergeCell ref="BC170:BC180"/>
    <mergeCell ref="BD170:BD180"/>
    <mergeCell ref="BE170:BE180"/>
    <mergeCell ref="BF170:BF180"/>
    <mergeCell ref="AU170:AU180"/>
    <mergeCell ref="AV170:AV180"/>
    <mergeCell ref="AW170:AW180"/>
    <mergeCell ref="AX170:AX180"/>
    <mergeCell ref="AY170:AY180"/>
    <mergeCell ref="AZ170:AZ180"/>
    <mergeCell ref="AO170:AO180"/>
    <mergeCell ref="AP170:AP180"/>
    <mergeCell ref="AQ170:AQ180"/>
    <mergeCell ref="AR170:AR180"/>
    <mergeCell ref="AS170:AS180"/>
    <mergeCell ref="AT170:AT180"/>
    <mergeCell ref="AI170:AI180"/>
    <mergeCell ref="AJ170:AJ180"/>
    <mergeCell ref="P182:P209"/>
    <mergeCell ref="Q182:Q187"/>
    <mergeCell ref="R182:R209"/>
    <mergeCell ref="S182:S209"/>
    <mergeCell ref="T182:T187"/>
    <mergeCell ref="AA182:AA209"/>
    <mergeCell ref="Q188:Q195"/>
    <mergeCell ref="T188:T195"/>
    <mergeCell ref="J182:J187"/>
    <mergeCell ref="K182:K187"/>
    <mergeCell ref="L182:L187"/>
    <mergeCell ref="M182:M187"/>
    <mergeCell ref="N182:N209"/>
    <mergeCell ref="O182:O209"/>
    <mergeCell ref="J188:J195"/>
    <mergeCell ref="K188:K195"/>
    <mergeCell ref="L188:L195"/>
    <mergeCell ref="M188:M195"/>
    <mergeCell ref="J202:J209"/>
    <mergeCell ref="K202:K209"/>
    <mergeCell ref="L202:L209"/>
    <mergeCell ref="M202:M209"/>
    <mergeCell ref="Q202:Q209"/>
    <mergeCell ref="T202:T209"/>
    <mergeCell ref="J196:J201"/>
    <mergeCell ref="K196:K201"/>
    <mergeCell ref="L196:L201"/>
    <mergeCell ref="M196:M201"/>
    <mergeCell ref="Q196:Q201"/>
    <mergeCell ref="BQ182:BQ209"/>
    <mergeCell ref="BF182:BF209"/>
    <mergeCell ref="BG182:BG209"/>
    <mergeCell ref="BH182:BH209"/>
    <mergeCell ref="BI182:BI209"/>
    <mergeCell ref="BJ182:BJ209"/>
    <mergeCell ref="BK182:BK209"/>
    <mergeCell ref="AZ182:AZ209"/>
    <mergeCell ref="BA182:BA209"/>
    <mergeCell ref="BB182:BB209"/>
    <mergeCell ref="BC182:BC209"/>
    <mergeCell ref="BD182:BD209"/>
    <mergeCell ref="BE182:BE209"/>
    <mergeCell ref="AT182:AT209"/>
    <mergeCell ref="AU182:AU209"/>
    <mergeCell ref="AV182:AV209"/>
    <mergeCell ref="AW182:AW209"/>
    <mergeCell ref="AX182:AX209"/>
    <mergeCell ref="AY182:AY209"/>
    <mergeCell ref="T196:T201"/>
    <mergeCell ref="BL182:BL209"/>
    <mergeCell ref="BM182:BM209"/>
    <mergeCell ref="BN182:BN209"/>
    <mergeCell ref="BO182:BO209"/>
    <mergeCell ref="BP182:BP209"/>
    <mergeCell ref="AN182:AN209"/>
    <mergeCell ref="AO182:AO209"/>
    <mergeCell ref="AP182:AP209"/>
    <mergeCell ref="AQ182:AQ209"/>
    <mergeCell ref="AR182:AR209"/>
    <mergeCell ref="AS182:AS209"/>
    <mergeCell ref="AH182:AH209"/>
    <mergeCell ref="AI182:AI209"/>
    <mergeCell ref="AJ182:AJ209"/>
    <mergeCell ref="AK182:AK209"/>
    <mergeCell ref="AL182:AL209"/>
    <mergeCell ref="AM182:AM209"/>
    <mergeCell ref="AB182:AB209"/>
    <mergeCell ref="AC182:AC209"/>
    <mergeCell ref="AD182:AD209"/>
    <mergeCell ref="AE182:AE209"/>
    <mergeCell ref="AF182:AF209"/>
    <mergeCell ref="AG182:AG209"/>
    <mergeCell ref="AB211:AB214"/>
    <mergeCell ref="AC211:AC214"/>
    <mergeCell ref="AD211:AD214"/>
    <mergeCell ref="AE211:AE214"/>
    <mergeCell ref="AF211:AF214"/>
    <mergeCell ref="AG211:AG214"/>
    <mergeCell ref="P211:P214"/>
    <mergeCell ref="Q211:Q214"/>
    <mergeCell ref="R211:R214"/>
    <mergeCell ref="S211:S214"/>
    <mergeCell ref="T211:T214"/>
    <mergeCell ref="AA211:AA214"/>
    <mergeCell ref="J211:J214"/>
    <mergeCell ref="K211:K214"/>
    <mergeCell ref="L211:L214"/>
    <mergeCell ref="M211:M214"/>
    <mergeCell ref="N211:N214"/>
    <mergeCell ref="O211:O214"/>
    <mergeCell ref="AT211:AT214"/>
    <mergeCell ref="AU211:AU214"/>
    <mergeCell ref="AV211:AV214"/>
    <mergeCell ref="AW211:AW214"/>
    <mergeCell ref="AX211:AX214"/>
    <mergeCell ref="AY211:AY214"/>
    <mergeCell ref="AN211:AN214"/>
    <mergeCell ref="AO211:AO214"/>
    <mergeCell ref="AP211:AP214"/>
    <mergeCell ref="AQ211:AQ214"/>
    <mergeCell ref="AR211:AR214"/>
    <mergeCell ref="AS211:AS214"/>
    <mergeCell ref="AH211:AH214"/>
    <mergeCell ref="AI211:AI214"/>
    <mergeCell ref="AJ211:AJ214"/>
    <mergeCell ref="AK211:AK214"/>
    <mergeCell ref="AL211:AL214"/>
    <mergeCell ref="AM211:AM214"/>
    <mergeCell ref="BL211:BL214"/>
    <mergeCell ref="BM211:BM214"/>
    <mergeCell ref="BN211:BN214"/>
    <mergeCell ref="BO211:BO214"/>
    <mergeCell ref="BP211:BP214"/>
    <mergeCell ref="BQ211:BQ214"/>
    <mergeCell ref="BF211:BF214"/>
    <mergeCell ref="BG211:BG214"/>
    <mergeCell ref="BH211:BH214"/>
    <mergeCell ref="BI211:BI214"/>
    <mergeCell ref="BJ211:BJ214"/>
    <mergeCell ref="BK211:BK214"/>
    <mergeCell ref="AZ211:AZ214"/>
    <mergeCell ref="BA211:BA214"/>
    <mergeCell ref="BB211:BB214"/>
    <mergeCell ref="BC211:BC214"/>
    <mergeCell ref="BD211:BD214"/>
    <mergeCell ref="BE211:BE214"/>
    <mergeCell ref="Z216:Z222"/>
    <mergeCell ref="AA216:AA222"/>
    <mergeCell ref="AB216:AB222"/>
    <mergeCell ref="AC216:AC222"/>
    <mergeCell ref="AD216:AD222"/>
    <mergeCell ref="AE216:AE222"/>
    <mergeCell ref="P216:P222"/>
    <mergeCell ref="Q216:Q222"/>
    <mergeCell ref="R216:R222"/>
    <mergeCell ref="S216:S222"/>
    <mergeCell ref="T216:T219"/>
    <mergeCell ref="Y216:Y222"/>
    <mergeCell ref="J216:J222"/>
    <mergeCell ref="K216:K222"/>
    <mergeCell ref="L216:L222"/>
    <mergeCell ref="M216:M222"/>
    <mergeCell ref="N216:N222"/>
    <mergeCell ref="O216:O222"/>
    <mergeCell ref="BA216:BA222"/>
    <mergeCell ref="BB216:BB222"/>
    <mergeCell ref="BC216:BC222"/>
    <mergeCell ref="AR216:AR222"/>
    <mergeCell ref="AS216:AS222"/>
    <mergeCell ref="AT216:AT222"/>
    <mergeCell ref="AU216:AU222"/>
    <mergeCell ref="AV216:AV222"/>
    <mergeCell ref="AW216:AW222"/>
    <mergeCell ref="AL216:AL222"/>
    <mergeCell ref="AM216:AM222"/>
    <mergeCell ref="AN216:AN222"/>
    <mergeCell ref="AO216:AO222"/>
    <mergeCell ref="AP216:AP222"/>
    <mergeCell ref="AQ216:AQ222"/>
    <mergeCell ref="AF216:AF222"/>
    <mergeCell ref="AG216:AG222"/>
    <mergeCell ref="AH216:AH222"/>
    <mergeCell ref="AI216:AI222"/>
    <mergeCell ref="AJ216:AJ222"/>
    <mergeCell ref="AK216:AK222"/>
    <mergeCell ref="Q223:Q226"/>
    <mergeCell ref="R223:R231"/>
    <mergeCell ref="S223:S231"/>
    <mergeCell ref="T223:T226"/>
    <mergeCell ref="AA223:AA231"/>
    <mergeCell ref="AB223:AB231"/>
    <mergeCell ref="T227:T231"/>
    <mergeCell ref="BP216:BP222"/>
    <mergeCell ref="BQ216:BQ222"/>
    <mergeCell ref="T220:T221"/>
    <mergeCell ref="J223:J226"/>
    <mergeCell ref="K223:K226"/>
    <mergeCell ref="L223:L226"/>
    <mergeCell ref="M223:M226"/>
    <mergeCell ref="N223:N231"/>
    <mergeCell ref="O223:O231"/>
    <mergeCell ref="P223:P231"/>
    <mergeCell ref="BJ216:BJ222"/>
    <mergeCell ref="BK216:BK222"/>
    <mergeCell ref="BL216:BL222"/>
    <mergeCell ref="BM216:BM222"/>
    <mergeCell ref="BN216:BN222"/>
    <mergeCell ref="BO216:BO222"/>
    <mergeCell ref="BD216:BD222"/>
    <mergeCell ref="BE216:BE222"/>
    <mergeCell ref="BF216:BF222"/>
    <mergeCell ref="BG216:BG222"/>
    <mergeCell ref="BH216:BH222"/>
    <mergeCell ref="BI216:BI222"/>
    <mergeCell ref="AX216:AX222"/>
    <mergeCell ref="AY216:AY222"/>
    <mergeCell ref="AZ216:AZ222"/>
    <mergeCell ref="AY223:AY231"/>
    <mergeCell ref="AZ223:AZ231"/>
    <mergeCell ref="AO223:AO231"/>
    <mergeCell ref="AP223:AP231"/>
    <mergeCell ref="AQ223:AQ231"/>
    <mergeCell ref="AR223:AR231"/>
    <mergeCell ref="AS223:AS231"/>
    <mergeCell ref="AT223:AT231"/>
    <mergeCell ref="AI223:AI231"/>
    <mergeCell ref="AJ223:AJ231"/>
    <mergeCell ref="AK223:AK231"/>
    <mergeCell ref="AL223:AL231"/>
    <mergeCell ref="AM223:AM231"/>
    <mergeCell ref="AN223:AN231"/>
    <mergeCell ref="AC223:AC231"/>
    <mergeCell ref="AD223:AD231"/>
    <mergeCell ref="AE223:AE231"/>
    <mergeCell ref="AF223:AF231"/>
    <mergeCell ref="AG223:AG231"/>
    <mergeCell ref="AH223:AH231"/>
    <mergeCell ref="D233:F240"/>
    <mergeCell ref="G234:I235"/>
    <mergeCell ref="J234:J235"/>
    <mergeCell ref="K234:K235"/>
    <mergeCell ref="L234:L235"/>
    <mergeCell ref="M234:M235"/>
    <mergeCell ref="BM223:BM231"/>
    <mergeCell ref="BN223:BN231"/>
    <mergeCell ref="BO223:BO231"/>
    <mergeCell ref="BP223:BP231"/>
    <mergeCell ref="BQ223:BQ231"/>
    <mergeCell ref="J227:J231"/>
    <mergeCell ref="K227:K231"/>
    <mergeCell ref="L227:L231"/>
    <mergeCell ref="M227:M231"/>
    <mergeCell ref="Q227:Q231"/>
    <mergeCell ref="BG223:BG231"/>
    <mergeCell ref="BH223:BH231"/>
    <mergeCell ref="BI223:BI231"/>
    <mergeCell ref="BJ223:BJ231"/>
    <mergeCell ref="BK223:BK231"/>
    <mergeCell ref="BL223:BL231"/>
    <mergeCell ref="BA223:BA231"/>
    <mergeCell ref="BB223:BB231"/>
    <mergeCell ref="BC223:BC231"/>
    <mergeCell ref="BD223:BD231"/>
    <mergeCell ref="BE223:BE231"/>
    <mergeCell ref="BF223:BF231"/>
    <mergeCell ref="AU223:AU231"/>
    <mergeCell ref="AV223:AV231"/>
    <mergeCell ref="AW223:AW231"/>
    <mergeCell ref="AX223:AX231"/>
    <mergeCell ref="AD234:AD240"/>
    <mergeCell ref="AE234:AE240"/>
    <mergeCell ref="AF234:AF240"/>
    <mergeCell ref="AG234:AG240"/>
    <mergeCell ref="AH234:AH240"/>
    <mergeCell ref="AI234:AI240"/>
    <mergeCell ref="T234:T235"/>
    <mergeCell ref="Y234:Y235"/>
    <mergeCell ref="Z234:Z235"/>
    <mergeCell ref="AA234:AA240"/>
    <mergeCell ref="AB234:AB240"/>
    <mergeCell ref="AC234:AC240"/>
    <mergeCell ref="T239:T240"/>
    <mergeCell ref="Y239:Y240"/>
    <mergeCell ref="Z239:Z240"/>
    <mergeCell ref="N234:N235"/>
    <mergeCell ref="O234:O240"/>
    <mergeCell ref="P234:P240"/>
    <mergeCell ref="Q234:Q235"/>
    <mergeCell ref="R234:R240"/>
    <mergeCell ref="S234:S239"/>
    <mergeCell ref="Q239:Q240"/>
    <mergeCell ref="BF234:BF240"/>
    <mergeCell ref="BG234:BG240"/>
    <mergeCell ref="AV234:AV240"/>
    <mergeCell ref="AW234:AW240"/>
    <mergeCell ref="AX234:AX240"/>
    <mergeCell ref="AY234:AY240"/>
    <mergeCell ref="AZ234:AZ240"/>
    <mergeCell ref="BA234:BA240"/>
    <mergeCell ref="AP234:AP240"/>
    <mergeCell ref="AQ234:AQ240"/>
    <mergeCell ref="AR234:AR240"/>
    <mergeCell ref="AS234:AS240"/>
    <mergeCell ref="AT234:AT240"/>
    <mergeCell ref="AU234:AU240"/>
    <mergeCell ref="AJ234:AJ240"/>
    <mergeCell ref="AK234:AK240"/>
    <mergeCell ref="AL234:AL240"/>
    <mergeCell ref="AM234:AM240"/>
    <mergeCell ref="AN234:AN240"/>
    <mergeCell ref="AO234:AO240"/>
    <mergeCell ref="P243:P248"/>
    <mergeCell ref="Q243:Q248"/>
    <mergeCell ref="R243:R248"/>
    <mergeCell ref="S243:S248"/>
    <mergeCell ref="T243:T248"/>
    <mergeCell ref="U243:U248"/>
    <mergeCell ref="J243:J248"/>
    <mergeCell ref="K243:K248"/>
    <mergeCell ref="L243:L248"/>
    <mergeCell ref="M243:M248"/>
    <mergeCell ref="N243:N248"/>
    <mergeCell ref="O243:O248"/>
    <mergeCell ref="BN234:BN240"/>
    <mergeCell ref="BO234:BO240"/>
    <mergeCell ref="BP234:BP240"/>
    <mergeCell ref="BQ234:BQ240"/>
    <mergeCell ref="G239:I240"/>
    <mergeCell ref="J239:J240"/>
    <mergeCell ref="K239:K240"/>
    <mergeCell ref="L239:L240"/>
    <mergeCell ref="M239:M240"/>
    <mergeCell ref="N239:N240"/>
    <mergeCell ref="BH234:BH240"/>
    <mergeCell ref="BI234:BI240"/>
    <mergeCell ref="BJ234:BJ240"/>
    <mergeCell ref="BK234:BK240"/>
    <mergeCell ref="BL234:BL240"/>
    <mergeCell ref="BM234:BM240"/>
    <mergeCell ref="BB234:BB240"/>
    <mergeCell ref="BC234:BC240"/>
    <mergeCell ref="BD234:BD240"/>
    <mergeCell ref="BE234:BE240"/>
    <mergeCell ref="AW243:AW248"/>
    <mergeCell ref="AX243:AX248"/>
    <mergeCell ref="AM243:AM248"/>
    <mergeCell ref="AN243:AN248"/>
    <mergeCell ref="AO243:AO248"/>
    <mergeCell ref="AP243:AP248"/>
    <mergeCell ref="AQ243:AQ248"/>
    <mergeCell ref="AR243:AR248"/>
    <mergeCell ref="AG243:AG248"/>
    <mergeCell ref="AH243:AH248"/>
    <mergeCell ref="AI243:AI248"/>
    <mergeCell ref="AJ243:AJ248"/>
    <mergeCell ref="AK243:AK248"/>
    <mergeCell ref="AL243:AL248"/>
    <mergeCell ref="AA243:AA248"/>
    <mergeCell ref="AB243:AB248"/>
    <mergeCell ref="AC243:AC248"/>
    <mergeCell ref="AD243:AD248"/>
    <mergeCell ref="AE243:AE248"/>
    <mergeCell ref="AF243:AF248"/>
    <mergeCell ref="BQ243:BQ248"/>
    <mergeCell ref="J250:J252"/>
    <mergeCell ref="K250:K252"/>
    <mergeCell ref="L250:L252"/>
    <mergeCell ref="M250:M252"/>
    <mergeCell ref="N250:N252"/>
    <mergeCell ref="O250:O252"/>
    <mergeCell ref="P250:P252"/>
    <mergeCell ref="Q250:Q252"/>
    <mergeCell ref="R250:R252"/>
    <mergeCell ref="BK243:BK248"/>
    <mergeCell ref="BL243:BL248"/>
    <mergeCell ref="BM243:BM248"/>
    <mergeCell ref="BN243:BN248"/>
    <mergeCell ref="BO243:BO248"/>
    <mergeCell ref="BP243:BP248"/>
    <mergeCell ref="BE243:BE248"/>
    <mergeCell ref="BF243:BF248"/>
    <mergeCell ref="BG243:BG248"/>
    <mergeCell ref="BH243:BH248"/>
    <mergeCell ref="BI243:BI248"/>
    <mergeCell ref="BJ243:BJ248"/>
    <mergeCell ref="AY243:AY248"/>
    <mergeCell ref="AZ243:AZ248"/>
    <mergeCell ref="BA243:BA248"/>
    <mergeCell ref="BB243:BB248"/>
    <mergeCell ref="BC243:BC248"/>
    <mergeCell ref="BD243:BD248"/>
    <mergeCell ref="AS243:AS248"/>
    <mergeCell ref="AT243:AT248"/>
    <mergeCell ref="AU243:AU248"/>
    <mergeCell ref="AV243:AV248"/>
    <mergeCell ref="AV250:AV252"/>
    <mergeCell ref="AW250:AW252"/>
    <mergeCell ref="AL250:AL252"/>
    <mergeCell ref="AM250:AM252"/>
    <mergeCell ref="AN250:AN252"/>
    <mergeCell ref="AO250:AO252"/>
    <mergeCell ref="AP250:AP252"/>
    <mergeCell ref="AQ250:AQ252"/>
    <mergeCell ref="AF250:AF252"/>
    <mergeCell ref="AG250:AG252"/>
    <mergeCell ref="AH250:AH252"/>
    <mergeCell ref="AI250:AI252"/>
    <mergeCell ref="AJ250:AJ252"/>
    <mergeCell ref="AK250:AK252"/>
    <mergeCell ref="S250:S252"/>
    <mergeCell ref="AA250:AA252"/>
    <mergeCell ref="AB250:AB252"/>
    <mergeCell ref="AC250:AC252"/>
    <mergeCell ref="AD250:AD252"/>
    <mergeCell ref="AE250:AE252"/>
    <mergeCell ref="BP250:BP252"/>
    <mergeCell ref="BQ250:BQ252"/>
    <mergeCell ref="J254:J259"/>
    <mergeCell ref="K254:K259"/>
    <mergeCell ref="L254:L259"/>
    <mergeCell ref="M254:M259"/>
    <mergeCell ref="N254:N259"/>
    <mergeCell ref="O254:O259"/>
    <mergeCell ref="P254:P259"/>
    <mergeCell ref="Q254:Q259"/>
    <mergeCell ref="BJ250:BJ252"/>
    <mergeCell ref="BK250:BK252"/>
    <mergeCell ref="BL250:BL252"/>
    <mergeCell ref="BM250:BM252"/>
    <mergeCell ref="BN250:BN252"/>
    <mergeCell ref="BO250:BO252"/>
    <mergeCell ref="BD250:BD252"/>
    <mergeCell ref="BE250:BE252"/>
    <mergeCell ref="BF250:BF252"/>
    <mergeCell ref="BG250:BG252"/>
    <mergeCell ref="BH250:BH252"/>
    <mergeCell ref="BI250:BI252"/>
    <mergeCell ref="AX250:AX252"/>
    <mergeCell ref="AY250:AY252"/>
    <mergeCell ref="AZ250:AZ252"/>
    <mergeCell ref="BA250:BA252"/>
    <mergeCell ref="BB250:BB252"/>
    <mergeCell ref="BC250:BC252"/>
    <mergeCell ref="AR250:AR252"/>
    <mergeCell ref="AS250:AS252"/>
    <mergeCell ref="AT250:AT252"/>
    <mergeCell ref="AU250:AU252"/>
    <mergeCell ref="AT254:AT259"/>
    <mergeCell ref="AU254:AU259"/>
    <mergeCell ref="AJ254:AJ259"/>
    <mergeCell ref="AK254:AK259"/>
    <mergeCell ref="AL254:AL259"/>
    <mergeCell ref="AM254:AM259"/>
    <mergeCell ref="AN254:AN259"/>
    <mergeCell ref="AO254:AO259"/>
    <mergeCell ref="AD254:AD259"/>
    <mergeCell ref="AE254:AE259"/>
    <mergeCell ref="AF254:AF259"/>
    <mergeCell ref="AG254:AG259"/>
    <mergeCell ref="AH254:AH259"/>
    <mergeCell ref="AI254:AI259"/>
    <mergeCell ref="R254:R259"/>
    <mergeCell ref="S254:S259"/>
    <mergeCell ref="T254:T258"/>
    <mergeCell ref="AA254:AA259"/>
    <mergeCell ref="AB254:AB259"/>
    <mergeCell ref="AC254:AC259"/>
    <mergeCell ref="BN254:BN259"/>
    <mergeCell ref="BO254:BO259"/>
    <mergeCell ref="BP254:BP259"/>
    <mergeCell ref="BQ254:BQ259"/>
    <mergeCell ref="J261:J267"/>
    <mergeCell ref="K261:K267"/>
    <mergeCell ref="L261:L267"/>
    <mergeCell ref="M261:M267"/>
    <mergeCell ref="N261:N268"/>
    <mergeCell ref="O261:O268"/>
    <mergeCell ref="BH254:BH259"/>
    <mergeCell ref="BI254:BI259"/>
    <mergeCell ref="BJ254:BJ259"/>
    <mergeCell ref="BK254:BK259"/>
    <mergeCell ref="BL254:BL259"/>
    <mergeCell ref="BM254:BM259"/>
    <mergeCell ref="BB254:BB259"/>
    <mergeCell ref="BC254:BC259"/>
    <mergeCell ref="BD254:BD259"/>
    <mergeCell ref="BE254:BE259"/>
    <mergeCell ref="BF254:BF259"/>
    <mergeCell ref="BG254:BG259"/>
    <mergeCell ref="AV254:AV259"/>
    <mergeCell ref="AW254:AW259"/>
    <mergeCell ref="AX254:AX259"/>
    <mergeCell ref="AY254:AY259"/>
    <mergeCell ref="AZ254:AZ259"/>
    <mergeCell ref="BA254:BA259"/>
    <mergeCell ref="AP254:AP259"/>
    <mergeCell ref="AQ254:AQ259"/>
    <mergeCell ref="AR254:AR259"/>
    <mergeCell ref="AS254:AS259"/>
    <mergeCell ref="AP261:AP268"/>
    <mergeCell ref="AQ261:AQ268"/>
    <mergeCell ref="AR261:AR268"/>
    <mergeCell ref="AS261:AS268"/>
    <mergeCell ref="AH261:AH268"/>
    <mergeCell ref="AI261:AI268"/>
    <mergeCell ref="AJ261:AJ268"/>
    <mergeCell ref="AK261:AK268"/>
    <mergeCell ref="AL261:AL268"/>
    <mergeCell ref="AM261:AM268"/>
    <mergeCell ref="AB261:AB268"/>
    <mergeCell ref="AC261:AC268"/>
    <mergeCell ref="AD261:AD268"/>
    <mergeCell ref="AE261:AE268"/>
    <mergeCell ref="AF261:AF268"/>
    <mergeCell ref="AG261:AG268"/>
    <mergeCell ref="P261:P268"/>
    <mergeCell ref="Q261:Q267"/>
    <mergeCell ref="R261:R268"/>
    <mergeCell ref="S261:S268"/>
    <mergeCell ref="T261:T263"/>
    <mergeCell ref="AA261:AA268"/>
    <mergeCell ref="T264:T267"/>
    <mergeCell ref="J270:J272"/>
    <mergeCell ref="K270:K272"/>
    <mergeCell ref="L270:L272"/>
    <mergeCell ref="M270:M272"/>
    <mergeCell ref="N270:N273"/>
    <mergeCell ref="O270:O273"/>
    <mergeCell ref="BL261:BL268"/>
    <mergeCell ref="BM261:BM268"/>
    <mergeCell ref="BN261:BN268"/>
    <mergeCell ref="BO261:BO268"/>
    <mergeCell ref="BP261:BP268"/>
    <mergeCell ref="BQ261:BQ268"/>
    <mergeCell ref="BF261:BF268"/>
    <mergeCell ref="BG261:BG268"/>
    <mergeCell ref="BH261:BH268"/>
    <mergeCell ref="BI261:BI268"/>
    <mergeCell ref="BJ261:BJ268"/>
    <mergeCell ref="BK261:BK268"/>
    <mergeCell ref="AZ261:AZ268"/>
    <mergeCell ref="BA261:BA268"/>
    <mergeCell ref="BB261:BB268"/>
    <mergeCell ref="BC261:BC268"/>
    <mergeCell ref="BD261:BD268"/>
    <mergeCell ref="BE261:BE268"/>
    <mergeCell ref="AT261:AT268"/>
    <mergeCell ref="AU261:AU268"/>
    <mergeCell ref="AV261:AV268"/>
    <mergeCell ref="AW261:AW268"/>
    <mergeCell ref="AX261:AX268"/>
    <mergeCell ref="AY261:AY268"/>
    <mergeCell ref="AN261:AN268"/>
    <mergeCell ref="AO261:AO268"/>
    <mergeCell ref="AP270:AP273"/>
    <mergeCell ref="AQ270:AQ273"/>
    <mergeCell ref="AR270:AR273"/>
    <mergeCell ref="AS270:AS273"/>
    <mergeCell ref="AH270:AH273"/>
    <mergeCell ref="AI270:AI273"/>
    <mergeCell ref="AJ270:AJ273"/>
    <mergeCell ref="AK270:AK273"/>
    <mergeCell ref="AL270:AL273"/>
    <mergeCell ref="AM270:AM273"/>
    <mergeCell ref="AB270:AB273"/>
    <mergeCell ref="AC270:AC273"/>
    <mergeCell ref="AD270:AD273"/>
    <mergeCell ref="AE270:AE273"/>
    <mergeCell ref="AF270:AF273"/>
    <mergeCell ref="AG270:AG273"/>
    <mergeCell ref="P270:P273"/>
    <mergeCell ref="Q270:Q273"/>
    <mergeCell ref="R270:R273"/>
    <mergeCell ref="S270:S273"/>
    <mergeCell ref="T270:T272"/>
    <mergeCell ref="AA270:AA273"/>
    <mergeCell ref="J276:J280"/>
    <mergeCell ref="K276:K280"/>
    <mergeCell ref="L276:L280"/>
    <mergeCell ref="M276:M280"/>
    <mergeCell ref="N276:N280"/>
    <mergeCell ref="O276:O280"/>
    <mergeCell ref="BL270:BL273"/>
    <mergeCell ref="BM270:BM273"/>
    <mergeCell ref="BN270:BN273"/>
    <mergeCell ref="BO270:BO273"/>
    <mergeCell ref="BP270:BP273"/>
    <mergeCell ref="BQ270:BQ273"/>
    <mergeCell ref="BF270:BF273"/>
    <mergeCell ref="BG270:BG273"/>
    <mergeCell ref="BH270:BH273"/>
    <mergeCell ref="BI270:BI273"/>
    <mergeCell ref="BJ270:BJ273"/>
    <mergeCell ref="BK270:BK273"/>
    <mergeCell ref="AZ270:AZ273"/>
    <mergeCell ref="BA270:BA273"/>
    <mergeCell ref="BB270:BB273"/>
    <mergeCell ref="BC270:BC273"/>
    <mergeCell ref="BD270:BD273"/>
    <mergeCell ref="BE270:BE273"/>
    <mergeCell ref="AT270:AT273"/>
    <mergeCell ref="AU270:AU273"/>
    <mergeCell ref="AV270:AV273"/>
    <mergeCell ref="AW270:AW273"/>
    <mergeCell ref="AX270:AX273"/>
    <mergeCell ref="AY270:AY273"/>
    <mergeCell ref="AN270:AN273"/>
    <mergeCell ref="AO270:AO273"/>
    <mergeCell ref="AS276:AS280"/>
    <mergeCell ref="AH276:AH280"/>
    <mergeCell ref="AI276:AI280"/>
    <mergeCell ref="AJ276:AJ280"/>
    <mergeCell ref="AK276:AK280"/>
    <mergeCell ref="AL276:AL280"/>
    <mergeCell ref="AM276:AM280"/>
    <mergeCell ref="AB276:AB280"/>
    <mergeCell ref="AC276:AC280"/>
    <mergeCell ref="AD276:AD280"/>
    <mergeCell ref="AE276:AE280"/>
    <mergeCell ref="AF276:AF280"/>
    <mergeCell ref="AG276:AG280"/>
    <mergeCell ref="P276:P280"/>
    <mergeCell ref="Q276:Q280"/>
    <mergeCell ref="R276:R280"/>
    <mergeCell ref="S276:S280"/>
    <mergeCell ref="T276:T278"/>
    <mergeCell ref="AA276:AA280"/>
    <mergeCell ref="T279:T280"/>
    <mergeCell ref="A281:Q281"/>
    <mergeCell ref="K285:M285"/>
    <mergeCell ref="K286:M286"/>
    <mergeCell ref="BL276:BL280"/>
    <mergeCell ref="BM276:BM280"/>
    <mergeCell ref="BN276:BN280"/>
    <mergeCell ref="BO276:BO280"/>
    <mergeCell ref="BP276:BP280"/>
    <mergeCell ref="BQ276:BQ280"/>
    <mergeCell ref="BF276:BF280"/>
    <mergeCell ref="BG276:BG280"/>
    <mergeCell ref="BH276:BH280"/>
    <mergeCell ref="BI276:BI280"/>
    <mergeCell ref="BJ276:BJ280"/>
    <mergeCell ref="BK276:BK280"/>
    <mergeCell ref="AZ276:AZ280"/>
    <mergeCell ref="BA276:BA280"/>
    <mergeCell ref="BB276:BB280"/>
    <mergeCell ref="BC276:BC280"/>
    <mergeCell ref="BD276:BD280"/>
    <mergeCell ref="BE276:BE280"/>
    <mergeCell ref="AT276:AT280"/>
    <mergeCell ref="AU276:AU280"/>
    <mergeCell ref="AV276:AV280"/>
    <mergeCell ref="AW276:AW280"/>
    <mergeCell ref="AX276:AX280"/>
    <mergeCell ref="AY276:AY280"/>
    <mergeCell ref="AN276:AN280"/>
    <mergeCell ref="AO276:AO280"/>
    <mergeCell ref="AP276:AP280"/>
    <mergeCell ref="AQ276:AQ280"/>
    <mergeCell ref="AR276:AR280"/>
  </mergeCells>
  <dataValidations count="1">
    <dataValidation operator="greaterThanOrEqual" allowBlank="1" showInputMessage="1" showErrorMessage="1" sqref="U218:U221 U227:U228 U264 U273 U144:U147 U279:U280" xr:uid="{00000000-0002-0000-0A00-000000000000}"/>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Q33"/>
  <sheetViews>
    <sheetView showGridLines="0" zoomScale="64" zoomScaleNormal="64" workbookViewId="0">
      <selection activeCell="K7" sqref="K7:K15"/>
    </sheetView>
  </sheetViews>
  <sheetFormatPr baseColWidth="10" defaultColWidth="11.42578125" defaultRowHeight="14.25" x14ac:dyDescent="0.2"/>
  <cols>
    <col min="1" max="1" width="15.85546875" style="2" customWidth="1"/>
    <col min="2" max="2" width="8.42578125" style="2" customWidth="1"/>
    <col min="3" max="3" width="14.28515625" style="2" customWidth="1"/>
    <col min="4" max="4" width="17.28515625" style="2" customWidth="1"/>
    <col min="5" max="5" width="22.140625" style="2" customWidth="1"/>
    <col min="6" max="6" width="17" style="2" customWidth="1"/>
    <col min="7" max="7" width="38.42578125" style="2" customWidth="1"/>
    <col min="8" max="8" width="4.28515625" style="2" customWidth="1"/>
    <col min="9" max="9" width="12.140625" style="2" customWidth="1"/>
    <col min="10" max="10" width="24.5703125" style="86" customWidth="1"/>
    <col min="11" max="11" width="21.85546875" style="86" customWidth="1"/>
    <col min="12" max="12" width="8" style="2" hidden="1" customWidth="1"/>
    <col min="13" max="13" width="9.28515625" style="2" hidden="1" customWidth="1"/>
    <col min="14" max="14" width="29.85546875" style="2" customWidth="1"/>
    <col min="15" max="15" width="21" style="2" customWidth="1"/>
    <col min="16" max="16" width="25.42578125" style="86" customWidth="1"/>
    <col min="17" max="17" width="17" style="2" customWidth="1"/>
    <col min="18" max="18" width="20.140625" style="86" customWidth="1"/>
    <col min="19" max="19" width="28.7109375" style="86" customWidth="1"/>
    <col min="20" max="21" width="26" style="86" customWidth="1"/>
    <col min="22" max="22" width="23.85546875" style="89" customWidth="1"/>
    <col min="23" max="24" width="23.85546875" style="90" customWidth="1"/>
    <col min="25" max="25" width="15.5703125" style="2" customWidth="1"/>
    <col min="26" max="26" width="14.85546875" style="2" customWidth="1"/>
    <col min="27" max="58" width="9.42578125" style="2" customWidth="1"/>
    <col min="59" max="64" width="25.28515625" style="2" customWidth="1"/>
    <col min="65" max="67" width="14.42578125" style="2" customWidth="1"/>
    <col min="68" max="68" width="17.5703125" style="2" customWidth="1"/>
    <col min="69" max="69" width="24.7109375" style="2" customWidth="1"/>
    <col min="70" max="82" width="14.85546875" style="2" customWidth="1"/>
    <col min="83" max="16384" width="11.42578125" style="2"/>
  </cols>
  <sheetData>
    <row r="1" spans="1:69" ht="15" customHeight="1" x14ac:dyDescent="0.25">
      <c r="A1" s="3483" t="s">
        <v>2118</v>
      </c>
      <c r="B1" s="3483"/>
      <c r="C1" s="3483"/>
      <c r="D1" s="3483"/>
      <c r="E1" s="3483"/>
      <c r="F1" s="3483"/>
      <c r="G1" s="3483"/>
      <c r="H1" s="3483"/>
      <c r="I1" s="3483"/>
      <c r="J1" s="3483"/>
      <c r="K1" s="3483"/>
      <c r="L1" s="3483"/>
      <c r="M1" s="3483"/>
      <c r="N1" s="3483"/>
      <c r="O1" s="3483"/>
      <c r="P1" s="3483"/>
      <c r="Q1" s="3483"/>
      <c r="R1" s="3483"/>
      <c r="S1" s="3483"/>
      <c r="T1" s="3483"/>
      <c r="U1" s="3483"/>
      <c r="V1" s="3483"/>
      <c r="W1" s="3483"/>
      <c r="X1" s="3483"/>
      <c r="Y1" s="3483"/>
      <c r="Z1" s="3483"/>
      <c r="AA1" s="3483"/>
      <c r="AB1" s="3483"/>
      <c r="AC1" s="3483"/>
      <c r="AD1" s="3483"/>
      <c r="AE1" s="3483"/>
      <c r="AF1" s="3483"/>
      <c r="AG1" s="3483"/>
      <c r="AH1" s="3483"/>
      <c r="AI1" s="3483"/>
      <c r="AJ1" s="3483"/>
      <c r="AK1" s="3483"/>
      <c r="AL1" s="3483"/>
      <c r="AM1" s="3483"/>
      <c r="AN1" s="3483"/>
      <c r="AO1" s="3483"/>
      <c r="AP1" s="3483"/>
      <c r="AQ1" s="3483"/>
      <c r="AR1" s="3483"/>
      <c r="AS1" s="3483"/>
      <c r="AT1" s="3483"/>
      <c r="AU1" s="3483"/>
      <c r="AV1" s="3483"/>
      <c r="AW1" s="3483"/>
      <c r="AX1" s="3483"/>
      <c r="AY1" s="3483"/>
      <c r="AZ1" s="3483"/>
      <c r="BA1" s="3483"/>
      <c r="BB1" s="3483"/>
      <c r="BC1" s="3483"/>
      <c r="BD1" s="3483"/>
      <c r="BE1" s="3483"/>
      <c r="BF1" s="3483"/>
      <c r="BG1" s="3483"/>
      <c r="BH1" s="3483"/>
      <c r="BI1" s="3483"/>
      <c r="BJ1" s="3483"/>
      <c r="BK1" s="3483"/>
      <c r="BL1" s="3483"/>
      <c r="BM1" s="3483"/>
      <c r="BN1" s="1"/>
      <c r="BP1" s="3" t="s">
        <v>0</v>
      </c>
      <c r="BQ1" s="3" t="s">
        <v>1</v>
      </c>
    </row>
    <row r="2" spans="1:69" ht="15" x14ac:dyDescent="0.25">
      <c r="A2" s="3483"/>
      <c r="B2" s="3483"/>
      <c r="C2" s="3483"/>
      <c r="D2" s="3483"/>
      <c r="E2" s="3483"/>
      <c r="F2" s="3483"/>
      <c r="G2" s="3483"/>
      <c r="H2" s="3483"/>
      <c r="I2" s="3483"/>
      <c r="J2" s="3483"/>
      <c r="K2" s="3483"/>
      <c r="L2" s="3483"/>
      <c r="M2" s="3483"/>
      <c r="N2" s="3483"/>
      <c r="O2" s="3483"/>
      <c r="P2" s="3483"/>
      <c r="Q2" s="3483"/>
      <c r="R2" s="3483"/>
      <c r="S2" s="3483"/>
      <c r="T2" s="3483"/>
      <c r="U2" s="3483"/>
      <c r="V2" s="3483"/>
      <c r="W2" s="3483"/>
      <c r="X2" s="3483"/>
      <c r="Y2" s="3483"/>
      <c r="Z2" s="3483"/>
      <c r="AA2" s="3483"/>
      <c r="AB2" s="3483"/>
      <c r="AC2" s="3483"/>
      <c r="AD2" s="3483"/>
      <c r="AE2" s="3483"/>
      <c r="AF2" s="3483"/>
      <c r="AG2" s="3483"/>
      <c r="AH2" s="3483"/>
      <c r="AI2" s="3483"/>
      <c r="AJ2" s="3483"/>
      <c r="AK2" s="3483"/>
      <c r="AL2" s="3483"/>
      <c r="AM2" s="3483"/>
      <c r="AN2" s="3483"/>
      <c r="AO2" s="3483"/>
      <c r="AP2" s="3483"/>
      <c r="AQ2" s="3483"/>
      <c r="AR2" s="3483"/>
      <c r="AS2" s="3483"/>
      <c r="AT2" s="3483"/>
      <c r="AU2" s="3483"/>
      <c r="AV2" s="3483"/>
      <c r="AW2" s="3483"/>
      <c r="AX2" s="3483"/>
      <c r="AY2" s="3483"/>
      <c r="AZ2" s="3483"/>
      <c r="BA2" s="3483"/>
      <c r="BB2" s="3483"/>
      <c r="BC2" s="3483"/>
      <c r="BD2" s="3483"/>
      <c r="BE2" s="3483"/>
      <c r="BF2" s="3483"/>
      <c r="BG2" s="3483"/>
      <c r="BH2" s="3483"/>
      <c r="BI2" s="3483"/>
      <c r="BJ2" s="3483"/>
      <c r="BK2" s="3483"/>
      <c r="BL2" s="3483"/>
      <c r="BM2" s="3483"/>
      <c r="BN2" s="1"/>
      <c r="BP2" s="4" t="s">
        <v>2</v>
      </c>
      <c r="BQ2" s="5">
        <v>6</v>
      </c>
    </row>
    <row r="3" spans="1:69" ht="15" x14ac:dyDescent="0.25">
      <c r="A3" s="3483"/>
      <c r="B3" s="3483"/>
      <c r="C3" s="3483"/>
      <c r="D3" s="3483"/>
      <c r="E3" s="3483"/>
      <c r="F3" s="3483"/>
      <c r="G3" s="3483"/>
      <c r="H3" s="3483"/>
      <c r="I3" s="3483"/>
      <c r="J3" s="3483"/>
      <c r="K3" s="3483"/>
      <c r="L3" s="3483"/>
      <c r="M3" s="3483"/>
      <c r="N3" s="3483"/>
      <c r="O3" s="3483"/>
      <c r="P3" s="3483"/>
      <c r="Q3" s="3483"/>
      <c r="R3" s="3483"/>
      <c r="S3" s="3483"/>
      <c r="T3" s="3483"/>
      <c r="U3" s="3483"/>
      <c r="V3" s="3483"/>
      <c r="W3" s="3483"/>
      <c r="X3" s="3483"/>
      <c r="Y3" s="3483"/>
      <c r="Z3" s="3483"/>
      <c r="AA3" s="3483"/>
      <c r="AB3" s="3483"/>
      <c r="AC3" s="3483"/>
      <c r="AD3" s="3483"/>
      <c r="AE3" s="3483"/>
      <c r="AF3" s="3483"/>
      <c r="AG3" s="3483"/>
      <c r="AH3" s="3483"/>
      <c r="AI3" s="3483"/>
      <c r="AJ3" s="3483"/>
      <c r="AK3" s="3483"/>
      <c r="AL3" s="3483"/>
      <c r="AM3" s="3483"/>
      <c r="AN3" s="3483"/>
      <c r="AO3" s="3483"/>
      <c r="AP3" s="3483"/>
      <c r="AQ3" s="3483"/>
      <c r="AR3" s="3483"/>
      <c r="AS3" s="3483"/>
      <c r="AT3" s="3483"/>
      <c r="AU3" s="3483"/>
      <c r="AV3" s="3483"/>
      <c r="AW3" s="3483"/>
      <c r="AX3" s="3483"/>
      <c r="AY3" s="3483"/>
      <c r="AZ3" s="3483"/>
      <c r="BA3" s="3483"/>
      <c r="BB3" s="3483"/>
      <c r="BC3" s="3483"/>
      <c r="BD3" s="3483"/>
      <c r="BE3" s="3483"/>
      <c r="BF3" s="3483"/>
      <c r="BG3" s="3483"/>
      <c r="BH3" s="3483"/>
      <c r="BI3" s="3483"/>
      <c r="BJ3" s="3483"/>
      <c r="BK3" s="3483"/>
      <c r="BL3" s="3483"/>
      <c r="BM3" s="3483"/>
      <c r="BN3" s="1"/>
      <c r="BP3" s="3" t="s">
        <v>3</v>
      </c>
      <c r="BQ3" s="6" t="s">
        <v>4</v>
      </c>
    </row>
    <row r="4" spans="1:69" s="8" customFormat="1" ht="21" customHeight="1" x14ac:dyDescent="0.2">
      <c r="A4" s="2739"/>
      <c r="B4" s="2739"/>
      <c r="C4" s="2739"/>
      <c r="D4" s="2739"/>
      <c r="E4" s="2739"/>
      <c r="F4" s="2739"/>
      <c r="G4" s="2739"/>
      <c r="H4" s="2739"/>
      <c r="I4" s="2739"/>
      <c r="J4" s="2739"/>
      <c r="K4" s="2739"/>
      <c r="L4" s="2739"/>
      <c r="M4" s="2739"/>
      <c r="N4" s="2739"/>
      <c r="O4" s="2739"/>
      <c r="P4" s="2739"/>
      <c r="Q4" s="2739"/>
      <c r="R4" s="2739"/>
      <c r="S4" s="2739"/>
      <c r="T4" s="2739"/>
      <c r="U4" s="2739"/>
      <c r="V4" s="2739"/>
      <c r="W4" s="2739"/>
      <c r="X4" s="2739"/>
      <c r="Y4" s="2739"/>
      <c r="Z4" s="2739"/>
      <c r="AA4" s="2739"/>
      <c r="AB4" s="2739"/>
      <c r="AC4" s="2739"/>
      <c r="AD4" s="2739"/>
      <c r="AE4" s="2739"/>
      <c r="AF4" s="2739"/>
      <c r="AG4" s="2739"/>
      <c r="AH4" s="2739"/>
      <c r="AI4" s="2739"/>
      <c r="AJ4" s="2739"/>
      <c r="AK4" s="2739"/>
      <c r="AL4" s="2739"/>
      <c r="AM4" s="2739"/>
      <c r="AN4" s="2739"/>
      <c r="AO4" s="2739"/>
      <c r="AP4" s="2739"/>
      <c r="AQ4" s="2739"/>
      <c r="AR4" s="2739"/>
      <c r="AS4" s="2739"/>
      <c r="AT4" s="2739"/>
      <c r="AU4" s="2739"/>
      <c r="AV4" s="2739"/>
      <c r="AW4" s="2739"/>
      <c r="AX4" s="2739"/>
      <c r="AY4" s="2739"/>
      <c r="AZ4" s="2739"/>
      <c r="BA4" s="2739"/>
      <c r="BB4" s="2739"/>
      <c r="BC4" s="2739"/>
      <c r="BD4" s="2739"/>
      <c r="BE4" s="2739"/>
      <c r="BF4" s="2739"/>
      <c r="BG4" s="2739"/>
      <c r="BH4" s="2739"/>
      <c r="BI4" s="2739"/>
      <c r="BJ4" s="2739"/>
      <c r="BK4" s="2739"/>
      <c r="BL4" s="2739"/>
      <c r="BM4" s="2739"/>
      <c r="BN4" s="7"/>
      <c r="BP4" s="9" t="s">
        <v>5</v>
      </c>
      <c r="BQ4" s="10" t="s">
        <v>6</v>
      </c>
    </row>
    <row r="5" spans="1:69" ht="15" x14ac:dyDescent="0.2">
      <c r="A5" s="2571" t="s">
        <v>7</v>
      </c>
      <c r="B5" s="2571"/>
      <c r="C5" s="2571"/>
      <c r="D5" s="2571"/>
      <c r="E5" s="2571"/>
      <c r="F5" s="2571"/>
      <c r="G5" s="2571"/>
      <c r="H5" s="2571"/>
      <c r="I5" s="2571"/>
      <c r="J5" s="2571"/>
      <c r="K5" s="2571"/>
      <c r="L5" s="2571"/>
      <c r="M5" s="11"/>
      <c r="N5" s="11"/>
      <c r="O5" s="11"/>
      <c r="P5" s="2571" t="s">
        <v>8</v>
      </c>
      <c r="Q5" s="2571"/>
      <c r="R5" s="2571"/>
      <c r="S5" s="2571"/>
      <c r="T5" s="2571"/>
      <c r="U5" s="2571"/>
      <c r="V5" s="2571"/>
      <c r="W5" s="2571"/>
      <c r="X5" s="2571"/>
      <c r="Y5" s="2571"/>
      <c r="Z5" s="2571"/>
      <c r="AA5" s="2571"/>
      <c r="AB5" s="2571"/>
      <c r="AC5" s="2571"/>
      <c r="AD5" s="2571"/>
      <c r="AE5" s="2571"/>
      <c r="AF5" s="2571"/>
      <c r="AG5" s="2571"/>
      <c r="AH5" s="2571"/>
      <c r="AI5" s="2571"/>
      <c r="AJ5" s="2571"/>
      <c r="AK5" s="2571"/>
      <c r="AL5" s="2571"/>
      <c r="AM5" s="2571"/>
      <c r="AN5" s="2571"/>
      <c r="AO5" s="2571"/>
      <c r="AP5" s="2571"/>
      <c r="AQ5" s="2571"/>
      <c r="AR5" s="2571"/>
      <c r="AS5" s="2571"/>
      <c r="AT5" s="2571"/>
      <c r="AU5" s="2571"/>
      <c r="AV5" s="2571"/>
      <c r="AW5" s="2571"/>
      <c r="AX5" s="2571"/>
      <c r="AY5" s="2571"/>
      <c r="AZ5" s="2571"/>
      <c r="BA5" s="2571"/>
      <c r="BB5" s="2571"/>
      <c r="BC5" s="2571"/>
      <c r="BD5" s="2571"/>
      <c r="BE5" s="2571"/>
      <c r="BF5" s="2571"/>
      <c r="BG5" s="2571"/>
      <c r="BH5" s="2571"/>
      <c r="BI5" s="2571"/>
      <c r="BJ5" s="2571"/>
      <c r="BK5" s="2571"/>
      <c r="BL5" s="2571"/>
      <c r="BM5" s="2571"/>
      <c r="BN5" s="2571"/>
      <c r="BO5" s="2571"/>
      <c r="BP5" s="2571"/>
      <c r="BQ5" s="2571"/>
    </row>
    <row r="6" spans="1:69" ht="14.45" customHeight="1" thickBot="1" x14ac:dyDescent="0.25">
      <c r="A6" s="2571"/>
      <c r="B6" s="2571"/>
      <c r="C6" s="2571"/>
      <c r="D6" s="2571"/>
      <c r="E6" s="2571"/>
      <c r="F6" s="2571"/>
      <c r="G6" s="2571"/>
      <c r="H6" s="2571"/>
      <c r="I6" s="2571"/>
      <c r="J6" s="2571"/>
      <c r="K6" s="2571"/>
      <c r="L6" s="2571"/>
      <c r="M6" s="11"/>
      <c r="N6" s="11"/>
      <c r="O6" s="12"/>
      <c r="P6" s="4098"/>
      <c r="Q6" s="4099"/>
      <c r="R6" s="4099"/>
      <c r="S6" s="4099"/>
      <c r="T6" s="4099"/>
      <c r="U6" s="4099"/>
      <c r="V6" s="4099"/>
      <c r="W6" s="4099"/>
      <c r="X6" s="4099"/>
      <c r="Y6" s="4099"/>
      <c r="Z6" s="3451"/>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4098"/>
      <c r="BN6" s="4099"/>
      <c r="BO6" s="4099"/>
      <c r="BP6" s="4099"/>
      <c r="BQ6" s="3451"/>
    </row>
    <row r="7" spans="1:69" s="14" customFormat="1" ht="22.5" customHeight="1" x14ac:dyDescent="0.2">
      <c r="A7" s="2568" t="s">
        <v>9</v>
      </c>
      <c r="B7" s="2568" t="s">
        <v>10</v>
      </c>
      <c r="C7" s="2568"/>
      <c r="D7" s="2568" t="s">
        <v>9</v>
      </c>
      <c r="E7" s="2568" t="s">
        <v>11</v>
      </c>
      <c r="F7" s="2568" t="s">
        <v>9</v>
      </c>
      <c r="G7" s="2568" t="s">
        <v>12</v>
      </c>
      <c r="H7" s="2568"/>
      <c r="I7" s="2568" t="s">
        <v>9</v>
      </c>
      <c r="J7" s="3473" t="s">
        <v>13</v>
      </c>
      <c r="K7" s="2568" t="s">
        <v>14</v>
      </c>
      <c r="L7" s="4310" t="s">
        <v>15</v>
      </c>
      <c r="M7" s="4311"/>
      <c r="N7" s="2568" t="s">
        <v>16</v>
      </c>
      <c r="O7" s="4335" t="s">
        <v>17</v>
      </c>
      <c r="P7" s="3473" t="s">
        <v>8</v>
      </c>
      <c r="Q7" s="2568" t="s">
        <v>18</v>
      </c>
      <c r="R7" s="3473" t="s">
        <v>19</v>
      </c>
      <c r="S7" s="3473" t="s">
        <v>20</v>
      </c>
      <c r="T7" s="3473" t="s">
        <v>21</v>
      </c>
      <c r="U7" s="3473" t="s">
        <v>22</v>
      </c>
      <c r="V7" s="4310" t="s">
        <v>19</v>
      </c>
      <c r="W7" s="4331"/>
      <c r="X7" s="4311"/>
      <c r="Y7" s="4335" t="s">
        <v>9</v>
      </c>
      <c r="Z7" s="2568" t="s">
        <v>23</v>
      </c>
      <c r="AA7" s="3284" t="s">
        <v>24</v>
      </c>
      <c r="AB7" s="3285"/>
      <c r="AC7" s="3285"/>
      <c r="AD7" s="3286"/>
      <c r="AE7" s="3287" t="s">
        <v>25</v>
      </c>
      <c r="AF7" s="3288"/>
      <c r="AG7" s="3288"/>
      <c r="AH7" s="3288"/>
      <c r="AI7" s="3288"/>
      <c r="AJ7" s="3288"/>
      <c r="AK7" s="3288"/>
      <c r="AL7" s="3289"/>
      <c r="AM7" s="3290" t="s">
        <v>26</v>
      </c>
      <c r="AN7" s="3291"/>
      <c r="AO7" s="3291"/>
      <c r="AP7" s="3291"/>
      <c r="AQ7" s="3291"/>
      <c r="AR7" s="3291"/>
      <c r="AS7" s="3291"/>
      <c r="AT7" s="3291"/>
      <c r="AU7" s="3291"/>
      <c r="AV7" s="3291"/>
      <c r="AW7" s="3291"/>
      <c r="AX7" s="3292"/>
      <c r="AY7" s="3287" t="s">
        <v>27</v>
      </c>
      <c r="AZ7" s="3288"/>
      <c r="BA7" s="3288"/>
      <c r="BB7" s="3288"/>
      <c r="BC7" s="3288"/>
      <c r="BD7" s="3289"/>
      <c r="BE7" s="3287" t="s">
        <v>28</v>
      </c>
      <c r="BF7" s="3289"/>
      <c r="BG7" s="4320" t="s">
        <v>29</v>
      </c>
      <c r="BH7" s="4321"/>
      <c r="BI7" s="4321"/>
      <c r="BJ7" s="4321"/>
      <c r="BK7" s="4321"/>
      <c r="BL7" s="4322"/>
      <c r="BM7" s="4314" t="s">
        <v>30</v>
      </c>
      <c r="BN7" s="4315"/>
      <c r="BO7" s="4314" t="s">
        <v>31</v>
      </c>
      <c r="BP7" s="4315"/>
      <c r="BQ7" s="2573" t="s">
        <v>32</v>
      </c>
    </row>
    <row r="8" spans="1:69" s="14" customFormat="1" ht="134.25" customHeight="1" x14ac:dyDescent="0.2">
      <c r="A8" s="2568"/>
      <c r="B8" s="2568"/>
      <c r="C8" s="2568"/>
      <c r="D8" s="2568"/>
      <c r="E8" s="2568"/>
      <c r="F8" s="2568"/>
      <c r="G8" s="2568"/>
      <c r="H8" s="2568"/>
      <c r="I8" s="2568"/>
      <c r="J8" s="3473"/>
      <c r="K8" s="2568"/>
      <c r="L8" s="4312"/>
      <c r="M8" s="4313"/>
      <c r="N8" s="2568"/>
      <c r="O8" s="4336"/>
      <c r="P8" s="3473"/>
      <c r="Q8" s="2568"/>
      <c r="R8" s="3473"/>
      <c r="S8" s="3473"/>
      <c r="T8" s="3473"/>
      <c r="U8" s="3473"/>
      <c r="V8" s="4332"/>
      <c r="W8" s="4333"/>
      <c r="X8" s="4334"/>
      <c r="Y8" s="4336"/>
      <c r="Z8" s="2568"/>
      <c r="AA8" s="2574" t="s">
        <v>33</v>
      </c>
      <c r="AB8" s="2574"/>
      <c r="AC8" s="2575" t="s">
        <v>34</v>
      </c>
      <c r="AD8" s="2575"/>
      <c r="AE8" s="2574" t="s">
        <v>35</v>
      </c>
      <c r="AF8" s="2574"/>
      <c r="AG8" s="2574" t="s">
        <v>36</v>
      </c>
      <c r="AH8" s="2574"/>
      <c r="AI8" s="2574" t="s">
        <v>37</v>
      </c>
      <c r="AJ8" s="2574"/>
      <c r="AK8" s="2574" t="s">
        <v>38</v>
      </c>
      <c r="AL8" s="2574"/>
      <c r="AM8" s="2574" t="s">
        <v>39</v>
      </c>
      <c r="AN8" s="2574"/>
      <c r="AO8" s="2574" t="s">
        <v>40</v>
      </c>
      <c r="AP8" s="2574"/>
      <c r="AQ8" s="2574" t="s">
        <v>41</v>
      </c>
      <c r="AR8" s="2574"/>
      <c r="AS8" s="2574" t="s">
        <v>42</v>
      </c>
      <c r="AT8" s="2574"/>
      <c r="AU8" s="2574" t="s">
        <v>43</v>
      </c>
      <c r="AV8" s="2574"/>
      <c r="AW8" s="2574" t="s">
        <v>44</v>
      </c>
      <c r="AX8" s="2574"/>
      <c r="AY8" s="2574" t="s">
        <v>45</v>
      </c>
      <c r="AZ8" s="2574"/>
      <c r="BA8" s="2574" t="s">
        <v>46</v>
      </c>
      <c r="BB8" s="2574"/>
      <c r="BC8" s="2574" t="s">
        <v>47</v>
      </c>
      <c r="BD8" s="2574"/>
      <c r="BE8" s="2574" t="s">
        <v>28</v>
      </c>
      <c r="BF8" s="2574"/>
      <c r="BG8" s="2392" t="s">
        <v>48</v>
      </c>
      <c r="BH8" s="2391" t="s">
        <v>49</v>
      </c>
      <c r="BI8" s="2392" t="s">
        <v>50</v>
      </c>
      <c r="BJ8" s="2393" t="s">
        <v>51</v>
      </c>
      <c r="BK8" s="2392" t="s">
        <v>52</v>
      </c>
      <c r="BL8" s="4318" t="s">
        <v>53</v>
      </c>
      <c r="BM8" s="4316"/>
      <c r="BN8" s="4317"/>
      <c r="BO8" s="4316"/>
      <c r="BP8" s="4317"/>
      <c r="BQ8" s="2573"/>
    </row>
    <row r="9" spans="1:69" s="19" customFormat="1" ht="27" customHeight="1" x14ac:dyDescent="0.2">
      <c r="A9" s="2568"/>
      <c r="B9" s="2568"/>
      <c r="C9" s="2568"/>
      <c r="D9" s="2568"/>
      <c r="E9" s="2568"/>
      <c r="F9" s="2568"/>
      <c r="G9" s="2568"/>
      <c r="H9" s="2568"/>
      <c r="I9" s="2568"/>
      <c r="J9" s="3473"/>
      <c r="K9" s="2568"/>
      <c r="L9" s="15" t="s">
        <v>54</v>
      </c>
      <c r="M9" s="16" t="s">
        <v>55</v>
      </c>
      <c r="N9" s="2568"/>
      <c r="O9" s="4337"/>
      <c r="P9" s="3473"/>
      <c r="Q9" s="2568"/>
      <c r="R9" s="3473"/>
      <c r="S9" s="3473"/>
      <c r="T9" s="3473"/>
      <c r="U9" s="3473"/>
      <c r="V9" s="15" t="s">
        <v>56</v>
      </c>
      <c r="W9" s="16" t="s">
        <v>57</v>
      </c>
      <c r="X9" s="16" t="s">
        <v>58</v>
      </c>
      <c r="Y9" s="4337"/>
      <c r="Z9" s="2568"/>
      <c r="AA9" s="15" t="s">
        <v>54</v>
      </c>
      <c r="AB9" s="16" t="s">
        <v>55</v>
      </c>
      <c r="AC9" s="15" t="s">
        <v>54</v>
      </c>
      <c r="AD9" s="16" t="s">
        <v>55</v>
      </c>
      <c r="AE9" s="15" t="s">
        <v>54</v>
      </c>
      <c r="AF9" s="16" t="s">
        <v>55</v>
      </c>
      <c r="AG9" s="15" t="s">
        <v>54</v>
      </c>
      <c r="AH9" s="16" t="s">
        <v>55</v>
      </c>
      <c r="AI9" s="15" t="s">
        <v>54</v>
      </c>
      <c r="AJ9" s="16" t="s">
        <v>55</v>
      </c>
      <c r="AK9" s="15" t="s">
        <v>54</v>
      </c>
      <c r="AL9" s="16" t="s">
        <v>55</v>
      </c>
      <c r="AM9" s="15" t="s">
        <v>54</v>
      </c>
      <c r="AN9" s="16" t="s">
        <v>55</v>
      </c>
      <c r="AO9" s="15" t="s">
        <v>54</v>
      </c>
      <c r="AP9" s="16" t="s">
        <v>55</v>
      </c>
      <c r="AQ9" s="15" t="s">
        <v>54</v>
      </c>
      <c r="AR9" s="16" t="s">
        <v>55</v>
      </c>
      <c r="AS9" s="15" t="s">
        <v>54</v>
      </c>
      <c r="AT9" s="16" t="s">
        <v>55</v>
      </c>
      <c r="AU9" s="15" t="s">
        <v>54</v>
      </c>
      <c r="AV9" s="16" t="s">
        <v>55</v>
      </c>
      <c r="AW9" s="15" t="s">
        <v>54</v>
      </c>
      <c r="AX9" s="16" t="s">
        <v>55</v>
      </c>
      <c r="AY9" s="15" t="s">
        <v>54</v>
      </c>
      <c r="AZ9" s="16" t="s">
        <v>55</v>
      </c>
      <c r="BA9" s="15" t="s">
        <v>54</v>
      </c>
      <c r="BB9" s="16" t="s">
        <v>55</v>
      </c>
      <c r="BC9" s="15" t="s">
        <v>54</v>
      </c>
      <c r="BD9" s="16" t="s">
        <v>55</v>
      </c>
      <c r="BE9" s="15" t="s">
        <v>54</v>
      </c>
      <c r="BF9" s="16" t="s">
        <v>55</v>
      </c>
      <c r="BG9" s="2392"/>
      <c r="BH9" s="2391"/>
      <c r="BI9" s="2392"/>
      <c r="BJ9" s="2393"/>
      <c r="BK9" s="2392"/>
      <c r="BL9" s="4319"/>
      <c r="BM9" s="17" t="s">
        <v>54</v>
      </c>
      <c r="BN9" s="18" t="s">
        <v>55</v>
      </c>
      <c r="BO9" s="17" t="s">
        <v>54</v>
      </c>
      <c r="BP9" s="18" t="s">
        <v>55</v>
      </c>
      <c r="BQ9" s="2573"/>
    </row>
    <row r="10" spans="1:69" ht="11.45" hidden="1" customHeight="1" x14ac:dyDescent="0.2">
      <c r="A10" s="2568"/>
      <c r="B10" s="2568"/>
      <c r="C10" s="2568"/>
      <c r="D10" s="2568"/>
      <c r="E10" s="2568"/>
      <c r="F10" s="2568"/>
      <c r="G10" s="2568"/>
      <c r="H10" s="2568"/>
      <c r="I10" s="2568"/>
      <c r="J10" s="3473"/>
      <c r="K10" s="2568"/>
      <c r="L10" s="20"/>
      <c r="M10" s="21"/>
      <c r="N10" s="2568"/>
      <c r="O10" s="22"/>
      <c r="P10" s="3473"/>
      <c r="Q10" s="2568"/>
      <c r="R10" s="3473"/>
      <c r="S10" s="3473"/>
      <c r="T10" s="3473"/>
      <c r="U10" s="3473"/>
      <c r="V10" s="22"/>
      <c r="W10" s="23"/>
      <c r="X10" s="23"/>
      <c r="Y10" s="22"/>
      <c r="Z10" s="2568"/>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4"/>
      <c r="BH10" s="24"/>
      <c r="BI10" s="24"/>
      <c r="BJ10" s="24"/>
      <c r="BK10" s="24"/>
      <c r="BL10" s="24"/>
      <c r="BM10" s="25"/>
      <c r="BN10" s="24"/>
      <c r="BO10" s="25"/>
      <c r="BP10" s="24"/>
      <c r="BQ10" s="2573"/>
    </row>
    <row r="11" spans="1:69" ht="28.15" hidden="1" customHeight="1" x14ac:dyDescent="0.2">
      <c r="A11" s="2568"/>
      <c r="B11" s="2568"/>
      <c r="C11" s="2568"/>
      <c r="D11" s="2568"/>
      <c r="E11" s="2568"/>
      <c r="F11" s="2568"/>
      <c r="G11" s="2568"/>
      <c r="H11" s="2568"/>
      <c r="I11" s="2568"/>
      <c r="J11" s="3473"/>
      <c r="K11" s="2568"/>
      <c r="L11" s="20"/>
      <c r="M11" s="21"/>
      <c r="N11" s="2568"/>
      <c r="O11" s="22"/>
      <c r="P11" s="3473"/>
      <c r="Q11" s="2568"/>
      <c r="R11" s="3473"/>
      <c r="S11" s="3473"/>
      <c r="T11" s="3473"/>
      <c r="U11" s="3473"/>
      <c r="V11" s="22"/>
      <c r="W11" s="23"/>
      <c r="X11" s="23"/>
      <c r="Y11" s="22"/>
      <c r="Z11" s="2568"/>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4"/>
      <c r="BH11" s="24"/>
      <c r="BI11" s="24"/>
      <c r="BJ11" s="24"/>
      <c r="BK11" s="24"/>
      <c r="BL11" s="24"/>
      <c r="BM11" s="25"/>
      <c r="BN11" s="24"/>
      <c r="BO11" s="25"/>
      <c r="BP11" s="24"/>
      <c r="BQ11" s="2573"/>
    </row>
    <row r="12" spans="1:69" ht="5.25" hidden="1" customHeight="1" x14ac:dyDescent="0.2">
      <c r="A12" s="2568"/>
      <c r="B12" s="2568"/>
      <c r="C12" s="2568"/>
      <c r="D12" s="2568"/>
      <c r="E12" s="2568"/>
      <c r="F12" s="2568"/>
      <c r="G12" s="2568"/>
      <c r="H12" s="2568"/>
      <c r="I12" s="2568"/>
      <c r="J12" s="3473"/>
      <c r="K12" s="2568"/>
      <c r="L12" s="20"/>
      <c r="M12" s="21"/>
      <c r="N12" s="2568"/>
      <c r="O12" s="22"/>
      <c r="P12" s="3473"/>
      <c r="Q12" s="2568"/>
      <c r="R12" s="3473"/>
      <c r="S12" s="3473"/>
      <c r="T12" s="3473"/>
      <c r="U12" s="3473"/>
      <c r="V12" s="22"/>
      <c r="W12" s="23"/>
      <c r="X12" s="23"/>
      <c r="Y12" s="22"/>
      <c r="Z12" s="2568"/>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4"/>
      <c r="BH12" s="24"/>
      <c r="BI12" s="24"/>
      <c r="BJ12" s="24"/>
      <c r="BK12" s="24"/>
      <c r="BL12" s="24"/>
      <c r="BM12" s="25"/>
      <c r="BN12" s="24"/>
      <c r="BO12" s="25"/>
      <c r="BP12" s="24"/>
      <c r="BQ12" s="2573"/>
    </row>
    <row r="13" spans="1:69" ht="6.6" hidden="1" customHeight="1" x14ac:dyDescent="0.2">
      <c r="A13" s="2568"/>
      <c r="B13" s="2568"/>
      <c r="C13" s="2568"/>
      <c r="D13" s="2568"/>
      <c r="E13" s="2568"/>
      <c r="F13" s="2568"/>
      <c r="G13" s="2568"/>
      <c r="H13" s="2568"/>
      <c r="I13" s="2568"/>
      <c r="J13" s="3473"/>
      <c r="K13" s="2568"/>
      <c r="L13" s="20"/>
      <c r="M13" s="21"/>
      <c r="N13" s="2568"/>
      <c r="O13" s="22"/>
      <c r="P13" s="3473"/>
      <c r="Q13" s="2568"/>
      <c r="R13" s="3473"/>
      <c r="S13" s="3473"/>
      <c r="T13" s="3473"/>
      <c r="U13" s="3473"/>
      <c r="V13" s="22"/>
      <c r="W13" s="23"/>
      <c r="X13" s="23"/>
      <c r="Y13" s="22"/>
      <c r="Z13" s="2568"/>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4"/>
      <c r="BH13" s="24"/>
      <c r="BI13" s="24"/>
      <c r="BJ13" s="24"/>
      <c r="BK13" s="24"/>
      <c r="BL13" s="24"/>
      <c r="BM13" s="25"/>
      <c r="BN13" s="24"/>
      <c r="BO13" s="25"/>
      <c r="BP13" s="24"/>
      <c r="BQ13" s="2573"/>
    </row>
    <row r="14" spans="1:69" ht="15" hidden="1" customHeight="1" x14ac:dyDescent="0.2">
      <c r="A14" s="2568"/>
      <c r="B14" s="2568"/>
      <c r="C14" s="2568"/>
      <c r="D14" s="2568"/>
      <c r="E14" s="2568"/>
      <c r="F14" s="2568"/>
      <c r="G14" s="2568"/>
      <c r="H14" s="2568"/>
      <c r="I14" s="2568"/>
      <c r="J14" s="3473"/>
      <c r="K14" s="2568"/>
      <c r="L14" s="20"/>
      <c r="M14" s="21"/>
      <c r="N14" s="2568"/>
      <c r="O14" s="22"/>
      <c r="P14" s="3473"/>
      <c r="Q14" s="2568"/>
      <c r="R14" s="3473"/>
      <c r="S14" s="3473"/>
      <c r="T14" s="3473"/>
      <c r="U14" s="3473"/>
      <c r="V14" s="22"/>
      <c r="W14" s="23"/>
      <c r="X14" s="23"/>
      <c r="Y14" s="22"/>
      <c r="Z14" s="2568"/>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4"/>
      <c r="BH14" s="24"/>
      <c r="BI14" s="24"/>
      <c r="BJ14" s="24"/>
      <c r="BK14" s="24"/>
      <c r="BL14" s="24"/>
      <c r="BM14" s="25"/>
      <c r="BN14" s="24"/>
      <c r="BO14" s="25"/>
      <c r="BP14" s="24"/>
      <c r="BQ14" s="2573"/>
    </row>
    <row r="15" spans="1:69" ht="0.75" hidden="1" customHeight="1" x14ac:dyDescent="0.2">
      <c r="A15" s="2568"/>
      <c r="B15" s="2568"/>
      <c r="C15" s="2568"/>
      <c r="D15" s="2568"/>
      <c r="E15" s="2568"/>
      <c r="F15" s="2568"/>
      <c r="G15" s="2568"/>
      <c r="H15" s="2568"/>
      <c r="I15" s="2568"/>
      <c r="J15" s="3473"/>
      <c r="K15" s="2568"/>
      <c r="L15" s="26"/>
      <c r="M15" s="27"/>
      <c r="N15" s="2568"/>
      <c r="O15" s="22"/>
      <c r="P15" s="3473"/>
      <c r="Q15" s="2568"/>
      <c r="R15" s="3473"/>
      <c r="S15" s="3473"/>
      <c r="T15" s="3473"/>
      <c r="U15" s="3473"/>
      <c r="V15" s="22"/>
      <c r="W15" s="23"/>
      <c r="X15" s="23"/>
      <c r="Y15" s="22"/>
      <c r="Z15" s="2568"/>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4"/>
      <c r="BH15" s="24"/>
      <c r="BI15" s="24"/>
      <c r="BJ15" s="24"/>
      <c r="BK15" s="24"/>
      <c r="BL15" s="24"/>
      <c r="BM15" s="25"/>
      <c r="BN15" s="24"/>
      <c r="BO15" s="25"/>
      <c r="BP15" s="24"/>
      <c r="BQ15" s="2573"/>
    </row>
    <row r="16" spans="1:69" ht="20.25" customHeight="1" x14ac:dyDescent="0.2">
      <c r="A16" s="28">
        <v>5</v>
      </c>
      <c r="B16" s="29" t="s">
        <v>59</v>
      </c>
      <c r="C16" s="30"/>
      <c r="D16" s="30"/>
      <c r="E16" s="30"/>
      <c r="F16" s="31"/>
      <c r="G16" s="31"/>
      <c r="H16" s="31"/>
      <c r="I16" s="31"/>
      <c r="J16" s="32"/>
      <c r="K16" s="32"/>
      <c r="L16" s="31"/>
      <c r="M16" s="31"/>
      <c r="N16" s="31"/>
      <c r="O16" s="31"/>
      <c r="P16" s="32"/>
      <c r="Q16" s="31"/>
      <c r="R16" s="32"/>
      <c r="S16" s="32"/>
      <c r="T16" s="32"/>
      <c r="U16" s="32"/>
      <c r="V16" s="33"/>
      <c r="W16" s="34"/>
      <c r="X16" s="34"/>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5"/>
    </row>
    <row r="17" spans="1:69" ht="23.25" customHeight="1" x14ac:dyDescent="0.2">
      <c r="A17" s="2580"/>
      <c r="B17" s="4323"/>
      <c r="C17" s="4324"/>
      <c r="D17" s="36">
        <v>28</v>
      </c>
      <c r="E17" s="37" t="s">
        <v>60</v>
      </c>
      <c r="F17" s="38"/>
      <c r="G17" s="39"/>
      <c r="H17" s="39"/>
      <c r="I17" s="39"/>
      <c r="J17" s="40"/>
      <c r="K17" s="40"/>
      <c r="L17" s="39"/>
      <c r="M17" s="39"/>
      <c r="N17" s="39"/>
      <c r="O17" s="39"/>
      <c r="P17" s="40"/>
      <c r="Q17" s="39"/>
      <c r="R17" s="40"/>
      <c r="S17" s="40"/>
      <c r="T17" s="40"/>
      <c r="U17" s="40"/>
      <c r="V17" s="41"/>
      <c r="W17" s="42"/>
      <c r="X17" s="42"/>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43"/>
    </row>
    <row r="18" spans="1:69" ht="25.5" customHeight="1" x14ac:dyDescent="0.2">
      <c r="A18" s="2581"/>
      <c r="B18" s="2585"/>
      <c r="C18" s="2586"/>
      <c r="D18" s="2580"/>
      <c r="E18" s="2580"/>
      <c r="F18" s="44">
        <v>89</v>
      </c>
      <c r="G18" s="45" t="s">
        <v>61</v>
      </c>
      <c r="H18" s="46"/>
      <c r="I18" s="47"/>
      <c r="J18" s="48"/>
      <c r="K18" s="48"/>
      <c r="L18" s="47"/>
      <c r="M18" s="47"/>
      <c r="N18" s="47"/>
      <c r="O18" s="47"/>
      <c r="P18" s="48"/>
      <c r="Q18" s="47"/>
      <c r="R18" s="48"/>
      <c r="S18" s="48"/>
      <c r="T18" s="48"/>
      <c r="U18" s="48"/>
      <c r="V18" s="49"/>
      <c r="W18" s="50"/>
      <c r="X18" s="50"/>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6"/>
    </row>
    <row r="19" spans="1:69" s="51" customFormat="1" ht="75" customHeight="1" x14ac:dyDescent="0.2">
      <c r="A19" s="2581"/>
      <c r="B19" s="2585"/>
      <c r="C19" s="2586"/>
      <c r="D19" s="2581"/>
      <c r="E19" s="2581"/>
      <c r="F19" s="4325"/>
      <c r="G19" s="4326"/>
      <c r="H19" s="4327"/>
      <c r="I19" s="2406">
        <v>282</v>
      </c>
      <c r="J19" s="2408" t="s">
        <v>62</v>
      </c>
      <c r="K19" s="4342" t="s">
        <v>63</v>
      </c>
      <c r="L19" s="2406"/>
      <c r="M19" s="2406"/>
      <c r="N19" s="4345" t="s">
        <v>64</v>
      </c>
      <c r="O19" s="4345" t="s">
        <v>65</v>
      </c>
      <c r="P19" s="2474" t="s">
        <v>66</v>
      </c>
      <c r="Q19" s="2602">
        <v>1</v>
      </c>
      <c r="R19" s="4338">
        <v>80000000</v>
      </c>
      <c r="S19" s="4340" t="s">
        <v>67</v>
      </c>
      <c r="T19" s="4340" t="s">
        <v>68</v>
      </c>
      <c r="U19" s="4342" t="s">
        <v>69</v>
      </c>
      <c r="V19" s="4344">
        <v>80000000</v>
      </c>
      <c r="W19" s="4347">
        <v>0</v>
      </c>
      <c r="X19" s="4347">
        <v>0</v>
      </c>
      <c r="Y19" s="4349">
        <v>20</v>
      </c>
      <c r="Z19" s="2406" t="s">
        <v>70</v>
      </c>
      <c r="AA19" s="2424">
        <v>295972</v>
      </c>
      <c r="AB19" s="2424"/>
      <c r="AC19" s="2424">
        <v>285580</v>
      </c>
      <c r="AD19" s="2424"/>
      <c r="AE19" s="2424">
        <v>66084</v>
      </c>
      <c r="AF19" s="2424"/>
      <c r="AG19" s="2424">
        <v>21618</v>
      </c>
      <c r="AH19" s="2424"/>
      <c r="AI19" s="2424">
        <v>157087</v>
      </c>
      <c r="AJ19" s="2424"/>
      <c r="AK19" s="2424">
        <v>51183</v>
      </c>
      <c r="AL19" s="2424"/>
      <c r="AM19" s="2424">
        <v>2145</v>
      </c>
      <c r="AN19" s="2424"/>
      <c r="AO19" s="2424">
        <v>12718</v>
      </c>
      <c r="AP19" s="2424"/>
      <c r="AQ19" s="2424">
        <v>26</v>
      </c>
      <c r="AR19" s="2424"/>
      <c r="AS19" s="2424">
        <v>37</v>
      </c>
      <c r="AT19" s="2424"/>
      <c r="AU19" s="2424">
        <v>0</v>
      </c>
      <c r="AV19" s="2424"/>
      <c r="AW19" s="2424">
        <v>0</v>
      </c>
      <c r="AX19" s="2424"/>
      <c r="AY19" s="2424">
        <v>44350</v>
      </c>
      <c r="AZ19" s="2424"/>
      <c r="BA19" s="2424">
        <v>21944</v>
      </c>
      <c r="BB19" s="2424"/>
      <c r="BC19" s="2424">
        <v>578</v>
      </c>
      <c r="BD19" s="2424"/>
      <c r="BE19" s="2424">
        <v>581552</v>
      </c>
      <c r="BF19" s="2424"/>
      <c r="BG19" s="2406">
        <v>0</v>
      </c>
      <c r="BH19" s="2406">
        <v>0</v>
      </c>
      <c r="BI19" s="2406">
        <v>0</v>
      </c>
      <c r="BJ19" s="4353">
        <v>0</v>
      </c>
      <c r="BK19" s="4354"/>
      <c r="BL19" s="2406"/>
      <c r="BM19" s="2595">
        <v>43832</v>
      </c>
      <c r="BN19" s="2595"/>
      <c r="BO19" s="2595">
        <v>44196</v>
      </c>
      <c r="BP19" s="2595"/>
      <c r="BQ19" s="4351" t="s">
        <v>71</v>
      </c>
    </row>
    <row r="20" spans="1:69" s="51" customFormat="1" ht="75" customHeight="1" x14ac:dyDescent="0.2">
      <c r="A20" s="2581"/>
      <c r="B20" s="2585"/>
      <c r="C20" s="2586"/>
      <c r="D20" s="2581"/>
      <c r="E20" s="2581"/>
      <c r="F20" s="4328"/>
      <c r="G20" s="4329"/>
      <c r="H20" s="4330"/>
      <c r="I20" s="2481"/>
      <c r="J20" s="2525"/>
      <c r="K20" s="4343"/>
      <c r="L20" s="2481"/>
      <c r="M20" s="2481"/>
      <c r="N20" s="4346"/>
      <c r="O20" s="4346"/>
      <c r="P20" s="2476"/>
      <c r="Q20" s="2604"/>
      <c r="R20" s="4339"/>
      <c r="S20" s="4341"/>
      <c r="T20" s="4341"/>
      <c r="U20" s="4343"/>
      <c r="V20" s="2674"/>
      <c r="W20" s="4348"/>
      <c r="X20" s="4348"/>
      <c r="Y20" s="4350"/>
      <c r="Z20" s="2481"/>
      <c r="AA20" s="2426"/>
      <c r="AB20" s="2426"/>
      <c r="AC20" s="2426"/>
      <c r="AD20" s="2426"/>
      <c r="AE20" s="2426"/>
      <c r="AF20" s="2426"/>
      <c r="AG20" s="2426"/>
      <c r="AH20" s="2426"/>
      <c r="AI20" s="2426"/>
      <c r="AJ20" s="2426"/>
      <c r="AK20" s="2426"/>
      <c r="AL20" s="2426"/>
      <c r="AM20" s="2426"/>
      <c r="AN20" s="2426"/>
      <c r="AO20" s="2426"/>
      <c r="AP20" s="2426"/>
      <c r="AQ20" s="2426"/>
      <c r="AR20" s="2426"/>
      <c r="AS20" s="2426"/>
      <c r="AT20" s="2426"/>
      <c r="AU20" s="2426"/>
      <c r="AV20" s="2426"/>
      <c r="AW20" s="2426"/>
      <c r="AX20" s="2426"/>
      <c r="AY20" s="2426"/>
      <c r="AZ20" s="2426"/>
      <c r="BA20" s="2426"/>
      <c r="BB20" s="2426"/>
      <c r="BC20" s="2426"/>
      <c r="BD20" s="2426"/>
      <c r="BE20" s="2426"/>
      <c r="BF20" s="2426"/>
      <c r="BG20" s="2481"/>
      <c r="BH20" s="2481"/>
      <c r="BI20" s="2481"/>
      <c r="BJ20" s="2672"/>
      <c r="BK20" s="4355"/>
      <c r="BL20" s="2481"/>
      <c r="BM20" s="2597"/>
      <c r="BN20" s="2597"/>
      <c r="BO20" s="2597"/>
      <c r="BP20" s="2597"/>
      <c r="BQ20" s="4352"/>
    </row>
    <row r="21" spans="1:69" s="51" customFormat="1" ht="75" customHeight="1" x14ac:dyDescent="0.2">
      <c r="A21" s="52"/>
      <c r="B21" s="2585"/>
      <c r="C21" s="2586"/>
      <c r="D21" s="52"/>
      <c r="E21" s="53"/>
      <c r="F21" s="4328"/>
      <c r="G21" s="4329"/>
      <c r="H21" s="4330"/>
      <c r="I21" s="2406">
        <v>284</v>
      </c>
      <c r="J21" s="2408" t="s">
        <v>72</v>
      </c>
      <c r="K21" s="3849" t="s">
        <v>73</v>
      </c>
      <c r="L21" s="2406"/>
      <c r="M21" s="2406"/>
      <c r="N21" s="2406" t="s">
        <v>74</v>
      </c>
      <c r="O21" s="4356" t="s">
        <v>75</v>
      </c>
      <c r="P21" s="3849" t="s">
        <v>76</v>
      </c>
      <c r="Q21" s="2602">
        <v>1</v>
      </c>
      <c r="R21" s="4338">
        <v>100000000</v>
      </c>
      <c r="S21" s="3849" t="s">
        <v>77</v>
      </c>
      <c r="T21" s="4360" t="s">
        <v>67</v>
      </c>
      <c r="U21" s="54" t="s">
        <v>78</v>
      </c>
      <c r="V21" s="55">
        <v>10000000</v>
      </c>
      <c r="W21" s="56">
        <v>0</v>
      </c>
      <c r="X21" s="56">
        <v>0</v>
      </c>
      <c r="Y21" s="57">
        <v>20</v>
      </c>
      <c r="Z21" s="58" t="s">
        <v>70</v>
      </c>
      <c r="AA21" s="2449">
        <v>295972</v>
      </c>
      <c r="AB21" s="2449"/>
      <c r="AC21" s="2449">
        <v>285580</v>
      </c>
      <c r="AD21" s="2449"/>
      <c r="AE21" s="2449">
        <v>66084</v>
      </c>
      <c r="AF21" s="2449"/>
      <c r="AG21" s="2449">
        <v>21618</v>
      </c>
      <c r="AH21" s="2449"/>
      <c r="AI21" s="2449">
        <v>157087</v>
      </c>
      <c r="AJ21" s="2449"/>
      <c r="AK21" s="2449">
        <v>51183</v>
      </c>
      <c r="AL21" s="2449"/>
      <c r="AM21" s="2449">
        <v>2145</v>
      </c>
      <c r="AN21" s="2449"/>
      <c r="AO21" s="2449">
        <v>12718</v>
      </c>
      <c r="AP21" s="2449"/>
      <c r="AQ21" s="2449">
        <v>26</v>
      </c>
      <c r="AR21" s="2449"/>
      <c r="AS21" s="2449">
        <v>37</v>
      </c>
      <c r="AT21" s="2449"/>
      <c r="AU21" s="2449">
        <v>0</v>
      </c>
      <c r="AV21" s="2449"/>
      <c r="AW21" s="2449">
        <v>0</v>
      </c>
      <c r="AX21" s="2449"/>
      <c r="AY21" s="2449">
        <v>44350</v>
      </c>
      <c r="AZ21" s="2449"/>
      <c r="BA21" s="2449">
        <v>21944</v>
      </c>
      <c r="BB21" s="2449"/>
      <c r="BC21" s="2449">
        <v>578</v>
      </c>
      <c r="BD21" s="2449"/>
      <c r="BE21" s="2449">
        <v>581552</v>
      </c>
      <c r="BF21" s="2449"/>
      <c r="BG21" s="2406">
        <v>0</v>
      </c>
      <c r="BH21" s="2406">
        <v>0</v>
      </c>
      <c r="BI21" s="2406">
        <v>0</v>
      </c>
      <c r="BJ21" s="4353">
        <v>0</v>
      </c>
      <c r="BK21" s="4364"/>
      <c r="BL21" s="2406"/>
      <c r="BM21" s="2595">
        <v>43832</v>
      </c>
      <c r="BN21" s="2595"/>
      <c r="BO21" s="2595">
        <v>44196</v>
      </c>
      <c r="BP21" s="2595"/>
      <c r="BQ21" s="4351" t="s">
        <v>71</v>
      </c>
    </row>
    <row r="22" spans="1:69" ht="158.25" customHeight="1" x14ac:dyDescent="0.2">
      <c r="A22" s="59"/>
      <c r="B22" s="2585"/>
      <c r="C22" s="2586"/>
      <c r="D22" s="59"/>
      <c r="F22" s="4328"/>
      <c r="G22" s="4329"/>
      <c r="H22" s="4330"/>
      <c r="I22" s="2407"/>
      <c r="J22" s="2409"/>
      <c r="K22" s="3842"/>
      <c r="L22" s="2407"/>
      <c r="M22" s="2407"/>
      <c r="N22" s="2407"/>
      <c r="O22" s="4357"/>
      <c r="P22" s="3842"/>
      <c r="Q22" s="2603"/>
      <c r="R22" s="4359"/>
      <c r="S22" s="3842"/>
      <c r="T22" s="4361"/>
      <c r="U22" s="54" t="s">
        <v>79</v>
      </c>
      <c r="V22" s="60">
        <v>90000000</v>
      </c>
      <c r="W22" s="61">
        <v>0</v>
      </c>
      <c r="X22" s="61">
        <v>0</v>
      </c>
      <c r="Y22" s="62">
        <v>20</v>
      </c>
      <c r="Z22" s="63" t="s">
        <v>70</v>
      </c>
      <c r="AA22" s="2450"/>
      <c r="AB22" s="2450"/>
      <c r="AC22" s="2450"/>
      <c r="AD22" s="2450"/>
      <c r="AE22" s="2450"/>
      <c r="AF22" s="2450"/>
      <c r="AG22" s="2450"/>
      <c r="AH22" s="2450"/>
      <c r="AI22" s="2450"/>
      <c r="AJ22" s="2450"/>
      <c r="AK22" s="2450"/>
      <c r="AL22" s="2450"/>
      <c r="AM22" s="2450"/>
      <c r="AN22" s="2450"/>
      <c r="AO22" s="2450"/>
      <c r="AP22" s="2450"/>
      <c r="AQ22" s="2450"/>
      <c r="AR22" s="2450"/>
      <c r="AS22" s="2450"/>
      <c r="AT22" s="2450"/>
      <c r="AU22" s="2450"/>
      <c r="AV22" s="2450"/>
      <c r="AW22" s="2450"/>
      <c r="AX22" s="2450"/>
      <c r="AY22" s="2450"/>
      <c r="AZ22" s="2450"/>
      <c r="BA22" s="2450"/>
      <c r="BB22" s="2450"/>
      <c r="BC22" s="2450"/>
      <c r="BD22" s="2450"/>
      <c r="BE22" s="2450"/>
      <c r="BF22" s="2450"/>
      <c r="BG22" s="2407"/>
      <c r="BH22" s="2407"/>
      <c r="BI22" s="2407"/>
      <c r="BJ22" s="2694"/>
      <c r="BK22" s="4365"/>
      <c r="BL22" s="2407"/>
      <c r="BM22" s="2596"/>
      <c r="BN22" s="2596"/>
      <c r="BO22" s="2596"/>
      <c r="BP22" s="2596"/>
      <c r="BQ22" s="4363"/>
    </row>
    <row r="23" spans="1:69" ht="139.5" customHeight="1" x14ac:dyDescent="0.2">
      <c r="A23" s="59"/>
      <c r="B23" s="2585"/>
      <c r="C23" s="2586"/>
      <c r="D23" s="59"/>
      <c r="F23" s="4328"/>
      <c r="G23" s="4329"/>
      <c r="H23" s="4330"/>
      <c r="I23" s="2481"/>
      <c r="J23" s="2525"/>
      <c r="K23" s="3886"/>
      <c r="L23" s="2481"/>
      <c r="M23" s="2481"/>
      <c r="N23" s="2481"/>
      <c r="O23" s="4358"/>
      <c r="P23" s="3886"/>
      <c r="Q23" s="2604"/>
      <c r="R23" s="4339"/>
      <c r="S23" s="3886"/>
      <c r="T23" s="65" t="s">
        <v>80</v>
      </c>
      <c r="U23" s="54" t="s">
        <v>81</v>
      </c>
      <c r="V23" s="66">
        <v>0</v>
      </c>
      <c r="W23" s="67">
        <v>0</v>
      </c>
      <c r="X23" s="67">
        <v>0</v>
      </c>
      <c r="Y23" s="68">
        <v>20</v>
      </c>
      <c r="Z23" s="69" t="s">
        <v>70</v>
      </c>
      <c r="AA23" s="2451"/>
      <c r="AB23" s="2451"/>
      <c r="AC23" s="2451"/>
      <c r="AD23" s="2451"/>
      <c r="AE23" s="2451"/>
      <c r="AF23" s="2451"/>
      <c r="AG23" s="2451"/>
      <c r="AH23" s="2451"/>
      <c r="AI23" s="2451"/>
      <c r="AJ23" s="2451"/>
      <c r="AK23" s="2451"/>
      <c r="AL23" s="2451"/>
      <c r="AM23" s="2451"/>
      <c r="AN23" s="2451"/>
      <c r="AO23" s="2451"/>
      <c r="AP23" s="2451"/>
      <c r="AQ23" s="2451"/>
      <c r="AR23" s="2451"/>
      <c r="AS23" s="2451"/>
      <c r="AT23" s="2451"/>
      <c r="AU23" s="2451"/>
      <c r="AV23" s="2451"/>
      <c r="AW23" s="2451"/>
      <c r="AX23" s="2451"/>
      <c r="AY23" s="2451"/>
      <c r="AZ23" s="2451"/>
      <c r="BA23" s="2451"/>
      <c r="BB23" s="2451"/>
      <c r="BC23" s="2451"/>
      <c r="BD23" s="2451"/>
      <c r="BE23" s="2451"/>
      <c r="BF23" s="2451"/>
      <c r="BG23" s="2481"/>
      <c r="BH23" s="2481"/>
      <c r="BI23" s="2481"/>
      <c r="BJ23" s="2672"/>
      <c r="BK23" s="4366"/>
      <c r="BL23" s="2481"/>
      <c r="BM23" s="2597"/>
      <c r="BN23" s="2597"/>
      <c r="BO23" s="2597"/>
      <c r="BP23" s="2597"/>
      <c r="BQ23" s="4352"/>
    </row>
    <row r="24" spans="1:69" ht="92.25" customHeight="1" x14ac:dyDescent="0.2">
      <c r="A24" s="59"/>
      <c r="B24" s="2585"/>
      <c r="C24" s="2586"/>
      <c r="D24" s="59"/>
      <c r="F24" s="4328"/>
      <c r="G24" s="4329"/>
      <c r="H24" s="4330"/>
      <c r="I24" s="2407">
        <v>285</v>
      </c>
      <c r="J24" s="2409" t="s">
        <v>82</v>
      </c>
      <c r="K24" s="3849" t="s">
        <v>83</v>
      </c>
      <c r="L24" s="2407"/>
      <c r="M24" s="2407"/>
      <c r="N24" s="2406" t="s">
        <v>84</v>
      </c>
      <c r="O24" s="4356" t="s">
        <v>85</v>
      </c>
      <c r="P24" s="3849" t="s">
        <v>86</v>
      </c>
      <c r="Q24" s="2602">
        <v>1</v>
      </c>
      <c r="R24" s="4338">
        <v>311885000</v>
      </c>
      <c r="S24" s="3883" t="s">
        <v>87</v>
      </c>
      <c r="T24" s="3883" t="s">
        <v>88</v>
      </c>
      <c r="U24" s="2408" t="s">
        <v>89</v>
      </c>
      <c r="V24" s="4344">
        <v>311885000</v>
      </c>
      <c r="W24" s="4347">
        <v>146689132</v>
      </c>
      <c r="X24" s="4347">
        <v>57500000</v>
      </c>
      <c r="Y24" s="4367">
        <v>20</v>
      </c>
      <c r="Z24" s="2407" t="s">
        <v>70</v>
      </c>
      <c r="AA24" s="2449">
        <v>295972</v>
      </c>
      <c r="AB24" s="2449">
        <v>295972</v>
      </c>
      <c r="AC24" s="2449">
        <v>285580</v>
      </c>
      <c r="AD24" s="2510">
        <v>285580</v>
      </c>
      <c r="AE24" s="2449">
        <v>66084</v>
      </c>
      <c r="AF24" s="2449">
        <v>66084</v>
      </c>
      <c r="AG24" s="2449">
        <v>21618</v>
      </c>
      <c r="AH24" s="2449">
        <v>21618</v>
      </c>
      <c r="AI24" s="2449">
        <v>157087</v>
      </c>
      <c r="AJ24" s="2449">
        <v>157087</v>
      </c>
      <c r="AK24" s="2449">
        <v>51183</v>
      </c>
      <c r="AL24" s="2449">
        <v>51183</v>
      </c>
      <c r="AM24" s="2449">
        <v>2145</v>
      </c>
      <c r="AN24" s="2449">
        <v>2145</v>
      </c>
      <c r="AO24" s="2449">
        <v>12718</v>
      </c>
      <c r="AP24" s="2449">
        <v>12718</v>
      </c>
      <c r="AQ24" s="2449">
        <v>26</v>
      </c>
      <c r="AR24" s="2449">
        <v>26</v>
      </c>
      <c r="AS24" s="2449">
        <v>37</v>
      </c>
      <c r="AT24" s="2449">
        <v>37</v>
      </c>
      <c r="AU24" s="2449">
        <v>0</v>
      </c>
      <c r="AV24" s="2449">
        <v>0</v>
      </c>
      <c r="AW24" s="2449">
        <v>0</v>
      </c>
      <c r="AX24" s="2449">
        <v>0</v>
      </c>
      <c r="AY24" s="2449">
        <v>44350</v>
      </c>
      <c r="AZ24" s="2449">
        <v>44350</v>
      </c>
      <c r="BA24" s="2449">
        <v>21944</v>
      </c>
      <c r="BB24" s="2449">
        <v>21944</v>
      </c>
      <c r="BC24" s="2449">
        <v>578</v>
      </c>
      <c r="BD24" s="2449">
        <v>578</v>
      </c>
      <c r="BE24" s="2424">
        <v>581552</v>
      </c>
      <c r="BF24" s="2424">
        <v>581552</v>
      </c>
      <c r="BG24" s="2407">
        <v>14</v>
      </c>
      <c r="BH24" s="2695">
        <f>+W24</f>
        <v>146689132</v>
      </c>
      <c r="BI24" s="2695">
        <f>+X24</f>
        <v>57500000</v>
      </c>
      <c r="BJ24" s="2692">
        <f>+BI24/BH24</f>
        <v>0.39198541307068341</v>
      </c>
      <c r="BK24" s="4354" t="s">
        <v>90</v>
      </c>
      <c r="BL24" s="71" t="s">
        <v>91</v>
      </c>
      <c r="BM24" s="2596">
        <v>43832</v>
      </c>
      <c r="BN24" s="3309">
        <v>43854</v>
      </c>
      <c r="BO24" s="2596">
        <v>44196</v>
      </c>
      <c r="BP24" s="3309">
        <v>43892</v>
      </c>
      <c r="BQ24" s="4351" t="s">
        <v>71</v>
      </c>
    </row>
    <row r="25" spans="1:69" ht="250.5" customHeight="1" thickBot="1" x14ac:dyDescent="0.25">
      <c r="A25" s="59"/>
      <c r="B25" s="2585"/>
      <c r="C25" s="2586"/>
      <c r="D25" s="59"/>
      <c r="F25" s="4328"/>
      <c r="G25" s="4329"/>
      <c r="H25" s="4330"/>
      <c r="I25" s="2407"/>
      <c r="J25" s="2409"/>
      <c r="K25" s="3842"/>
      <c r="L25" s="2407"/>
      <c r="M25" s="2407"/>
      <c r="N25" s="2407"/>
      <c r="O25" s="4357"/>
      <c r="P25" s="3842"/>
      <c r="Q25" s="2603"/>
      <c r="R25" s="4359"/>
      <c r="S25" s="3884"/>
      <c r="T25" s="3884"/>
      <c r="U25" s="2409"/>
      <c r="V25" s="4362"/>
      <c r="W25" s="3531"/>
      <c r="X25" s="3531"/>
      <c r="Y25" s="4368"/>
      <c r="Z25" s="4369"/>
      <c r="AA25" s="2548"/>
      <c r="AB25" s="2548"/>
      <c r="AC25" s="2548"/>
      <c r="AD25" s="2563"/>
      <c r="AE25" s="2548"/>
      <c r="AF25" s="2548"/>
      <c r="AG25" s="2548"/>
      <c r="AH25" s="2548"/>
      <c r="AI25" s="2548"/>
      <c r="AJ25" s="2548"/>
      <c r="AK25" s="2548"/>
      <c r="AL25" s="2548"/>
      <c r="AM25" s="2548"/>
      <c r="AN25" s="2548"/>
      <c r="AO25" s="2548"/>
      <c r="AP25" s="2548"/>
      <c r="AQ25" s="2548"/>
      <c r="AR25" s="2548"/>
      <c r="AS25" s="2548"/>
      <c r="AT25" s="2548"/>
      <c r="AU25" s="2548"/>
      <c r="AV25" s="2548"/>
      <c r="AW25" s="2548"/>
      <c r="AX25" s="2548"/>
      <c r="AY25" s="2548"/>
      <c r="AZ25" s="2548"/>
      <c r="BA25" s="2548"/>
      <c r="BB25" s="2548"/>
      <c r="BC25" s="2548"/>
      <c r="BD25" s="2548"/>
      <c r="BE25" s="2426"/>
      <c r="BF25" s="2426"/>
      <c r="BG25" s="4369"/>
      <c r="BH25" s="4362"/>
      <c r="BI25" s="4362"/>
      <c r="BJ25" s="4372"/>
      <c r="BK25" s="4355"/>
      <c r="BL25" s="58" t="s">
        <v>92</v>
      </c>
      <c r="BM25" s="2596"/>
      <c r="BN25" s="3309"/>
      <c r="BO25" s="2596"/>
      <c r="BP25" s="3309"/>
      <c r="BQ25" s="4363"/>
    </row>
    <row r="26" spans="1:69" s="8" customFormat="1" ht="31.5" customHeight="1" thickBot="1" x14ac:dyDescent="0.3">
      <c r="A26" s="72"/>
      <c r="B26" s="73"/>
      <c r="C26" s="73"/>
      <c r="D26" s="73"/>
      <c r="E26" s="73"/>
      <c r="F26" s="4370" t="s">
        <v>93</v>
      </c>
      <c r="G26" s="4370"/>
      <c r="H26" s="4370"/>
      <c r="I26" s="4370"/>
      <c r="J26" s="4370"/>
      <c r="K26" s="4370"/>
      <c r="L26" s="4370"/>
      <c r="M26" s="4370"/>
      <c r="N26" s="4370"/>
      <c r="O26" s="4370"/>
      <c r="P26" s="4370"/>
      <c r="Q26" s="4371"/>
      <c r="R26" s="74">
        <f>SUM(R19:R25)</f>
        <v>491885000</v>
      </c>
      <c r="S26" s="75"/>
      <c r="T26" s="76"/>
      <c r="U26" s="77"/>
      <c r="V26" s="78">
        <f>SUM(V19:V25)</f>
        <v>491885000</v>
      </c>
      <c r="W26" s="78">
        <f>SUM(W19:W25)</f>
        <v>146689132</v>
      </c>
      <c r="X26" s="78">
        <f>SUM(X19:X25)</f>
        <v>57500000</v>
      </c>
      <c r="Y26" s="79"/>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1"/>
      <c r="BH26" s="81"/>
      <c r="BI26" s="81"/>
      <c r="BJ26" s="81"/>
      <c r="BK26" s="81"/>
      <c r="BL26" s="82"/>
      <c r="BM26" s="83"/>
      <c r="BN26" s="83"/>
      <c r="BO26" s="84"/>
      <c r="BP26" s="84"/>
      <c r="BQ26" s="85"/>
    </row>
    <row r="32" spans="1:69" ht="14.25" customHeight="1" x14ac:dyDescent="0.2">
      <c r="L32" s="87" t="s">
        <v>94</v>
      </c>
      <c r="M32" s="88"/>
    </row>
    <row r="33" spans="12:12" x14ac:dyDescent="0.2">
      <c r="L33" s="2" t="s">
        <v>95</v>
      </c>
    </row>
  </sheetData>
  <sheetProtection algorithmName="SHA-512" hashValue="EQnwXPmCnWxjvLHy/v1Do5SGNIxNCfRWcWDJri9VMiWN4anuby8cx3zo1HysuOqz5HFCOV9bg2vfxs6FPHdzdg==" saltValue="CygavHTVNGbwZpVZZIKZvw==" spinCount="100000" sheet="1" objects="1" scenarios="1"/>
  <mergeCells count="239">
    <mergeCell ref="BN24:BN25"/>
    <mergeCell ref="BO24:BO25"/>
    <mergeCell ref="BP24:BP25"/>
    <mergeCell ref="BQ24:BQ25"/>
    <mergeCell ref="F26:Q26"/>
    <mergeCell ref="BG24:BG25"/>
    <mergeCell ref="BH24:BH25"/>
    <mergeCell ref="BI24:BI25"/>
    <mergeCell ref="BJ24:BJ25"/>
    <mergeCell ref="BK24:BK25"/>
    <mergeCell ref="BM24:BM25"/>
    <mergeCell ref="BA24:BA25"/>
    <mergeCell ref="BB24:BB25"/>
    <mergeCell ref="BC24:BC25"/>
    <mergeCell ref="BD24:BD25"/>
    <mergeCell ref="BE24:BE25"/>
    <mergeCell ref="BF24:BF25"/>
    <mergeCell ref="AU24:AU25"/>
    <mergeCell ref="AV24:AV25"/>
    <mergeCell ref="AW24:AW25"/>
    <mergeCell ref="AX24:AX25"/>
    <mergeCell ref="AY24:AY25"/>
    <mergeCell ref="AZ24:AZ25"/>
    <mergeCell ref="AO24:AO25"/>
    <mergeCell ref="AP24:AP25"/>
    <mergeCell ref="AQ24:AQ25"/>
    <mergeCell ref="AR24:AR25"/>
    <mergeCell ref="AS24:AS25"/>
    <mergeCell ref="AT24:AT25"/>
    <mergeCell ref="AI24:AI25"/>
    <mergeCell ref="AJ24:AJ25"/>
    <mergeCell ref="AK24:AK25"/>
    <mergeCell ref="AL24:AL25"/>
    <mergeCell ref="AM24:AM25"/>
    <mergeCell ref="AN24:AN25"/>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U24:U25"/>
    <mergeCell ref="V24:V25"/>
    <mergeCell ref="BP21:BP23"/>
    <mergeCell ref="BQ21:BQ23"/>
    <mergeCell ref="I24:I25"/>
    <mergeCell ref="J24:J25"/>
    <mergeCell ref="K24:K25"/>
    <mergeCell ref="L24:L25"/>
    <mergeCell ref="M24:M25"/>
    <mergeCell ref="N24:N25"/>
    <mergeCell ref="O24:O25"/>
    <mergeCell ref="P24:P25"/>
    <mergeCell ref="BJ21:BJ23"/>
    <mergeCell ref="BK21:BK23"/>
    <mergeCell ref="BL21:BL23"/>
    <mergeCell ref="BM21:BM23"/>
    <mergeCell ref="BN21:BN23"/>
    <mergeCell ref="BO21:BO23"/>
    <mergeCell ref="BD21:BD23"/>
    <mergeCell ref="BE21:BE23"/>
    <mergeCell ref="BF21:BF23"/>
    <mergeCell ref="BG21:BG23"/>
    <mergeCell ref="BH21:BH23"/>
    <mergeCell ref="BI21:BI23"/>
    <mergeCell ref="AX21:AX23"/>
    <mergeCell ref="AY21:AY23"/>
    <mergeCell ref="AZ21:AZ23"/>
    <mergeCell ref="BA21:BA23"/>
    <mergeCell ref="BB21:BB23"/>
    <mergeCell ref="BC21:BC23"/>
    <mergeCell ref="AR21:AR23"/>
    <mergeCell ref="AS21:AS23"/>
    <mergeCell ref="AT21:AT23"/>
    <mergeCell ref="AU21:AU23"/>
    <mergeCell ref="AV21:AV23"/>
    <mergeCell ref="AW21:AW23"/>
    <mergeCell ref="AL21:AL23"/>
    <mergeCell ref="AM21:AM23"/>
    <mergeCell ref="AN21:AN23"/>
    <mergeCell ref="AO21:AO23"/>
    <mergeCell ref="AP21:AP23"/>
    <mergeCell ref="AQ21:AQ23"/>
    <mergeCell ref="AF21:AF23"/>
    <mergeCell ref="AG21:AG23"/>
    <mergeCell ref="AH21:AH23"/>
    <mergeCell ref="AI21:AI23"/>
    <mergeCell ref="AJ21:AJ23"/>
    <mergeCell ref="AK21:AK23"/>
    <mergeCell ref="T21:T22"/>
    <mergeCell ref="AA21:AA23"/>
    <mergeCell ref="AB21:AB23"/>
    <mergeCell ref="AC21:AC23"/>
    <mergeCell ref="AD21:AD23"/>
    <mergeCell ref="AE21:AE23"/>
    <mergeCell ref="N21:N23"/>
    <mergeCell ref="O21:O23"/>
    <mergeCell ref="P21:P23"/>
    <mergeCell ref="Q21:Q23"/>
    <mergeCell ref="R21:R23"/>
    <mergeCell ref="S21:S23"/>
    <mergeCell ref="BM19:BM20"/>
    <mergeCell ref="BN19:BN20"/>
    <mergeCell ref="BO19:BO20"/>
    <mergeCell ref="AZ19:AZ20"/>
    <mergeCell ref="AO19:AO20"/>
    <mergeCell ref="AP19:AP20"/>
    <mergeCell ref="AQ19:AQ20"/>
    <mergeCell ref="AR19:AR20"/>
    <mergeCell ref="AS19:AS20"/>
    <mergeCell ref="AT19:AT20"/>
    <mergeCell ref="AI19:AI20"/>
    <mergeCell ref="AJ19:AJ20"/>
    <mergeCell ref="AK19:AK20"/>
    <mergeCell ref="AL19:AL20"/>
    <mergeCell ref="AM19:AM20"/>
    <mergeCell ref="AN19:AN20"/>
    <mergeCell ref="AC19:AC20"/>
    <mergeCell ref="AD19:AD20"/>
    <mergeCell ref="BP19:BP20"/>
    <mergeCell ref="BQ19:BQ20"/>
    <mergeCell ref="I21:I23"/>
    <mergeCell ref="J21:J23"/>
    <mergeCell ref="K21:K23"/>
    <mergeCell ref="L21:L23"/>
    <mergeCell ref="M21:M23"/>
    <mergeCell ref="BG19:BG20"/>
    <mergeCell ref="BH19:BH20"/>
    <mergeCell ref="BI19:BI20"/>
    <mergeCell ref="BJ19:BJ20"/>
    <mergeCell ref="BK19:BK20"/>
    <mergeCell ref="BL19:BL20"/>
    <mergeCell ref="BA19:BA20"/>
    <mergeCell ref="BB19:BB20"/>
    <mergeCell ref="BC19:BC20"/>
    <mergeCell ref="BD19:BD20"/>
    <mergeCell ref="BE19:BE20"/>
    <mergeCell ref="BF19:BF20"/>
    <mergeCell ref="AU19:AU20"/>
    <mergeCell ref="AV19:AV20"/>
    <mergeCell ref="AW19:AW20"/>
    <mergeCell ref="AX19:AX20"/>
    <mergeCell ref="AY19:AY20"/>
    <mergeCell ref="L19:L20"/>
    <mergeCell ref="M19:M20"/>
    <mergeCell ref="N19:N20"/>
    <mergeCell ref="O19:O20"/>
    <mergeCell ref="P19:P20"/>
    <mergeCell ref="AE19:AE20"/>
    <mergeCell ref="AF19:AF20"/>
    <mergeCell ref="AG19:AG20"/>
    <mergeCell ref="AH19:AH20"/>
    <mergeCell ref="W19:W20"/>
    <mergeCell ref="X19:X20"/>
    <mergeCell ref="Y19:Y20"/>
    <mergeCell ref="Z19:Z20"/>
    <mergeCell ref="AA19:AA20"/>
    <mergeCell ref="AB19:AB20"/>
    <mergeCell ref="A17:A20"/>
    <mergeCell ref="B17:C25"/>
    <mergeCell ref="D18:D20"/>
    <mergeCell ref="E18:E20"/>
    <mergeCell ref="F19:H25"/>
    <mergeCell ref="I19:I20"/>
    <mergeCell ref="J19:J20"/>
    <mergeCell ref="BA8:BB8"/>
    <mergeCell ref="BC8:BD8"/>
    <mergeCell ref="U7:U15"/>
    <mergeCell ref="V7:X8"/>
    <mergeCell ref="Y7:Y9"/>
    <mergeCell ref="Z7:Z15"/>
    <mergeCell ref="O7:O9"/>
    <mergeCell ref="P7:P15"/>
    <mergeCell ref="Q7:Q15"/>
    <mergeCell ref="R7:R15"/>
    <mergeCell ref="Q19:Q20"/>
    <mergeCell ref="R19:R20"/>
    <mergeCell ref="S19:S20"/>
    <mergeCell ref="T19:T20"/>
    <mergeCell ref="U19:U20"/>
    <mergeCell ref="V19:V20"/>
    <mergeCell ref="K19:K20"/>
    <mergeCell ref="BO7:BP8"/>
    <mergeCell ref="AS8:AT8"/>
    <mergeCell ref="AU8:AV8"/>
    <mergeCell ref="AW8:AX8"/>
    <mergeCell ref="AY8:AZ8"/>
    <mergeCell ref="AA7:AD7"/>
    <mergeCell ref="AE7:AL7"/>
    <mergeCell ref="BJ8:BJ9"/>
    <mergeCell ref="BK8:BK9"/>
    <mergeCell ref="BL8:BL9"/>
    <mergeCell ref="BE8:BF8"/>
    <mergeCell ref="BG8:BG9"/>
    <mergeCell ref="BH8:BH9"/>
    <mergeCell ref="BI8:BI9"/>
    <mergeCell ref="AK8:AL8"/>
    <mergeCell ref="AM8:AN8"/>
    <mergeCell ref="AO8:AP8"/>
    <mergeCell ref="AQ8:AR8"/>
    <mergeCell ref="AM7:AX7"/>
    <mergeCell ref="AY7:BD7"/>
    <mergeCell ref="BE7:BF7"/>
    <mergeCell ref="BG7:BL7"/>
    <mergeCell ref="BM7:BN8"/>
    <mergeCell ref="S7:S15"/>
    <mergeCell ref="T7:T15"/>
    <mergeCell ref="G7:H15"/>
    <mergeCell ref="I7:I15"/>
    <mergeCell ref="J7:J15"/>
    <mergeCell ref="K7:K15"/>
    <mergeCell ref="L7:M8"/>
    <mergeCell ref="N7:N15"/>
    <mergeCell ref="A1:BM4"/>
    <mergeCell ref="A5:L6"/>
    <mergeCell ref="P5:BQ5"/>
    <mergeCell ref="P6:Z6"/>
    <mergeCell ref="BM6:BQ6"/>
    <mergeCell ref="A7:A15"/>
    <mergeCell ref="B7:C15"/>
    <mergeCell ref="D7:D15"/>
    <mergeCell ref="E7:E15"/>
    <mergeCell ref="F7:F15"/>
    <mergeCell ref="BQ7:BQ15"/>
    <mergeCell ref="AA8:AB8"/>
    <mergeCell ref="AC8:AD8"/>
    <mergeCell ref="AE8:AF8"/>
    <mergeCell ref="AG8:AH8"/>
    <mergeCell ref="AI8:AJ8"/>
  </mergeCells>
  <pageMargins left="1.1023622047244095" right="0" top="0.74803149606299213" bottom="0.74803149606299213" header="0.31496062992125984" footer="0.31496062992125984"/>
  <pageSetup paperSize="258" scale="55"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K49"/>
  <sheetViews>
    <sheetView showGridLines="0" zoomScale="70" zoomScaleNormal="70" workbookViewId="0">
      <pane ySplit="1" topLeftCell="A2" activePane="bottomLeft" state="frozen"/>
      <selection activeCell="Z1" sqref="Z1"/>
      <selection pane="bottomLeft" activeCell="L13" sqref="L13:L15"/>
    </sheetView>
  </sheetViews>
  <sheetFormatPr baseColWidth="10" defaultColWidth="11.42578125" defaultRowHeight="14.25" x14ac:dyDescent="0.2"/>
  <cols>
    <col min="1" max="1" width="12.85546875" style="1763" customWidth="1"/>
    <col min="2" max="2" width="4" style="458" customWidth="1"/>
    <col min="3" max="3" width="18.140625" style="458" customWidth="1"/>
    <col min="4" max="4" width="12.42578125" style="458" customWidth="1"/>
    <col min="5" max="5" width="6.42578125" style="458" customWidth="1"/>
    <col min="6" max="6" width="12.85546875" style="458" customWidth="1"/>
    <col min="7" max="7" width="11.85546875" style="458" customWidth="1"/>
    <col min="8" max="8" width="4.5703125" style="458" customWidth="1"/>
    <col min="9" max="9" width="15.140625" style="458" customWidth="1"/>
    <col min="10" max="10" width="13.42578125" style="458" bestFit="1" customWidth="1"/>
    <col min="11" max="11" width="25.5703125" style="1764" customWidth="1"/>
    <col min="12" max="12" width="18.5703125" style="908" customWidth="1"/>
    <col min="13" max="13" width="11" style="908" hidden="1" customWidth="1"/>
    <col min="14" max="14" width="11.42578125" style="908" hidden="1" customWidth="1"/>
    <col min="15" max="15" width="27.5703125" style="908" customWidth="1"/>
    <col min="16" max="16" width="22" style="1765" customWidth="1"/>
    <col min="17" max="17" width="22.42578125" style="1764" customWidth="1"/>
    <col min="18" max="18" width="23.42578125" style="1766" customWidth="1"/>
    <col min="19" max="19" width="23.85546875" style="1767" customWidth="1"/>
    <col min="20" max="20" width="29" style="1764" customWidth="1"/>
    <col min="21" max="21" width="25.5703125" style="1764" customWidth="1"/>
    <col min="22" max="22" width="36.42578125" style="1764" customWidth="1"/>
    <col min="23" max="23" width="24.140625" style="1768" customWidth="1"/>
    <col min="24" max="24" width="24.5703125" style="1768" customWidth="1"/>
    <col min="25" max="25" width="23.42578125" style="1768" customWidth="1"/>
    <col min="26" max="26" width="17.42578125" style="1769" customWidth="1"/>
    <col min="27" max="27" width="26.42578125" style="1770" customWidth="1"/>
    <col min="28" max="28" width="9.42578125" style="458" bestFit="1" customWidth="1"/>
    <col min="29" max="29" width="8.5703125" style="458" bestFit="1" customWidth="1"/>
    <col min="30" max="30" width="9.42578125" style="458" bestFit="1" customWidth="1"/>
    <col min="31" max="31" width="8.5703125" style="458" bestFit="1" customWidth="1"/>
    <col min="32" max="32" width="7.5703125" style="458" bestFit="1" customWidth="1"/>
    <col min="33" max="33" width="6.5703125" style="458" bestFit="1" customWidth="1"/>
    <col min="34" max="34" width="7.5703125" style="458" bestFit="1" customWidth="1"/>
    <col min="35" max="35" width="6.85546875" style="458" customWidth="1"/>
    <col min="36" max="37" width="8.42578125" style="458" bestFit="1" customWidth="1"/>
    <col min="38" max="38" width="7.5703125" style="458" bestFit="1" customWidth="1"/>
    <col min="39" max="39" width="7" style="458" bestFit="1" customWidth="1"/>
    <col min="40" max="41" width="5.5703125" style="458" bestFit="1" customWidth="1"/>
    <col min="42" max="42" width="7.5703125" style="458" bestFit="1" customWidth="1"/>
    <col min="43" max="43" width="7" style="458" bestFit="1" customWidth="1"/>
    <col min="44" max="51" width="4.5703125" style="458" bestFit="1" customWidth="1"/>
    <col min="52" max="52" width="6.42578125" style="458" bestFit="1" customWidth="1"/>
    <col min="53" max="55" width="4.5703125" style="458" bestFit="1" customWidth="1"/>
    <col min="56" max="56" width="8.5703125" style="458" bestFit="1" customWidth="1"/>
    <col min="57" max="57" width="7.42578125" style="458" customWidth="1"/>
    <col min="58" max="58" width="10.42578125" style="458" customWidth="1"/>
    <col min="59" max="59" width="13" style="1344" customWidth="1"/>
    <col min="60" max="60" width="23" style="1344" customWidth="1"/>
    <col min="61" max="61" width="28" style="1344" customWidth="1"/>
    <col min="62" max="62" width="25" style="1344" customWidth="1"/>
    <col min="63" max="63" width="23" style="1771" customWidth="1"/>
    <col min="64" max="64" width="19" style="1344" customWidth="1"/>
    <col min="65" max="65" width="30.5703125" style="1772" customWidth="1"/>
    <col min="66" max="66" width="19.85546875" style="1772" customWidth="1"/>
    <col min="67" max="68" width="20.140625" style="1773" customWidth="1"/>
    <col min="69" max="69" width="23.5703125" style="461" customWidth="1"/>
    <col min="70" max="70" width="23.5703125" style="458" bestFit="1" customWidth="1"/>
    <col min="71" max="282" width="11.42578125" style="458"/>
    <col min="283" max="283" width="13.140625" style="458" customWidth="1"/>
    <col min="284" max="284" width="4" style="458" customWidth="1"/>
    <col min="285" max="285" width="12.85546875" style="458" customWidth="1"/>
    <col min="286" max="286" width="14.5703125" style="458" customWidth="1"/>
    <col min="287" max="287" width="10" style="458" customWidth="1"/>
    <col min="288" max="288" width="6.42578125" style="458" customWidth="1"/>
    <col min="289" max="289" width="12.42578125" style="458" customWidth="1"/>
    <col min="290" max="290" width="8.5703125" style="458" customWidth="1"/>
    <col min="291" max="291" width="13.5703125" style="458" customWidth="1"/>
    <col min="292" max="292" width="11.5703125" style="458" customWidth="1"/>
    <col min="293" max="293" width="34.42578125" style="458" customWidth="1"/>
    <col min="294" max="294" width="24.42578125" style="458" customWidth="1"/>
    <col min="295" max="295" width="21.140625" style="458" customWidth="1"/>
    <col min="296" max="296" width="22.140625" style="458" customWidth="1"/>
    <col min="297" max="297" width="8" style="458" customWidth="1"/>
    <col min="298" max="298" width="17" style="458" customWidth="1"/>
    <col min="299" max="299" width="12.5703125" style="458" customWidth="1"/>
    <col min="300" max="300" width="24.5703125" style="458" customWidth="1"/>
    <col min="301" max="301" width="29" style="458" customWidth="1"/>
    <col min="302" max="302" width="17.5703125" style="458" customWidth="1"/>
    <col min="303" max="303" width="36.42578125" style="458" customWidth="1"/>
    <col min="304" max="304" width="21.85546875" style="458" customWidth="1"/>
    <col min="305" max="305" width="11.5703125" style="458" customWidth="1"/>
    <col min="306" max="306" width="26.42578125" style="458" customWidth="1"/>
    <col min="307" max="307" width="9" style="458" customWidth="1"/>
    <col min="308" max="308" width="6.42578125" style="458" customWidth="1"/>
    <col min="309" max="310" width="7.42578125" style="458" customWidth="1"/>
    <col min="311" max="311" width="8.42578125" style="458" customWidth="1"/>
    <col min="312" max="312" width="9.5703125" style="458" customWidth="1"/>
    <col min="313" max="313" width="6.42578125" style="458" customWidth="1"/>
    <col min="314" max="314" width="5.85546875" style="458" customWidth="1"/>
    <col min="315" max="316" width="4.42578125" style="458" customWidth="1"/>
    <col min="317" max="317" width="5" style="458" customWidth="1"/>
    <col min="318" max="318" width="5.85546875" style="458" customWidth="1"/>
    <col min="319" max="319" width="6.140625" style="458" customWidth="1"/>
    <col min="320" max="320" width="6.42578125" style="458" customWidth="1"/>
    <col min="321" max="321" width="11.140625" style="458" customWidth="1"/>
    <col min="322" max="322" width="14.140625" style="458" customWidth="1"/>
    <col min="323" max="323" width="19.85546875" style="458" customWidth="1"/>
    <col min="324" max="324" width="17" style="458" customWidth="1"/>
    <col min="325" max="325" width="20.85546875" style="458" customWidth="1"/>
    <col min="326" max="538" width="11.42578125" style="458"/>
    <col min="539" max="539" width="13.140625" style="458" customWidth="1"/>
    <col min="540" max="540" width="4" style="458" customWidth="1"/>
    <col min="541" max="541" width="12.85546875" style="458" customWidth="1"/>
    <col min="542" max="542" width="14.5703125" style="458" customWidth="1"/>
    <col min="543" max="543" width="10" style="458" customWidth="1"/>
    <col min="544" max="544" width="6.42578125" style="458" customWidth="1"/>
    <col min="545" max="545" width="12.42578125" style="458" customWidth="1"/>
    <col min="546" max="546" width="8.5703125" style="458" customWidth="1"/>
    <col min="547" max="547" width="13.5703125" style="458" customWidth="1"/>
    <col min="548" max="548" width="11.5703125" style="458" customWidth="1"/>
    <col min="549" max="549" width="34.42578125" style="458" customWidth="1"/>
    <col min="550" max="550" width="24.42578125" style="458" customWidth="1"/>
    <col min="551" max="551" width="21.140625" style="458" customWidth="1"/>
    <col min="552" max="552" width="22.140625" style="458" customWidth="1"/>
    <col min="553" max="553" width="8" style="458" customWidth="1"/>
    <col min="554" max="554" width="17" style="458" customWidth="1"/>
    <col min="555" max="555" width="12.5703125" style="458" customWidth="1"/>
    <col min="556" max="556" width="24.5703125" style="458" customWidth="1"/>
    <col min="557" max="557" width="29" style="458" customWidth="1"/>
    <col min="558" max="558" width="17.5703125" style="458" customWidth="1"/>
    <col min="559" max="559" width="36.42578125" style="458" customWidth="1"/>
    <col min="560" max="560" width="21.85546875" style="458" customWidth="1"/>
    <col min="561" max="561" width="11.5703125" style="458" customWidth="1"/>
    <col min="562" max="562" width="26.42578125" style="458" customWidth="1"/>
    <col min="563" max="563" width="9" style="458" customWidth="1"/>
    <col min="564" max="564" width="6.42578125" style="458" customWidth="1"/>
    <col min="565" max="566" width="7.42578125" style="458" customWidth="1"/>
    <col min="567" max="567" width="8.42578125" style="458" customWidth="1"/>
    <col min="568" max="568" width="9.5703125" style="458" customWidth="1"/>
    <col min="569" max="569" width="6.42578125" style="458" customWidth="1"/>
    <col min="570" max="570" width="5.85546875" style="458" customWidth="1"/>
    <col min="571" max="572" width="4.42578125" style="458" customWidth="1"/>
    <col min="573" max="573" width="5" style="458" customWidth="1"/>
    <col min="574" max="574" width="5.85546875" style="458" customWidth="1"/>
    <col min="575" max="575" width="6.140625" style="458" customWidth="1"/>
    <col min="576" max="576" width="6.42578125" style="458" customWidth="1"/>
    <col min="577" max="577" width="11.140625" style="458" customWidth="1"/>
    <col min="578" max="578" width="14.140625" style="458" customWidth="1"/>
    <col min="579" max="579" width="19.85546875" style="458" customWidth="1"/>
    <col min="580" max="580" width="17" style="458" customWidth="1"/>
    <col min="581" max="581" width="20.85546875" style="458" customWidth="1"/>
    <col min="582" max="794" width="11.42578125" style="458"/>
    <col min="795" max="795" width="13.140625" style="458" customWidth="1"/>
    <col min="796" max="796" width="4" style="458" customWidth="1"/>
    <col min="797" max="797" width="12.85546875" style="458" customWidth="1"/>
    <col min="798" max="798" width="14.5703125" style="458" customWidth="1"/>
    <col min="799" max="799" width="10" style="458" customWidth="1"/>
    <col min="800" max="800" width="6.42578125" style="458" customWidth="1"/>
    <col min="801" max="801" width="12.42578125" style="458" customWidth="1"/>
    <col min="802" max="802" width="8.5703125" style="458" customWidth="1"/>
    <col min="803" max="803" width="13.5703125" style="458" customWidth="1"/>
    <col min="804" max="804" width="11.5703125" style="458" customWidth="1"/>
    <col min="805" max="805" width="34.42578125" style="458" customWidth="1"/>
    <col min="806" max="806" width="24.42578125" style="458" customWidth="1"/>
    <col min="807" max="807" width="21.140625" style="458" customWidth="1"/>
    <col min="808" max="808" width="22.140625" style="458" customWidth="1"/>
    <col min="809" max="809" width="8" style="458" customWidth="1"/>
    <col min="810" max="810" width="17" style="458" customWidth="1"/>
    <col min="811" max="811" width="12.5703125" style="458" customWidth="1"/>
    <col min="812" max="812" width="24.5703125" style="458" customWidth="1"/>
    <col min="813" max="813" width="29" style="458" customWidth="1"/>
    <col min="814" max="814" width="17.5703125" style="458" customWidth="1"/>
    <col min="815" max="815" width="36.42578125" style="458" customWidth="1"/>
    <col min="816" max="816" width="21.85546875" style="458" customWidth="1"/>
    <col min="817" max="817" width="11.5703125" style="458" customWidth="1"/>
    <col min="818" max="818" width="26.42578125" style="458" customWidth="1"/>
    <col min="819" max="819" width="9" style="458" customWidth="1"/>
    <col min="820" max="820" width="6.42578125" style="458" customWidth="1"/>
    <col min="821" max="822" width="7.42578125" style="458" customWidth="1"/>
    <col min="823" max="823" width="8.42578125" style="458" customWidth="1"/>
    <col min="824" max="824" width="9.5703125" style="458" customWidth="1"/>
    <col min="825" max="825" width="6.42578125" style="458" customWidth="1"/>
    <col min="826" max="826" width="5.85546875" style="458" customWidth="1"/>
    <col min="827" max="828" width="4.42578125" style="458" customWidth="1"/>
    <col min="829" max="829" width="5" style="458" customWidth="1"/>
    <col min="830" max="830" width="5.85546875" style="458" customWidth="1"/>
    <col min="831" max="831" width="6.140625" style="458" customWidth="1"/>
    <col min="832" max="832" width="6.42578125" style="458" customWidth="1"/>
    <col min="833" max="833" width="11.140625" style="458" customWidth="1"/>
    <col min="834" max="834" width="14.140625" style="458" customWidth="1"/>
    <col min="835" max="835" width="19.85546875" style="458" customWidth="1"/>
    <col min="836" max="836" width="17" style="458" customWidth="1"/>
    <col min="837" max="837" width="20.85546875" style="458" customWidth="1"/>
    <col min="838" max="1050" width="11.42578125" style="458"/>
    <col min="1051" max="1051" width="13.140625" style="458" customWidth="1"/>
    <col min="1052" max="1052" width="4" style="458" customWidth="1"/>
    <col min="1053" max="1053" width="12.85546875" style="458" customWidth="1"/>
    <col min="1054" max="1054" width="14.5703125" style="458" customWidth="1"/>
    <col min="1055" max="1055" width="10" style="458" customWidth="1"/>
    <col min="1056" max="1056" width="6.42578125" style="458" customWidth="1"/>
    <col min="1057" max="1057" width="12.42578125" style="458" customWidth="1"/>
    <col min="1058" max="1058" width="8.5703125" style="458" customWidth="1"/>
    <col min="1059" max="1059" width="13.5703125" style="458" customWidth="1"/>
    <col min="1060" max="1060" width="11.5703125" style="458" customWidth="1"/>
    <col min="1061" max="1061" width="34.42578125" style="458" customWidth="1"/>
    <col min="1062" max="1062" width="24.42578125" style="458" customWidth="1"/>
    <col min="1063" max="1063" width="21.140625" style="458" customWidth="1"/>
    <col min="1064" max="1064" width="22.140625" style="458" customWidth="1"/>
    <col min="1065" max="1065" width="8" style="458" customWidth="1"/>
    <col min="1066" max="1066" width="17" style="458" customWidth="1"/>
    <col min="1067" max="1067" width="12.5703125" style="458" customWidth="1"/>
    <col min="1068" max="1068" width="24.5703125" style="458" customWidth="1"/>
    <col min="1069" max="1069" width="29" style="458" customWidth="1"/>
    <col min="1070" max="1070" width="17.5703125" style="458" customWidth="1"/>
    <col min="1071" max="1071" width="36.42578125" style="458" customWidth="1"/>
    <col min="1072" max="1072" width="21.85546875" style="458" customWidth="1"/>
    <col min="1073" max="1073" width="11.5703125" style="458" customWidth="1"/>
    <col min="1074" max="1074" width="26.42578125" style="458" customWidth="1"/>
    <col min="1075" max="1075" width="9" style="458" customWidth="1"/>
    <col min="1076" max="1076" width="6.42578125" style="458" customWidth="1"/>
    <col min="1077" max="1078" width="7.42578125" style="458" customWidth="1"/>
    <col min="1079" max="1079" width="8.42578125" style="458" customWidth="1"/>
    <col min="1080" max="1080" width="9.5703125" style="458" customWidth="1"/>
    <col min="1081" max="1081" width="6.42578125" style="458" customWidth="1"/>
    <col min="1082" max="1082" width="5.85546875" style="458" customWidth="1"/>
    <col min="1083" max="1084" width="4.42578125" style="458" customWidth="1"/>
    <col min="1085" max="1085" width="5" style="458" customWidth="1"/>
    <col min="1086" max="1086" width="5.85546875" style="458" customWidth="1"/>
    <col min="1087" max="1087" width="6.140625" style="458" customWidth="1"/>
    <col min="1088" max="1088" width="6.42578125" style="458" customWidth="1"/>
    <col min="1089" max="1089" width="11.140625" style="458" customWidth="1"/>
    <col min="1090" max="1090" width="14.140625" style="458" customWidth="1"/>
    <col min="1091" max="1091" width="19.85546875" style="458" customWidth="1"/>
    <col min="1092" max="1092" width="17" style="458" customWidth="1"/>
    <col min="1093" max="1093" width="20.85546875" style="458" customWidth="1"/>
    <col min="1094" max="1306" width="11.42578125" style="458"/>
    <col min="1307" max="1307" width="13.140625" style="458" customWidth="1"/>
    <col min="1308" max="1308" width="4" style="458" customWidth="1"/>
    <col min="1309" max="1309" width="12.85546875" style="458" customWidth="1"/>
    <col min="1310" max="1310" width="14.5703125" style="458" customWidth="1"/>
    <col min="1311" max="1311" width="10" style="458" customWidth="1"/>
    <col min="1312" max="1312" width="6.42578125" style="458" customWidth="1"/>
    <col min="1313" max="1313" width="12.42578125" style="458" customWidth="1"/>
    <col min="1314" max="1314" width="8.5703125" style="458" customWidth="1"/>
    <col min="1315" max="1315" width="13.5703125" style="458" customWidth="1"/>
    <col min="1316" max="1316" width="11.5703125" style="458" customWidth="1"/>
    <col min="1317" max="1317" width="34.42578125" style="458" customWidth="1"/>
    <col min="1318" max="1318" width="24.42578125" style="458" customWidth="1"/>
    <col min="1319" max="1319" width="21.140625" style="458" customWidth="1"/>
    <col min="1320" max="1320" width="22.140625" style="458" customWidth="1"/>
    <col min="1321" max="1321" width="8" style="458" customWidth="1"/>
    <col min="1322" max="1322" width="17" style="458" customWidth="1"/>
    <col min="1323" max="1323" width="12.5703125" style="458" customWidth="1"/>
    <col min="1324" max="1324" width="24.5703125" style="458" customWidth="1"/>
    <col min="1325" max="1325" width="29" style="458" customWidth="1"/>
    <col min="1326" max="1326" width="17.5703125" style="458" customWidth="1"/>
    <col min="1327" max="1327" width="36.42578125" style="458" customWidth="1"/>
    <col min="1328" max="1328" width="21.85546875" style="458" customWidth="1"/>
    <col min="1329" max="1329" width="11.5703125" style="458" customWidth="1"/>
    <col min="1330" max="1330" width="26.42578125" style="458" customWidth="1"/>
    <col min="1331" max="1331" width="9" style="458" customWidth="1"/>
    <col min="1332" max="1332" width="6.42578125" style="458" customWidth="1"/>
    <col min="1333" max="1334" width="7.42578125" style="458" customWidth="1"/>
    <col min="1335" max="1335" width="8.42578125" style="458" customWidth="1"/>
    <col min="1336" max="1336" width="9.5703125" style="458" customWidth="1"/>
    <col min="1337" max="1337" width="6.42578125" style="458" customWidth="1"/>
    <col min="1338" max="1338" width="5.85546875" style="458" customWidth="1"/>
    <col min="1339" max="1340" width="4.42578125" style="458" customWidth="1"/>
    <col min="1341" max="1341" width="5" style="458" customWidth="1"/>
    <col min="1342" max="1342" width="5.85546875" style="458" customWidth="1"/>
    <col min="1343" max="1343" width="6.140625" style="458" customWidth="1"/>
    <col min="1344" max="1344" width="6.42578125" style="458" customWidth="1"/>
    <col min="1345" max="1345" width="11.140625" style="458" customWidth="1"/>
    <col min="1346" max="1346" width="14.140625" style="458" customWidth="1"/>
    <col min="1347" max="1347" width="19.85546875" style="458" customWidth="1"/>
    <col min="1348" max="1348" width="17" style="458" customWidth="1"/>
    <col min="1349" max="1349" width="20.85546875" style="458" customWidth="1"/>
    <col min="1350" max="1562" width="11.42578125" style="458"/>
    <col min="1563" max="1563" width="13.140625" style="458" customWidth="1"/>
    <col min="1564" max="1564" width="4" style="458" customWidth="1"/>
    <col min="1565" max="1565" width="12.85546875" style="458" customWidth="1"/>
    <col min="1566" max="1566" width="14.5703125" style="458" customWidth="1"/>
    <col min="1567" max="1567" width="10" style="458" customWidth="1"/>
    <col min="1568" max="1568" width="6.42578125" style="458" customWidth="1"/>
    <col min="1569" max="1569" width="12.42578125" style="458" customWidth="1"/>
    <col min="1570" max="1570" width="8.5703125" style="458" customWidth="1"/>
    <col min="1571" max="1571" width="13.5703125" style="458" customWidth="1"/>
    <col min="1572" max="1572" width="11.5703125" style="458" customWidth="1"/>
    <col min="1573" max="1573" width="34.42578125" style="458" customWidth="1"/>
    <col min="1574" max="1574" width="24.42578125" style="458" customWidth="1"/>
    <col min="1575" max="1575" width="21.140625" style="458" customWidth="1"/>
    <col min="1576" max="1576" width="22.140625" style="458" customWidth="1"/>
    <col min="1577" max="1577" width="8" style="458" customWidth="1"/>
    <col min="1578" max="1578" width="17" style="458" customWidth="1"/>
    <col min="1579" max="1579" width="12.5703125" style="458" customWidth="1"/>
    <col min="1580" max="1580" width="24.5703125" style="458" customWidth="1"/>
    <col min="1581" max="1581" width="29" style="458" customWidth="1"/>
    <col min="1582" max="1582" width="17.5703125" style="458" customWidth="1"/>
    <col min="1583" max="1583" width="36.42578125" style="458" customWidth="1"/>
    <col min="1584" max="1584" width="21.85546875" style="458" customWidth="1"/>
    <col min="1585" max="1585" width="11.5703125" style="458" customWidth="1"/>
    <col min="1586" max="1586" width="26.42578125" style="458" customWidth="1"/>
    <col min="1587" max="1587" width="9" style="458" customWidth="1"/>
    <col min="1588" max="1588" width="6.42578125" style="458" customWidth="1"/>
    <col min="1589" max="1590" width="7.42578125" style="458" customWidth="1"/>
    <col min="1591" max="1591" width="8.42578125" style="458" customWidth="1"/>
    <col min="1592" max="1592" width="9.5703125" style="458" customWidth="1"/>
    <col min="1593" max="1593" width="6.42578125" style="458" customWidth="1"/>
    <col min="1594" max="1594" width="5.85546875" style="458" customWidth="1"/>
    <col min="1595" max="1596" width="4.42578125" style="458" customWidth="1"/>
    <col min="1597" max="1597" width="5" style="458" customWidth="1"/>
    <col min="1598" max="1598" width="5.85546875" style="458" customWidth="1"/>
    <col min="1599" max="1599" width="6.140625" style="458" customWidth="1"/>
    <col min="1600" max="1600" width="6.42578125" style="458" customWidth="1"/>
    <col min="1601" max="1601" width="11.140625" style="458" customWidth="1"/>
    <col min="1602" max="1602" width="14.140625" style="458" customWidth="1"/>
    <col min="1603" max="1603" width="19.85546875" style="458" customWidth="1"/>
    <col min="1604" max="1604" width="17" style="458" customWidth="1"/>
    <col min="1605" max="1605" width="20.85546875" style="458" customWidth="1"/>
    <col min="1606" max="1818" width="11.42578125" style="458"/>
    <col min="1819" max="1819" width="13.140625" style="458" customWidth="1"/>
    <col min="1820" max="1820" width="4" style="458" customWidth="1"/>
    <col min="1821" max="1821" width="12.85546875" style="458" customWidth="1"/>
    <col min="1822" max="1822" width="14.5703125" style="458" customWidth="1"/>
    <col min="1823" max="1823" width="10" style="458" customWidth="1"/>
    <col min="1824" max="1824" width="6.42578125" style="458" customWidth="1"/>
    <col min="1825" max="1825" width="12.42578125" style="458" customWidth="1"/>
    <col min="1826" max="1826" width="8.5703125" style="458" customWidth="1"/>
    <col min="1827" max="1827" width="13.5703125" style="458" customWidth="1"/>
    <col min="1828" max="1828" width="11.5703125" style="458" customWidth="1"/>
    <col min="1829" max="1829" width="34.42578125" style="458" customWidth="1"/>
    <col min="1830" max="1830" width="24.42578125" style="458" customWidth="1"/>
    <col min="1831" max="1831" width="21.140625" style="458" customWidth="1"/>
    <col min="1832" max="1832" width="22.140625" style="458" customWidth="1"/>
    <col min="1833" max="1833" width="8" style="458" customWidth="1"/>
    <col min="1834" max="1834" width="17" style="458" customWidth="1"/>
    <col min="1835" max="1835" width="12.5703125" style="458" customWidth="1"/>
    <col min="1836" max="1836" width="24.5703125" style="458" customWidth="1"/>
    <col min="1837" max="1837" width="29" style="458" customWidth="1"/>
    <col min="1838" max="1838" width="17.5703125" style="458" customWidth="1"/>
    <col min="1839" max="1839" width="36.42578125" style="458" customWidth="1"/>
    <col min="1840" max="1840" width="21.85546875" style="458" customWidth="1"/>
    <col min="1841" max="1841" width="11.5703125" style="458" customWidth="1"/>
    <col min="1842" max="1842" width="26.42578125" style="458" customWidth="1"/>
    <col min="1843" max="1843" width="9" style="458" customWidth="1"/>
    <col min="1844" max="1844" width="6.42578125" style="458" customWidth="1"/>
    <col min="1845" max="1846" width="7.42578125" style="458" customWidth="1"/>
    <col min="1847" max="1847" width="8.42578125" style="458" customWidth="1"/>
    <col min="1848" max="1848" width="9.5703125" style="458" customWidth="1"/>
    <col min="1849" max="1849" width="6.42578125" style="458" customWidth="1"/>
    <col min="1850" max="1850" width="5.85546875" style="458" customWidth="1"/>
    <col min="1851" max="1852" width="4.42578125" style="458" customWidth="1"/>
    <col min="1853" max="1853" width="5" style="458" customWidth="1"/>
    <col min="1854" max="1854" width="5.85546875" style="458" customWidth="1"/>
    <col min="1855" max="1855" width="6.140625" style="458" customWidth="1"/>
    <col min="1856" max="1856" width="6.42578125" style="458" customWidth="1"/>
    <col min="1857" max="1857" width="11.140625" style="458" customWidth="1"/>
    <col min="1858" max="1858" width="14.140625" style="458" customWidth="1"/>
    <col min="1859" max="1859" width="19.85546875" style="458" customWidth="1"/>
    <col min="1860" max="1860" width="17" style="458" customWidth="1"/>
    <col min="1861" max="1861" width="20.85546875" style="458" customWidth="1"/>
    <col min="1862" max="2074" width="11.42578125" style="458"/>
    <col min="2075" max="2075" width="13.140625" style="458" customWidth="1"/>
    <col min="2076" max="2076" width="4" style="458" customWidth="1"/>
    <col min="2077" max="2077" width="12.85546875" style="458" customWidth="1"/>
    <col min="2078" max="2078" width="14.5703125" style="458" customWidth="1"/>
    <col min="2079" max="2079" width="10" style="458" customWidth="1"/>
    <col min="2080" max="2080" width="6.42578125" style="458" customWidth="1"/>
    <col min="2081" max="2081" width="12.42578125" style="458" customWidth="1"/>
    <col min="2082" max="2082" width="8.5703125" style="458" customWidth="1"/>
    <col min="2083" max="2083" width="13.5703125" style="458" customWidth="1"/>
    <col min="2084" max="2084" width="11.5703125" style="458" customWidth="1"/>
    <col min="2085" max="2085" width="34.42578125" style="458" customWidth="1"/>
    <col min="2086" max="2086" width="24.42578125" style="458" customWidth="1"/>
    <col min="2087" max="2087" width="21.140625" style="458" customWidth="1"/>
    <col min="2088" max="2088" width="22.140625" style="458" customWidth="1"/>
    <col min="2089" max="2089" width="8" style="458" customWidth="1"/>
    <col min="2090" max="2090" width="17" style="458" customWidth="1"/>
    <col min="2091" max="2091" width="12.5703125" style="458" customWidth="1"/>
    <col min="2092" max="2092" width="24.5703125" style="458" customWidth="1"/>
    <col min="2093" max="2093" width="29" style="458" customWidth="1"/>
    <col min="2094" max="2094" width="17.5703125" style="458" customWidth="1"/>
    <col min="2095" max="2095" width="36.42578125" style="458" customWidth="1"/>
    <col min="2096" max="2096" width="21.85546875" style="458" customWidth="1"/>
    <col min="2097" max="2097" width="11.5703125" style="458" customWidth="1"/>
    <col min="2098" max="2098" width="26.42578125" style="458" customWidth="1"/>
    <col min="2099" max="2099" width="9" style="458" customWidth="1"/>
    <col min="2100" max="2100" width="6.42578125" style="458" customWidth="1"/>
    <col min="2101" max="2102" width="7.42578125" style="458" customWidth="1"/>
    <col min="2103" max="2103" width="8.42578125" style="458" customWidth="1"/>
    <col min="2104" max="2104" width="9.5703125" style="458" customWidth="1"/>
    <col min="2105" max="2105" width="6.42578125" style="458" customWidth="1"/>
    <col min="2106" max="2106" width="5.85546875" style="458" customWidth="1"/>
    <col min="2107" max="2108" width="4.42578125" style="458" customWidth="1"/>
    <col min="2109" max="2109" width="5" style="458" customWidth="1"/>
    <col min="2110" max="2110" width="5.85546875" style="458" customWidth="1"/>
    <col min="2111" max="2111" width="6.140625" style="458" customWidth="1"/>
    <col min="2112" max="2112" width="6.42578125" style="458" customWidth="1"/>
    <col min="2113" max="2113" width="11.140625" style="458" customWidth="1"/>
    <col min="2114" max="2114" width="14.140625" style="458" customWidth="1"/>
    <col min="2115" max="2115" width="19.85546875" style="458" customWidth="1"/>
    <col min="2116" max="2116" width="17" style="458" customWidth="1"/>
    <col min="2117" max="2117" width="20.85546875" style="458" customWidth="1"/>
    <col min="2118" max="2330" width="11.42578125" style="458"/>
    <col min="2331" max="2331" width="13.140625" style="458" customWidth="1"/>
    <col min="2332" max="2332" width="4" style="458" customWidth="1"/>
    <col min="2333" max="2333" width="12.85546875" style="458" customWidth="1"/>
    <col min="2334" max="2334" width="14.5703125" style="458" customWidth="1"/>
    <col min="2335" max="2335" width="10" style="458" customWidth="1"/>
    <col min="2336" max="2336" width="6.42578125" style="458" customWidth="1"/>
    <col min="2337" max="2337" width="12.42578125" style="458" customWidth="1"/>
    <col min="2338" max="2338" width="8.5703125" style="458" customWidth="1"/>
    <col min="2339" max="2339" width="13.5703125" style="458" customWidth="1"/>
    <col min="2340" max="2340" width="11.5703125" style="458" customWidth="1"/>
    <col min="2341" max="2341" width="34.42578125" style="458" customWidth="1"/>
    <col min="2342" max="2342" width="24.42578125" style="458" customWidth="1"/>
    <col min="2343" max="2343" width="21.140625" style="458" customWidth="1"/>
    <col min="2344" max="2344" width="22.140625" style="458" customWidth="1"/>
    <col min="2345" max="2345" width="8" style="458" customWidth="1"/>
    <col min="2346" max="2346" width="17" style="458" customWidth="1"/>
    <col min="2347" max="2347" width="12.5703125" style="458" customWidth="1"/>
    <col min="2348" max="2348" width="24.5703125" style="458" customWidth="1"/>
    <col min="2349" max="2349" width="29" style="458" customWidth="1"/>
    <col min="2350" max="2350" width="17.5703125" style="458" customWidth="1"/>
    <col min="2351" max="2351" width="36.42578125" style="458" customWidth="1"/>
    <col min="2352" max="2352" width="21.85546875" style="458" customWidth="1"/>
    <col min="2353" max="2353" width="11.5703125" style="458" customWidth="1"/>
    <col min="2354" max="2354" width="26.42578125" style="458" customWidth="1"/>
    <col min="2355" max="2355" width="9" style="458" customWidth="1"/>
    <col min="2356" max="2356" width="6.42578125" style="458" customWidth="1"/>
    <col min="2357" max="2358" width="7.42578125" style="458" customWidth="1"/>
    <col min="2359" max="2359" width="8.42578125" style="458" customWidth="1"/>
    <col min="2360" max="2360" width="9.5703125" style="458" customWidth="1"/>
    <col min="2361" max="2361" width="6.42578125" style="458" customWidth="1"/>
    <col min="2362" max="2362" width="5.85546875" style="458" customWidth="1"/>
    <col min="2363" max="2364" width="4.42578125" style="458" customWidth="1"/>
    <col min="2365" max="2365" width="5" style="458" customWidth="1"/>
    <col min="2366" max="2366" width="5.85546875" style="458" customWidth="1"/>
    <col min="2367" max="2367" width="6.140625" style="458" customWidth="1"/>
    <col min="2368" max="2368" width="6.42578125" style="458" customWidth="1"/>
    <col min="2369" max="2369" width="11.140625" style="458" customWidth="1"/>
    <col min="2370" max="2370" width="14.140625" style="458" customWidth="1"/>
    <col min="2371" max="2371" width="19.85546875" style="458" customWidth="1"/>
    <col min="2372" max="2372" width="17" style="458" customWidth="1"/>
    <col min="2373" max="2373" width="20.85546875" style="458" customWidth="1"/>
    <col min="2374" max="2586" width="11.42578125" style="458"/>
    <col min="2587" max="2587" width="13.140625" style="458" customWidth="1"/>
    <col min="2588" max="2588" width="4" style="458" customWidth="1"/>
    <col min="2589" max="2589" width="12.85546875" style="458" customWidth="1"/>
    <col min="2590" max="2590" width="14.5703125" style="458" customWidth="1"/>
    <col min="2591" max="2591" width="10" style="458" customWidth="1"/>
    <col min="2592" max="2592" width="6.42578125" style="458" customWidth="1"/>
    <col min="2593" max="2593" width="12.42578125" style="458" customWidth="1"/>
    <col min="2594" max="2594" width="8.5703125" style="458" customWidth="1"/>
    <col min="2595" max="2595" width="13.5703125" style="458" customWidth="1"/>
    <col min="2596" max="2596" width="11.5703125" style="458" customWidth="1"/>
    <col min="2597" max="2597" width="34.42578125" style="458" customWidth="1"/>
    <col min="2598" max="2598" width="24.42578125" style="458" customWidth="1"/>
    <col min="2599" max="2599" width="21.140625" style="458" customWidth="1"/>
    <col min="2600" max="2600" width="22.140625" style="458" customWidth="1"/>
    <col min="2601" max="2601" width="8" style="458" customWidth="1"/>
    <col min="2602" max="2602" width="17" style="458" customWidth="1"/>
    <col min="2603" max="2603" width="12.5703125" style="458" customWidth="1"/>
    <col min="2604" max="2604" width="24.5703125" style="458" customWidth="1"/>
    <col min="2605" max="2605" width="29" style="458" customWidth="1"/>
    <col min="2606" max="2606" width="17.5703125" style="458" customWidth="1"/>
    <col min="2607" max="2607" width="36.42578125" style="458" customWidth="1"/>
    <col min="2608" max="2608" width="21.85546875" style="458" customWidth="1"/>
    <col min="2609" max="2609" width="11.5703125" style="458" customWidth="1"/>
    <col min="2610" max="2610" width="26.42578125" style="458" customWidth="1"/>
    <col min="2611" max="2611" width="9" style="458" customWidth="1"/>
    <col min="2612" max="2612" width="6.42578125" style="458" customWidth="1"/>
    <col min="2613" max="2614" width="7.42578125" style="458" customWidth="1"/>
    <col min="2615" max="2615" width="8.42578125" style="458" customWidth="1"/>
    <col min="2616" max="2616" width="9.5703125" style="458" customWidth="1"/>
    <col min="2617" max="2617" width="6.42578125" style="458" customWidth="1"/>
    <col min="2618" max="2618" width="5.85546875" style="458" customWidth="1"/>
    <col min="2619" max="2620" width="4.42578125" style="458" customWidth="1"/>
    <col min="2621" max="2621" width="5" style="458" customWidth="1"/>
    <col min="2622" max="2622" width="5.85546875" style="458" customWidth="1"/>
    <col min="2623" max="2623" width="6.140625" style="458" customWidth="1"/>
    <col min="2624" max="2624" width="6.42578125" style="458" customWidth="1"/>
    <col min="2625" max="2625" width="11.140625" style="458" customWidth="1"/>
    <col min="2626" max="2626" width="14.140625" style="458" customWidth="1"/>
    <col min="2627" max="2627" width="19.85546875" style="458" customWidth="1"/>
    <col min="2628" max="2628" width="17" style="458" customWidth="1"/>
    <col min="2629" max="2629" width="20.85546875" style="458" customWidth="1"/>
    <col min="2630" max="2842" width="11.42578125" style="458"/>
    <col min="2843" max="2843" width="13.140625" style="458" customWidth="1"/>
    <col min="2844" max="2844" width="4" style="458" customWidth="1"/>
    <col min="2845" max="2845" width="12.85546875" style="458" customWidth="1"/>
    <col min="2846" max="2846" width="14.5703125" style="458" customWidth="1"/>
    <col min="2847" max="2847" width="10" style="458" customWidth="1"/>
    <col min="2848" max="2848" width="6.42578125" style="458" customWidth="1"/>
    <col min="2849" max="2849" width="12.42578125" style="458" customWidth="1"/>
    <col min="2850" max="2850" width="8.5703125" style="458" customWidth="1"/>
    <col min="2851" max="2851" width="13.5703125" style="458" customWidth="1"/>
    <col min="2852" max="2852" width="11.5703125" style="458" customWidth="1"/>
    <col min="2853" max="2853" width="34.42578125" style="458" customWidth="1"/>
    <col min="2854" max="2854" width="24.42578125" style="458" customWidth="1"/>
    <col min="2855" max="2855" width="21.140625" style="458" customWidth="1"/>
    <col min="2856" max="2856" width="22.140625" style="458" customWidth="1"/>
    <col min="2857" max="2857" width="8" style="458" customWidth="1"/>
    <col min="2858" max="2858" width="17" style="458" customWidth="1"/>
    <col min="2859" max="2859" width="12.5703125" style="458" customWidth="1"/>
    <col min="2860" max="2860" width="24.5703125" style="458" customWidth="1"/>
    <col min="2861" max="2861" width="29" style="458" customWidth="1"/>
    <col min="2862" max="2862" width="17.5703125" style="458" customWidth="1"/>
    <col min="2863" max="2863" width="36.42578125" style="458" customWidth="1"/>
    <col min="2864" max="2864" width="21.85546875" style="458" customWidth="1"/>
    <col min="2865" max="2865" width="11.5703125" style="458" customWidth="1"/>
    <col min="2866" max="2866" width="26.42578125" style="458" customWidth="1"/>
    <col min="2867" max="2867" width="9" style="458" customWidth="1"/>
    <col min="2868" max="2868" width="6.42578125" style="458" customWidth="1"/>
    <col min="2869" max="2870" width="7.42578125" style="458" customWidth="1"/>
    <col min="2871" max="2871" width="8.42578125" style="458" customWidth="1"/>
    <col min="2872" max="2872" width="9.5703125" style="458" customWidth="1"/>
    <col min="2873" max="2873" width="6.42578125" style="458" customWidth="1"/>
    <col min="2874" max="2874" width="5.85546875" style="458" customWidth="1"/>
    <col min="2875" max="2876" width="4.42578125" style="458" customWidth="1"/>
    <col min="2877" max="2877" width="5" style="458" customWidth="1"/>
    <col min="2878" max="2878" width="5.85546875" style="458" customWidth="1"/>
    <col min="2879" max="2879" width="6.140625" style="458" customWidth="1"/>
    <col min="2880" max="2880" width="6.42578125" style="458" customWidth="1"/>
    <col min="2881" max="2881" width="11.140625" style="458" customWidth="1"/>
    <col min="2882" max="2882" width="14.140625" style="458" customWidth="1"/>
    <col min="2883" max="2883" width="19.85546875" style="458" customWidth="1"/>
    <col min="2884" max="2884" width="17" style="458" customWidth="1"/>
    <col min="2885" max="2885" width="20.85546875" style="458" customWidth="1"/>
    <col min="2886" max="3098" width="11.42578125" style="458"/>
    <col min="3099" max="3099" width="13.140625" style="458" customWidth="1"/>
    <col min="3100" max="3100" width="4" style="458" customWidth="1"/>
    <col min="3101" max="3101" width="12.85546875" style="458" customWidth="1"/>
    <col min="3102" max="3102" width="14.5703125" style="458" customWidth="1"/>
    <col min="3103" max="3103" width="10" style="458" customWidth="1"/>
    <col min="3104" max="3104" width="6.42578125" style="458" customWidth="1"/>
    <col min="3105" max="3105" width="12.42578125" style="458" customWidth="1"/>
    <col min="3106" max="3106" width="8.5703125" style="458" customWidth="1"/>
    <col min="3107" max="3107" width="13.5703125" style="458" customWidth="1"/>
    <col min="3108" max="3108" width="11.5703125" style="458" customWidth="1"/>
    <col min="3109" max="3109" width="34.42578125" style="458" customWidth="1"/>
    <col min="3110" max="3110" width="24.42578125" style="458" customWidth="1"/>
    <col min="3111" max="3111" width="21.140625" style="458" customWidth="1"/>
    <col min="3112" max="3112" width="22.140625" style="458" customWidth="1"/>
    <col min="3113" max="3113" width="8" style="458" customWidth="1"/>
    <col min="3114" max="3114" width="17" style="458" customWidth="1"/>
    <col min="3115" max="3115" width="12.5703125" style="458" customWidth="1"/>
    <col min="3116" max="3116" width="24.5703125" style="458" customWidth="1"/>
    <col min="3117" max="3117" width="29" style="458" customWidth="1"/>
    <col min="3118" max="3118" width="17.5703125" style="458" customWidth="1"/>
    <col min="3119" max="3119" width="36.42578125" style="458" customWidth="1"/>
    <col min="3120" max="3120" width="21.85546875" style="458" customWidth="1"/>
    <col min="3121" max="3121" width="11.5703125" style="458" customWidth="1"/>
    <col min="3122" max="3122" width="26.42578125" style="458" customWidth="1"/>
    <col min="3123" max="3123" width="9" style="458" customWidth="1"/>
    <col min="3124" max="3124" width="6.42578125" style="458" customWidth="1"/>
    <col min="3125" max="3126" width="7.42578125" style="458" customWidth="1"/>
    <col min="3127" max="3127" width="8.42578125" style="458" customWidth="1"/>
    <col min="3128" max="3128" width="9.5703125" style="458" customWidth="1"/>
    <col min="3129" max="3129" width="6.42578125" style="458" customWidth="1"/>
    <col min="3130" max="3130" width="5.85546875" style="458" customWidth="1"/>
    <col min="3131" max="3132" width="4.42578125" style="458" customWidth="1"/>
    <col min="3133" max="3133" width="5" style="458" customWidth="1"/>
    <col min="3134" max="3134" width="5.85546875" style="458" customWidth="1"/>
    <col min="3135" max="3135" width="6.140625" style="458" customWidth="1"/>
    <col min="3136" max="3136" width="6.42578125" style="458" customWidth="1"/>
    <col min="3137" max="3137" width="11.140625" style="458" customWidth="1"/>
    <col min="3138" max="3138" width="14.140625" style="458" customWidth="1"/>
    <col min="3139" max="3139" width="19.85546875" style="458" customWidth="1"/>
    <col min="3140" max="3140" width="17" style="458" customWidth="1"/>
    <col min="3141" max="3141" width="20.85546875" style="458" customWidth="1"/>
    <col min="3142" max="3354" width="11.42578125" style="458"/>
    <col min="3355" max="3355" width="13.140625" style="458" customWidth="1"/>
    <col min="3356" max="3356" width="4" style="458" customWidth="1"/>
    <col min="3357" max="3357" width="12.85546875" style="458" customWidth="1"/>
    <col min="3358" max="3358" width="14.5703125" style="458" customWidth="1"/>
    <col min="3359" max="3359" width="10" style="458" customWidth="1"/>
    <col min="3360" max="3360" width="6.42578125" style="458" customWidth="1"/>
    <col min="3361" max="3361" width="12.42578125" style="458" customWidth="1"/>
    <col min="3362" max="3362" width="8.5703125" style="458" customWidth="1"/>
    <col min="3363" max="3363" width="13.5703125" style="458" customWidth="1"/>
    <col min="3364" max="3364" width="11.5703125" style="458" customWidth="1"/>
    <col min="3365" max="3365" width="34.42578125" style="458" customWidth="1"/>
    <col min="3366" max="3366" width="24.42578125" style="458" customWidth="1"/>
    <col min="3367" max="3367" width="21.140625" style="458" customWidth="1"/>
    <col min="3368" max="3368" width="22.140625" style="458" customWidth="1"/>
    <col min="3369" max="3369" width="8" style="458" customWidth="1"/>
    <col min="3370" max="3370" width="17" style="458" customWidth="1"/>
    <col min="3371" max="3371" width="12.5703125" style="458" customWidth="1"/>
    <col min="3372" max="3372" width="24.5703125" style="458" customWidth="1"/>
    <col min="3373" max="3373" width="29" style="458" customWidth="1"/>
    <col min="3374" max="3374" width="17.5703125" style="458" customWidth="1"/>
    <col min="3375" max="3375" width="36.42578125" style="458" customWidth="1"/>
    <col min="3376" max="3376" width="21.85546875" style="458" customWidth="1"/>
    <col min="3377" max="3377" width="11.5703125" style="458" customWidth="1"/>
    <col min="3378" max="3378" width="26.42578125" style="458" customWidth="1"/>
    <col min="3379" max="3379" width="9" style="458" customWidth="1"/>
    <col min="3380" max="3380" width="6.42578125" style="458" customWidth="1"/>
    <col min="3381" max="3382" width="7.42578125" style="458" customWidth="1"/>
    <col min="3383" max="3383" width="8.42578125" style="458" customWidth="1"/>
    <col min="3384" max="3384" width="9.5703125" style="458" customWidth="1"/>
    <col min="3385" max="3385" width="6.42578125" style="458" customWidth="1"/>
    <col min="3386" max="3386" width="5.85546875" style="458" customWidth="1"/>
    <col min="3387" max="3388" width="4.42578125" style="458" customWidth="1"/>
    <col min="3389" max="3389" width="5" style="458" customWidth="1"/>
    <col min="3390" max="3390" width="5.85546875" style="458" customWidth="1"/>
    <col min="3391" max="3391" width="6.140625" style="458" customWidth="1"/>
    <col min="3392" max="3392" width="6.42578125" style="458" customWidth="1"/>
    <col min="3393" max="3393" width="11.140625" style="458" customWidth="1"/>
    <col min="3394" max="3394" width="14.140625" style="458" customWidth="1"/>
    <col min="3395" max="3395" width="19.85546875" style="458" customWidth="1"/>
    <col min="3396" max="3396" width="17" style="458" customWidth="1"/>
    <col min="3397" max="3397" width="20.85546875" style="458" customWidth="1"/>
    <col min="3398" max="3610" width="11.42578125" style="458"/>
    <col min="3611" max="3611" width="13.140625" style="458" customWidth="1"/>
    <col min="3612" max="3612" width="4" style="458" customWidth="1"/>
    <col min="3613" max="3613" width="12.85546875" style="458" customWidth="1"/>
    <col min="3614" max="3614" width="14.5703125" style="458" customWidth="1"/>
    <col min="3615" max="3615" width="10" style="458" customWidth="1"/>
    <col min="3616" max="3616" width="6.42578125" style="458" customWidth="1"/>
    <col min="3617" max="3617" width="12.42578125" style="458" customWidth="1"/>
    <col min="3618" max="3618" width="8.5703125" style="458" customWidth="1"/>
    <col min="3619" max="3619" width="13.5703125" style="458" customWidth="1"/>
    <col min="3620" max="3620" width="11.5703125" style="458" customWidth="1"/>
    <col min="3621" max="3621" width="34.42578125" style="458" customWidth="1"/>
    <col min="3622" max="3622" width="24.42578125" style="458" customWidth="1"/>
    <col min="3623" max="3623" width="21.140625" style="458" customWidth="1"/>
    <col min="3624" max="3624" width="22.140625" style="458" customWidth="1"/>
    <col min="3625" max="3625" width="8" style="458" customWidth="1"/>
    <col min="3626" max="3626" width="17" style="458" customWidth="1"/>
    <col min="3627" max="3627" width="12.5703125" style="458" customWidth="1"/>
    <col min="3628" max="3628" width="24.5703125" style="458" customWidth="1"/>
    <col min="3629" max="3629" width="29" style="458" customWidth="1"/>
    <col min="3630" max="3630" width="17.5703125" style="458" customWidth="1"/>
    <col min="3631" max="3631" width="36.42578125" style="458" customWidth="1"/>
    <col min="3632" max="3632" width="21.85546875" style="458" customWidth="1"/>
    <col min="3633" max="3633" width="11.5703125" style="458" customWidth="1"/>
    <col min="3634" max="3634" width="26.42578125" style="458" customWidth="1"/>
    <col min="3635" max="3635" width="9" style="458" customWidth="1"/>
    <col min="3636" max="3636" width="6.42578125" style="458" customWidth="1"/>
    <col min="3637" max="3638" width="7.42578125" style="458" customWidth="1"/>
    <col min="3639" max="3639" width="8.42578125" style="458" customWidth="1"/>
    <col min="3640" max="3640" width="9.5703125" style="458" customWidth="1"/>
    <col min="3641" max="3641" width="6.42578125" style="458" customWidth="1"/>
    <col min="3642" max="3642" width="5.85546875" style="458" customWidth="1"/>
    <col min="3643" max="3644" width="4.42578125" style="458" customWidth="1"/>
    <col min="3645" max="3645" width="5" style="458" customWidth="1"/>
    <col min="3646" max="3646" width="5.85546875" style="458" customWidth="1"/>
    <col min="3647" max="3647" width="6.140625" style="458" customWidth="1"/>
    <col min="3648" max="3648" width="6.42578125" style="458" customWidth="1"/>
    <col min="3649" max="3649" width="11.140625" style="458" customWidth="1"/>
    <col min="3650" max="3650" width="14.140625" style="458" customWidth="1"/>
    <col min="3651" max="3651" width="19.85546875" style="458" customWidth="1"/>
    <col min="3652" max="3652" width="17" style="458" customWidth="1"/>
    <col min="3653" max="3653" width="20.85546875" style="458" customWidth="1"/>
    <col min="3654" max="3866" width="11.42578125" style="458"/>
    <col min="3867" max="3867" width="13.140625" style="458" customWidth="1"/>
    <col min="3868" max="3868" width="4" style="458" customWidth="1"/>
    <col min="3869" max="3869" width="12.85546875" style="458" customWidth="1"/>
    <col min="3870" max="3870" width="14.5703125" style="458" customWidth="1"/>
    <col min="3871" max="3871" width="10" style="458" customWidth="1"/>
    <col min="3872" max="3872" width="6.42578125" style="458" customWidth="1"/>
    <col min="3873" max="3873" width="12.42578125" style="458" customWidth="1"/>
    <col min="3874" max="3874" width="8.5703125" style="458" customWidth="1"/>
    <col min="3875" max="3875" width="13.5703125" style="458" customWidth="1"/>
    <col min="3876" max="3876" width="11.5703125" style="458" customWidth="1"/>
    <col min="3877" max="3877" width="34.42578125" style="458" customWidth="1"/>
    <col min="3878" max="3878" width="24.42578125" style="458" customWidth="1"/>
    <col min="3879" max="3879" width="21.140625" style="458" customWidth="1"/>
    <col min="3880" max="3880" width="22.140625" style="458" customWidth="1"/>
    <col min="3881" max="3881" width="8" style="458" customWidth="1"/>
    <col min="3882" max="3882" width="17" style="458" customWidth="1"/>
    <col min="3883" max="3883" width="12.5703125" style="458" customWidth="1"/>
    <col min="3884" max="3884" width="24.5703125" style="458" customWidth="1"/>
    <col min="3885" max="3885" width="29" style="458" customWidth="1"/>
    <col min="3886" max="3886" width="17.5703125" style="458" customWidth="1"/>
    <col min="3887" max="3887" width="36.42578125" style="458" customWidth="1"/>
    <col min="3888" max="3888" width="21.85546875" style="458" customWidth="1"/>
    <col min="3889" max="3889" width="11.5703125" style="458" customWidth="1"/>
    <col min="3890" max="3890" width="26.42578125" style="458" customWidth="1"/>
    <col min="3891" max="3891" width="9" style="458" customWidth="1"/>
    <col min="3892" max="3892" width="6.42578125" style="458" customWidth="1"/>
    <col min="3893" max="3894" width="7.42578125" style="458" customWidth="1"/>
    <col min="3895" max="3895" width="8.42578125" style="458" customWidth="1"/>
    <col min="3896" max="3896" width="9.5703125" style="458" customWidth="1"/>
    <col min="3897" max="3897" width="6.42578125" style="458" customWidth="1"/>
    <col min="3898" max="3898" width="5.85546875" style="458" customWidth="1"/>
    <col min="3899" max="3900" width="4.42578125" style="458" customWidth="1"/>
    <col min="3901" max="3901" width="5" style="458" customWidth="1"/>
    <col min="3902" max="3902" width="5.85546875" style="458" customWidth="1"/>
    <col min="3903" max="3903" width="6.140625" style="458" customWidth="1"/>
    <col min="3904" max="3904" width="6.42578125" style="458" customWidth="1"/>
    <col min="3905" max="3905" width="11.140625" style="458" customWidth="1"/>
    <col min="3906" max="3906" width="14.140625" style="458" customWidth="1"/>
    <col min="3907" max="3907" width="19.85546875" style="458" customWidth="1"/>
    <col min="3908" max="3908" width="17" style="458" customWidth="1"/>
    <col min="3909" max="3909" width="20.85546875" style="458" customWidth="1"/>
    <col min="3910" max="4122" width="11.42578125" style="458"/>
    <col min="4123" max="4123" width="13.140625" style="458" customWidth="1"/>
    <col min="4124" max="4124" width="4" style="458" customWidth="1"/>
    <col min="4125" max="4125" width="12.85546875" style="458" customWidth="1"/>
    <col min="4126" max="4126" width="14.5703125" style="458" customWidth="1"/>
    <col min="4127" max="4127" width="10" style="458" customWidth="1"/>
    <col min="4128" max="4128" width="6.42578125" style="458" customWidth="1"/>
    <col min="4129" max="4129" width="12.42578125" style="458" customWidth="1"/>
    <col min="4130" max="4130" width="8.5703125" style="458" customWidth="1"/>
    <col min="4131" max="4131" width="13.5703125" style="458" customWidth="1"/>
    <col min="4132" max="4132" width="11.5703125" style="458" customWidth="1"/>
    <col min="4133" max="4133" width="34.42578125" style="458" customWidth="1"/>
    <col min="4134" max="4134" width="24.42578125" style="458" customWidth="1"/>
    <col min="4135" max="4135" width="21.140625" style="458" customWidth="1"/>
    <col min="4136" max="4136" width="22.140625" style="458" customWidth="1"/>
    <col min="4137" max="4137" width="8" style="458" customWidth="1"/>
    <col min="4138" max="4138" width="17" style="458" customWidth="1"/>
    <col min="4139" max="4139" width="12.5703125" style="458" customWidth="1"/>
    <col min="4140" max="4140" width="24.5703125" style="458" customWidth="1"/>
    <col min="4141" max="4141" width="29" style="458" customWidth="1"/>
    <col min="4142" max="4142" width="17.5703125" style="458" customWidth="1"/>
    <col min="4143" max="4143" width="36.42578125" style="458" customWidth="1"/>
    <col min="4144" max="4144" width="21.85546875" style="458" customWidth="1"/>
    <col min="4145" max="4145" width="11.5703125" style="458" customWidth="1"/>
    <col min="4146" max="4146" width="26.42578125" style="458" customWidth="1"/>
    <col min="4147" max="4147" width="9" style="458" customWidth="1"/>
    <col min="4148" max="4148" width="6.42578125" style="458" customWidth="1"/>
    <col min="4149" max="4150" width="7.42578125" style="458" customWidth="1"/>
    <col min="4151" max="4151" width="8.42578125" style="458" customWidth="1"/>
    <col min="4152" max="4152" width="9.5703125" style="458" customWidth="1"/>
    <col min="4153" max="4153" width="6.42578125" style="458" customWidth="1"/>
    <col min="4154" max="4154" width="5.85546875" style="458" customWidth="1"/>
    <col min="4155" max="4156" width="4.42578125" style="458" customWidth="1"/>
    <col min="4157" max="4157" width="5" style="458" customWidth="1"/>
    <col min="4158" max="4158" width="5.85546875" style="458" customWidth="1"/>
    <col min="4159" max="4159" width="6.140625" style="458" customWidth="1"/>
    <col min="4160" max="4160" width="6.42578125" style="458" customWidth="1"/>
    <col min="4161" max="4161" width="11.140625" style="458" customWidth="1"/>
    <col min="4162" max="4162" width="14.140625" style="458" customWidth="1"/>
    <col min="4163" max="4163" width="19.85546875" style="458" customWidth="1"/>
    <col min="4164" max="4164" width="17" style="458" customWidth="1"/>
    <col min="4165" max="4165" width="20.85546875" style="458" customWidth="1"/>
    <col min="4166" max="4378" width="11.42578125" style="458"/>
    <col min="4379" max="4379" width="13.140625" style="458" customWidth="1"/>
    <col min="4380" max="4380" width="4" style="458" customWidth="1"/>
    <col min="4381" max="4381" width="12.85546875" style="458" customWidth="1"/>
    <col min="4382" max="4382" width="14.5703125" style="458" customWidth="1"/>
    <col min="4383" max="4383" width="10" style="458" customWidth="1"/>
    <col min="4384" max="4384" width="6.42578125" style="458" customWidth="1"/>
    <col min="4385" max="4385" width="12.42578125" style="458" customWidth="1"/>
    <col min="4386" max="4386" width="8.5703125" style="458" customWidth="1"/>
    <col min="4387" max="4387" width="13.5703125" style="458" customWidth="1"/>
    <col min="4388" max="4388" width="11.5703125" style="458" customWidth="1"/>
    <col min="4389" max="4389" width="34.42578125" style="458" customWidth="1"/>
    <col min="4390" max="4390" width="24.42578125" style="458" customWidth="1"/>
    <col min="4391" max="4391" width="21.140625" style="458" customWidth="1"/>
    <col min="4392" max="4392" width="22.140625" style="458" customWidth="1"/>
    <col min="4393" max="4393" width="8" style="458" customWidth="1"/>
    <col min="4394" max="4394" width="17" style="458" customWidth="1"/>
    <col min="4395" max="4395" width="12.5703125" style="458" customWidth="1"/>
    <col min="4396" max="4396" width="24.5703125" style="458" customWidth="1"/>
    <col min="4397" max="4397" width="29" style="458" customWidth="1"/>
    <col min="4398" max="4398" width="17.5703125" style="458" customWidth="1"/>
    <col min="4399" max="4399" width="36.42578125" style="458" customWidth="1"/>
    <col min="4400" max="4400" width="21.85546875" style="458" customWidth="1"/>
    <col min="4401" max="4401" width="11.5703125" style="458" customWidth="1"/>
    <col min="4402" max="4402" width="26.42578125" style="458" customWidth="1"/>
    <col min="4403" max="4403" width="9" style="458" customWidth="1"/>
    <col min="4404" max="4404" width="6.42578125" style="458" customWidth="1"/>
    <col min="4405" max="4406" width="7.42578125" style="458" customWidth="1"/>
    <col min="4407" max="4407" width="8.42578125" style="458" customWidth="1"/>
    <col min="4408" max="4408" width="9.5703125" style="458" customWidth="1"/>
    <col min="4409" max="4409" width="6.42578125" style="458" customWidth="1"/>
    <col min="4410" max="4410" width="5.85546875" style="458" customWidth="1"/>
    <col min="4411" max="4412" width="4.42578125" style="458" customWidth="1"/>
    <col min="4413" max="4413" width="5" style="458" customWidth="1"/>
    <col min="4414" max="4414" width="5.85546875" style="458" customWidth="1"/>
    <col min="4415" max="4415" width="6.140625" style="458" customWidth="1"/>
    <col min="4416" max="4416" width="6.42578125" style="458" customWidth="1"/>
    <col min="4417" max="4417" width="11.140625" style="458" customWidth="1"/>
    <col min="4418" max="4418" width="14.140625" style="458" customWidth="1"/>
    <col min="4419" max="4419" width="19.85546875" style="458" customWidth="1"/>
    <col min="4420" max="4420" width="17" style="458" customWidth="1"/>
    <col min="4421" max="4421" width="20.85546875" style="458" customWidth="1"/>
    <col min="4422" max="4634" width="11.42578125" style="458"/>
    <col min="4635" max="4635" width="13.140625" style="458" customWidth="1"/>
    <col min="4636" max="4636" width="4" style="458" customWidth="1"/>
    <col min="4637" max="4637" width="12.85546875" style="458" customWidth="1"/>
    <col min="4638" max="4638" width="14.5703125" style="458" customWidth="1"/>
    <col min="4639" max="4639" width="10" style="458" customWidth="1"/>
    <col min="4640" max="4640" width="6.42578125" style="458" customWidth="1"/>
    <col min="4641" max="4641" width="12.42578125" style="458" customWidth="1"/>
    <col min="4642" max="4642" width="8.5703125" style="458" customWidth="1"/>
    <col min="4643" max="4643" width="13.5703125" style="458" customWidth="1"/>
    <col min="4644" max="4644" width="11.5703125" style="458" customWidth="1"/>
    <col min="4645" max="4645" width="34.42578125" style="458" customWidth="1"/>
    <col min="4646" max="4646" width="24.42578125" style="458" customWidth="1"/>
    <col min="4647" max="4647" width="21.140625" style="458" customWidth="1"/>
    <col min="4648" max="4648" width="22.140625" style="458" customWidth="1"/>
    <col min="4649" max="4649" width="8" style="458" customWidth="1"/>
    <col min="4650" max="4650" width="17" style="458" customWidth="1"/>
    <col min="4651" max="4651" width="12.5703125" style="458" customWidth="1"/>
    <col min="4652" max="4652" width="24.5703125" style="458" customWidth="1"/>
    <col min="4653" max="4653" width="29" style="458" customWidth="1"/>
    <col min="4654" max="4654" width="17.5703125" style="458" customWidth="1"/>
    <col min="4655" max="4655" width="36.42578125" style="458" customWidth="1"/>
    <col min="4656" max="4656" width="21.85546875" style="458" customWidth="1"/>
    <col min="4657" max="4657" width="11.5703125" style="458" customWidth="1"/>
    <col min="4658" max="4658" width="26.42578125" style="458" customWidth="1"/>
    <col min="4659" max="4659" width="9" style="458" customWidth="1"/>
    <col min="4660" max="4660" width="6.42578125" style="458" customWidth="1"/>
    <col min="4661" max="4662" width="7.42578125" style="458" customWidth="1"/>
    <col min="4663" max="4663" width="8.42578125" style="458" customWidth="1"/>
    <col min="4664" max="4664" width="9.5703125" style="458" customWidth="1"/>
    <col min="4665" max="4665" width="6.42578125" style="458" customWidth="1"/>
    <col min="4666" max="4666" width="5.85546875" style="458" customWidth="1"/>
    <col min="4667" max="4668" width="4.42578125" style="458" customWidth="1"/>
    <col min="4669" max="4669" width="5" style="458" customWidth="1"/>
    <col min="4670" max="4670" width="5.85546875" style="458" customWidth="1"/>
    <col min="4671" max="4671" width="6.140625" style="458" customWidth="1"/>
    <col min="4672" max="4672" width="6.42578125" style="458" customWidth="1"/>
    <col min="4673" max="4673" width="11.140625" style="458" customWidth="1"/>
    <col min="4674" max="4674" width="14.140625" style="458" customWidth="1"/>
    <col min="4675" max="4675" width="19.85546875" style="458" customWidth="1"/>
    <col min="4676" max="4676" width="17" style="458" customWidth="1"/>
    <col min="4677" max="4677" width="20.85546875" style="458" customWidth="1"/>
    <col min="4678" max="4890" width="11.42578125" style="458"/>
    <col min="4891" max="4891" width="13.140625" style="458" customWidth="1"/>
    <col min="4892" max="4892" width="4" style="458" customWidth="1"/>
    <col min="4893" max="4893" width="12.85546875" style="458" customWidth="1"/>
    <col min="4894" max="4894" width="14.5703125" style="458" customWidth="1"/>
    <col min="4895" max="4895" width="10" style="458" customWidth="1"/>
    <col min="4896" max="4896" width="6.42578125" style="458" customWidth="1"/>
    <col min="4897" max="4897" width="12.42578125" style="458" customWidth="1"/>
    <col min="4898" max="4898" width="8.5703125" style="458" customWidth="1"/>
    <col min="4899" max="4899" width="13.5703125" style="458" customWidth="1"/>
    <col min="4900" max="4900" width="11.5703125" style="458" customWidth="1"/>
    <col min="4901" max="4901" width="34.42578125" style="458" customWidth="1"/>
    <col min="4902" max="4902" width="24.42578125" style="458" customWidth="1"/>
    <col min="4903" max="4903" width="21.140625" style="458" customWidth="1"/>
    <col min="4904" max="4904" width="22.140625" style="458" customWidth="1"/>
    <col min="4905" max="4905" width="8" style="458" customWidth="1"/>
    <col min="4906" max="4906" width="17" style="458" customWidth="1"/>
    <col min="4907" max="4907" width="12.5703125" style="458" customWidth="1"/>
    <col min="4908" max="4908" width="24.5703125" style="458" customWidth="1"/>
    <col min="4909" max="4909" width="29" style="458" customWidth="1"/>
    <col min="4910" max="4910" width="17.5703125" style="458" customWidth="1"/>
    <col min="4911" max="4911" width="36.42578125" style="458" customWidth="1"/>
    <col min="4912" max="4912" width="21.85546875" style="458" customWidth="1"/>
    <col min="4913" max="4913" width="11.5703125" style="458" customWidth="1"/>
    <col min="4914" max="4914" width="26.42578125" style="458" customWidth="1"/>
    <col min="4915" max="4915" width="9" style="458" customWidth="1"/>
    <col min="4916" max="4916" width="6.42578125" style="458" customWidth="1"/>
    <col min="4917" max="4918" width="7.42578125" style="458" customWidth="1"/>
    <col min="4919" max="4919" width="8.42578125" style="458" customWidth="1"/>
    <col min="4920" max="4920" width="9.5703125" style="458" customWidth="1"/>
    <col min="4921" max="4921" width="6.42578125" style="458" customWidth="1"/>
    <col min="4922" max="4922" width="5.85546875" style="458" customWidth="1"/>
    <col min="4923" max="4924" width="4.42578125" style="458" customWidth="1"/>
    <col min="4925" max="4925" width="5" style="458" customWidth="1"/>
    <col min="4926" max="4926" width="5.85546875" style="458" customWidth="1"/>
    <col min="4927" max="4927" width="6.140625" style="458" customWidth="1"/>
    <col min="4928" max="4928" width="6.42578125" style="458" customWidth="1"/>
    <col min="4929" max="4929" width="11.140625" style="458" customWidth="1"/>
    <col min="4930" max="4930" width="14.140625" style="458" customWidth="1"/>
    <col min="4931" max="4931" width="19.85546875" style="458" customWidth="1"/>
    <col min="4932" max="4932" width="17" style="458" customWidth="1"/>
    <col min="4933" max="4933" width="20.85546875" style="458" customWidth="1"/>
    <col min="4934" max="5146" width="11.42578125" style="458"/>
    <col min="5147" max="5147" width="13.140625" style="458" customWidth="1"/>
    <col min="5148" max="5148" width="4" style="458" customWidth="1"/>
    <col min="5149" max="5149" width="12.85546875" style="458" customWidth="1"/>
    <col min="5150" max="5150" width="14.5703125" style="458" customWidth="1"/>
    <col min="5151" max="5151" width="10" style="458" customWidth="1"/>
    <col min="5152" max="5152" width="6.42578125" style="458" customWidth="1"/>
    <col min="5153" max="5153" width="12.42578125" style="458" customWidth="1"/>
    <col min="5154" max="5154" width="8.5703125" style="458" customWidth="1"/>
    <col min="5155" max="5155" width="13.5703125" style="458" customWidth="1"/>
    <col min="5156" max="5156" width="11.5703125" style="458" customWidth="1"/>
    <col min="5157" max="5157" width="34.42578125" style="458" customWidth="1"/>
    <col min="5158" max="5158" width="24.42578125" style="458" customWidth="1"/>
    <col min="5159" max="5159" width="21.140625" style="458" customWidth="1"/>
    <col min="5160" max="5160" width="22.140625" style="458" customWidth="1"/>
    <col min="5161" max="5161" width="8" style="458" customWidth="1"/>
    <col min="5162" max="5162" width="17" style="458" customWidth="1"/>
    <col min="5163" max="5163" width="12.5703125" style="458" customWidth="1"/>
    <col min="5164" max="5164" width="24.5703125" style="458" customWidth="1"/>
    <col min="5165" max="5165" width="29" style="458" customWidth="1"/>
    <col min="5166" max="5166" width="17.5703125" style="458" customWidth="1"/>
    <col min="5167" max="5167" width="36.42578125" style="458" customWidth="1"/>
    <col min="5168" max="5168" width="21.85546875" style="458" customWidth="1"/>
    <col min="5169" max="5169" width="11.5703125" style="458" customWidth="1"/>
    <col min="5170" max="5170" width="26.42578125" style="458" customWidth="1"/>
    <col min="5171" max="5171" width="9" style="458" customWidth="1"/>
    <col min="5172" max="5172" width="6.42578125" style="458" customWidth="1"/>
    <col min="5173" max="5174" width="7.42578125" style="458" customWidth="1"/>
    <col min="5175" max="5175" width="8.42578125" style="458" customWidth="1"/>
    <col min="5176" max="5176" width="9.5703125" style="458" customWidth="1"/>
    <col min="5177" max="5177" width="6.42578125" style="458" customWidth="1"/>
    <col min="5178" max="5178" width="5.85546875" style="458" customWidth="1"/>
    <col min="5179" max="5180" width="4.42578125" style="458" customWidth="1"/>
    <col min="5181" max="5181" width="5" style="458" customWidth="1"/>
    <col min="5182" max="5182" width="5.85546875" style="458" customWidth="1"/>
    <col min="5183" max="5183" width="6.140625" style="458" customWidth="1"/>
    <col min="5184" max="5184" width="6.42578125" style="458" customWidth="1"/>
    <col min="5185" max="5185" width="11.140625" style="458" customWidth="1"/>
    <col min="5186" max="5186" width="14.140625" style="458" customWidth="1"/>
    <col min="5187" max="5187" width="19.85546875" style="458" customWidth="1"/>
    <col min="5188" max="5188" width="17" style="458" customWidth="1"/>
    <col min="5189" max="5189" width="20.85546875" style="458" customWidth="1"/>
    <col min="5190" max="5402" width="11.42578125" style="458"/>
    <col min="5403" max="5403" width="13.140625" style="458" customWidth="1"/>
    <col min="5404" max="5404" width="4" style="458" customWidth="1"/>
    <col min="5405" max="5405" width="12.85546875" style="458" customWidth="1"/>
    <col min="5406" max="5406" width="14.5703125" style="458" customWidth="1"/>
    <col min="5407" max="5407" width="10" style="458" customWidth="1"/>
    <col min="5408" max="5408" width="6.42578125" style="458" customWidth="1"/>
    <col min="5409" max="5409" width="12.42578125" style="458" customWidth="1"/>
    <col min="5410" max="5410" width="8.5703125" style="458" customWidth="1"/>
    <col min="5411" max="5411" width="13.5703125" style="458" customWidth="1"/>
    <col min="5412" max="5412" width="11.5703125" style="458" customWidth="1"/>
    <col min="5413" max="5413" width="34.42578125" style="458" customWidth="1"/>
    <col min="5414" max="5414" width="24.42578125" style="458" customWidth="1"/>
    <col min="5415" max="5415" width="21.140625" style="458" customWidth="1"/>
    <col min="5416" max="5416" width="22.140625" style="458" customWidth="1"/>
    <col min="5417" max="5417" width="8" style="458" customWidth="1"/>
    <col min="5418" max="5418" width="17" style="458" customWidth="1"/>
    <col min="5419" max="5419" width="12.5703125" style="458" customWidth="1"/>
    <col min="5420" max="5420" width="24.5703125" style="458" customWidth="1"/>
    <col min="5421" max="5421" width="29" style="458" customWidth="1"/>
    <col min="5422" max="5422" width="17.5703125" style="458" customWidth="1"/>
    <col min="5423" max="5423" width="36.42578125" style="458" customWidth="1"/>
    <col min="5424" max="5424" width="21.85546875" style="458" customWidth="1"/>
    <col min="5425" max="5425" width="11.5703125" style="458" customWidth="1"/>
    <col min="5426" max="5426" width="26.42578125" style="458" customWidth="1"/>
    <col min="5427" max="5427" width="9" style="458" customWidth="1"/>
    <col min="5428" max="5428" width="6.42578125" style="458" customWidth="1"/>
    <col min="5429" max="5430" width="7.42578125" style="458" customWidth="1"/>
    <col min="5431" max="5431" width="8.42578125" style="458" customWidth="1"/>
    <col min="5432" max="5432" width="9.5703125" style="458" customWidth="1"/>
    <col min="5433" max="5433" width="6.42578125" style="458" customWidth="1"/>
    <col min="5434" max="5434" width="5.85546875" style="458" customWidth="1"/>
    <col min="5435" max="5436" width="4.42578125" style="458" customWidth="1"/>
    <col min="5437" max="5437" width="5" style="458" customWidth="1"/>
    <col min="5438" max="5438" width="5.85546875" style="458" customWidth="1"/>
    <col min="5439" max="5439" width="6.140625" style="458" customWidth="1"/>
    <col min="5440" max="5440" width="6.42578125" style="458" customWidth="1"/>
    <col min="5441" max="5441" width="11.140625" style="458" customWidth="1"/>
    <col min="5442" max="5442" width="14.140625" style="458" customWidth="1"/>
    <col min="5443" max="5443" width="19.85546875" style="458" customWidth="1"/>
    <col min="5444" max="5444" width="17" style="458" customWidth="1"/>
    <col min="5445" max="5445" width="20.85546875" style="458" customWidth="1"/>
    <col min="5446" max="5658" width="11.42578125" style="458"/>
    <col min="5659" max="5659" width="13.140625" style="458" customWidth="1"/>
    <col min="5660" max="5660" width="4" style="458" customWidth="1"/>
    <col min="5661" max="5661" width="12.85546875" style="458" customWidth="1"/>
    <col min="5662" max="5662" width="14.5703125" style="458" customWidth="1"/>
    <col min="5663" max="5663" width="10" style="458" customWidth="1"/>
    <col min="5664" max="5664" width="6.42578125" style="458" customWidth="1"/>
    <col min="5665" max="5665" width="12.42578125" style="458" customWidth="1"/>
    <col min="5666" max="5666" width="8.5703125" style="458" customWidth="1"/>
    <col min="5667" max="5667" width="13.5703125" style="458" customWidth="1"/>
    <col min="5668" max="5668" width="11.5703125" style="458" customWidth="1"/>
    <col min="5669" max="5669" width="34.42578125" style="458" customWidth="1"/>
    <col min="5670" max="5670" width="24.42578125" style="458" customWidth="1"/>
    <col min="5671" max="5671" width="21.140625" style="458" customWidth="1"/>
    <col min="5672" max="5672" width="22.140625" style="458" customWidth="1"/>
    <col min="5673" max="5673" width="8" style="458" customWidth="1"/>
    <col min="5674" max="5674" width="17" style="458" customWidth="1"/>
    <col min="5675" max="5675" width="12.5703125" style="458" customWidth="1"/>
    <col min="5676" max="5676" width="24.5703125" style="458" customWidth="1"/>
    <col min="5677" max="5677" width="29" style="458" customWidth="1"/>
    <col min="5678" max="5678" width="17.5703125" style="458" customWidth="1"/>
    <col min="5679" max="5679" width="36.42578125" style="458" customWidth="1"/>
    <col min="5680" max="5680" width="21.85546875" style="458" customWidth="1"/>
    <col min="5681" max="5681" width="11.5703125" style="458" customWidth="1"/>
    <col min="5682" max="5682" width="26.42578125" style="458" customWidth="1"/>
    <col min="5683" max="5683" width="9" style="458" customWidth="1"/>
    <col min="5684" max="5684" width="6.42578125" style="458" customWidth="1"/>
    <col min="5685" max="5686" width="7.42578125" style="458" customWidth="1"/>
    <col min="5687" max="5687" width="8.42578125" style="458" customWidth="1"/>
    <col min="5688" max="5688" width="9.5703125" style="458" customWidth="1"/>
    <col min="5689" max="5689" width="6.42578125" style="458" customWidth="1"/>
    <col min="5690" max="5690" width="5.85546875" style="458" customWidth="1"/>
    <col min="5691" max="5692" width="4.42578125" style="458" customWidth="1"/>
    <col min="5693" max="5693" width="5" style="458" customWidth="1"/>
    <col min="5694" max="5694" width="5.85546875" style="458" customWidth="1"/>
    <col min="5695" max="5695" width="6.140625" style="458" customWidth="1"/>
    <col min="5696" max="5696" width="6.42578125" style="458" customWidth="1"/>
    <col min="5697" max="5697" width="11.140625" style="458" customWidth="1"/>
    <col min="5698" max="5698" width="14.140625" style="458" customWidth="1"/>
    <col min="5699" max="5699" width="19.85546875" style="458" customWidth="1"/>
    <col min="5700" max="5700" width="17" style="458" customWidth="1"/>
    <col min="5701" max="5701" width="20.85546875" style="458" customWidth="1"/>
    <col min="5702" max="5914" width="11.42578125" style="458"/>
    <col min="5915" max="5915" width="13.140625" style="458" customWidth="1"/>
    <col min="5916" max="5916" width="4" style="458" customWidth="1"/>
    <col min="5917" max="5917" width="12.85546875" style="458" customWidth="1"/>
    <col min="5918" max="5918" width="14.5703125" style="458" customWidth="1"/>
    <col min="5919" max="5919" width="10" style="458" customWidth="1"/>
    <col min="5920" max="5920" width="6.42578125" style="458" customWidth="1"/>
    <col min="5921" max="5921" width="12.42578125" style="458" customWidth="1"/>
    <col min="5922" max="5922" width="8.5703125" style="458" customWidth="1"/>
    <col min="5923" max="5923" width="13.5703125" style="458" customWidth="1"/>
    <col min="5924" max="5924" width="11.5703125" style="458" customWidth="1"/>
    <col min="5925" max="5925" width="34.42578125" style="458" customWidth="1"/>
    <col min="5926" max="5926" width="24.42578125" style="458" customWidth="1"/>
    <col min="5927" max="5927" width="21.140625" style="458" customWidth="1"/>
    <col min="5928" max="5928" width="22.140625" style="458" customWidth="1"/>
    <col min="5929" max="5929" width="8" style="458" customWidth="1"/>
    <col min="5930" max="5930" width="17" style="458" customWidth="1"/>
    <col min="5931" max="5931" width="12.5703125" style="458" customWidth="1"/>
    <col min="5932" max="5932" width="24.5703125" style="458" customWidth="1"/>
    <col min="5933" max="5933" width="29" style="458" customWidth="1"/>
    <col min="5934" max="5934" width="17.5703125" style="458" customWidth="1"/>
    <col min="5935" max="5935" width="36.42578125" style="458" customWidth="1"/>
    <col min="5936" max="5936" width="21.85546875" style="458" customWidth="1"/>
    <col min="5937" max="5937" width="11.5703125" style="458" customWidth="1"/>
    <col min="5938" max="5938" width="26.42578125" style="458" customWidth="1"/>
    <col min="5939" max="5939" width="9" style="458" customWidth="1"/>
    <col min="5940" max="5940" width="6.42578125" style="458" customWidth="1"/>
    <col min="5941" max="5942" width="7.42578125" style="458" customWidth="1"/>
    <col min="5943" max="5943" width="8.42578125" style="458" customWidth="1"/>
    <col min="5944" max="5944" width="9.5703125" style="458" customWidth="1"/>
    <col min="5945" max="5945" width="6.42578125" style="458" customWidth="1"/>
    <col min="5946" max="5946" width="5.85546875" style="458" customWidth="1"/>
    <col min="5947" max="5948" width="4.42578125" style="458" customWidth="1"/>
    <col min="5949" max="5949" width="5" style="458" customWidth="1"/>
    <col min="5950" max="5950" width="5.85546875" style="458" customWidth="1"/>
    <col min="5951" max="5951" width="6.140625" style="458" customWidth="1"/>
    <col min="5952" max="5952" width="6.42578125" style="458" customWidth="1"/>
    <col min="5953" max="5953" width="11.140625" style="458" customWidth="1"/>
    <col min="5954" max="5954" width="14.140625" style="458" customWidth="1"/>
    <col min="5955" max="5955" width="19.85546875" style="458" customWidth="1"/>
    <col min="5956" max="5956" width="17" style="458" customWidth="1"/>
    <col min="5957" max="5957" width="20.85546875" style="458" customWidth="1"/>
    <col min="5958" max="6170" width="11.42578125" style="458"/>
    <col min="6171" max="6171" width="13.140625" style="458" customWidth="1"/>
    <col min="6172" max="6172" width="4" style="458" customWidth="1"/>
    <col min="6173" max="6173" width="12.85546875" style="458" customWidth="1"/>
    <col min="6174" max="6174" width="14.5703125" style="458" customWidth="1"/>
    <col min="6175" max="6175" width="10" style="458" customWidth="1"/>
    <col min="6176" max="6176" width="6.42578125" style="458" customWidth="1"/>
    <col min="6177" max="6177" width="12.42578125" style="458" customWidth="1"/>
    <col min="6178" max="6178" width="8.5703125" style="458" customWidth="1"/>
    <col min="6179" max="6179" width="13.5703125" style="458" customWidth="1"/>
    <col min="6180" max="6180" width="11.5703125" style="458" customWidth="1"/>
    <col min="6181" max="6181" width="34.42578125" style="458" customWidth="1"/>
    <col min="6182" max="6182" width="24.42578125" style="458" customWidth="1"/>
    <col min="6183" max="6183" width="21.140625" style="458" customWidth="1"/>
    <col min="6184" max="6184" width="22.140625" style="458" customWidth="1"/>
    <col min="6185" max="6185" width="8" style="458" customWidth="1"/>
    <col min="6186" max="6186" width="17" style="458" customWidth="1"/>
    <col min="6187" max="6187" width="12.5703125" style="458" customWidth="1"/>
    <col min="6188" max="6188" width="24.5703125" style="458" customWidth="1"/>
    <col min="6189" max="6189" width="29" style="458" customWidth="1"/>
    <col min="6190" max="6190" width="17.5703125" style="458" customWidth="1"/>
    <col min="6191" max="6191" width="36.42578125" style="458" customWidth="1"/>
    <col min="6192" max="6192" width="21.85546875" style="458" customWidth="1"/>
    <col min="6193" max="6193" width="11.5703125" style="458" customWidth="1"/>
    <col min="6194" max="6194" width="26.42578125" style="458" customWidth="1"/>
    <col min="6195" max="6195" width="9" style="458" customWidth="1"/>
    <col min="6196" max="6196" width="6.42578125" style="458" customWidth="1"/>
    <col min="6197" max="6198" width="7.42578125" style="458" customWidth="1"/>
    <col min="6199" max="6199" width="8.42578125" style="458" customWidth="1"/>
    <col min="6200" max="6200" width="9.5703125" style="458" customWidth="1"/>
    <col min="6201" max="6201" width="6.42578125" style="458" customWidth="1"/>
    <col min="6202" max="6202" width="5.85546875" style="458" customWidth="1"/>
    <col min="6203" max="6204" width="4.42578125" style="458" customWidth="1"/>
    <col min="6205" max="6205" width="5" style="458" customWidth="1"/>
    <col min="6206" max="6206" width="5.85546875" style="458" customWidth="1"/>
    <col min="6207" max="6207" width="6.140625" style="458" customWidth="1"/>
    <col min="6208" max="6208" width="6.42578125" style="458" customWidth="1"/>
    <col min="6209" max="6209" width="11.140625" style="458" customWidth="1"/>
    <col min="6210" max="6210" width="14.140625" style="458" customWidth="1"/>
    <col min="6211" max="6211" width="19.85546875" style="458" customWidth="1"/>
    <col min="6212" max="6212" width="17" style="458" customWidth="1"/>
    <col min="6213" max="6213" width="20.85546875" style="458" customWidth="1"/>
    <col min="6214" max="6426" width="11.42578125" style="458"/>
    <col min="6427" max="6427" width="13.140625" style="458" customWidth="1"/>
    <col min="6428" max="6428" width="4" style="458" customWidth="1"/>
    <col min="6429" max="6429" width="12.85546875" style="458" customWidth="1"/>
    <col min="6430" max="6430" width="14.5703125" style="458" customWidth="1"/>
    <col min="6431" max="6431" width="10" style="458" customWidth="1"/>
    <col min="6432" max="6432" width="6.42578125" style="458" customWidth="1"/>
    <col min="6433" max="6433" width="12.42578125" style="458" customWidth="1"/>
    <col min="6434" max="6434" width="8.5703125" style="458" customWidth="1"/>
    <col min="6435" max="6435" width="13.5703125" style="458" customWidth="1"/>
    <col min="6436" max="6436" width="11.5703125" style="458" customWidth="1"/>
    <col min="6437" max="6437" width="34.42578125" style="458" customWidth="1"/>
    <col min="6438" max="6438" width="24.42578125" style="458" customWidth="1"/>
    <col min="6439" max="6439" width="21.140625" style="458" customWidth="1"/>
    <col min="6440" max="6440" width="22.140625" style="458" customWidth="1"/>
    <col min="6441" max="6441" width="8" style="458" customWidth="1"/>
    <col min="6442" max="6442" width="17" style="458" customWidth="1"/>
    <col min="6443" max="6443" width="12.5703125" style="458" customWidth="1"/>
    <col min="6444" max="6444" width="24.5703125" style="458" customWidth="1"/>
    <col min="6445" max="6445" width="29" style="458" customWidth="1"/>
    <col min="6446" max="6446" width="17.5703125" style="458" customWidth="1"/>
    <col min="6447" max="6447" width="36.42578125" style="458" customWidth="1"/>
    <col min="6448" max="6448" width="21.85546875" style="458" customWidth="1"/>
    <col min="6449" max="6449" width="11.5703125" style="458" customWidth="1"/>
    <col min="6450" max="6450" width="26.42578125" style="458" customWidth="1"/>
    <col min="6451" max="6451" width="9" style="458" customWidth="1"/>
    <col min="6452" max="6452" width="6.42578125" style="458" customWidth="1"/>
    <col min="6453" max="6454" width="7.42578125" style="458" customWidth="1"/>
    <col min="6455" max="6455" width="8.42578125" style="458" customWidth="1"/>
    <col min="6456" max="6456" width="9.5703125" style="458" customWidth="1"/>
    <col min="6457" max="6457" width="6.42578125" style="458" customWidth="1"/>
    <col min="6458" max="6458" width="5.85546875" style="458" customWidth="1"/>
    <col min="6459" max="6460" width="4.42578125" style="458" customWidth="1"/>
    <col min="6461" max="6461" width="5" style="458" customWidth="1"/>
    <col min="6462" max="6462" width="5.85546875" style="458" customWidth="1"/>
    <col min="6463" max="6463" width="6.140625" style="458" customWidth="1"/>
    <col min="6464" max="6464" width="6.42578125" style="458" customWidth="1"/>
    <col min="6465" max="6465" width="11.140625" style="458" customWidth="1"/>
    <col min="6466" max="6466" width="14.140625" style="458" customWidth="1"/>
    <col min="6467" max="6467" width="19.85546875" style="458" customWidth="1"/>
    <col min="6468" max="6468" width="17" style="458" customWidth="1"/>
    <col min="6469" max="6469" width="20.85546875" style="458" customWidth="1"/>
    <col min="6470" max="6682" width="11.42578125" style="458"/>
    <col min="6683" max="6683" width="13.140625" style="458" customWidth="1"/>
    <col min="6684" max="6684" width="4" style="458" customWidth="1"/>
    <col min="6685" max="6685" width="12.85546875" style="458" customWidth="1"/>
    <col min="6686" max="6686" width="14.5703125" style="458" customWidth="1"/>
    <col min="6687" max="6687" width="10" style="458" customWidth="1"/>
    <col min="6688" max="6688" width="6.42578125" style="458" customWidth="1"/>
    <col min="6689" max="6689" width="12.42578125" style="458" customWidth="1"/>
    <col min="6690" max="6690" width="8.5703125" style="458" customWidth="1"/>
    <col min="6691" max="6691" width="13.5703125" style="458" customWidth="1"/>
    <col min="6692" max="6692" width="11.5703125" style="458" customWidth="1"/>
    <col min="6693" max="6693" width="34.42578125" style="458" customWidth="1"/>
    <col min="6694" max="6694" width="24.42578125" style="458" customWidth="1"/>
    <col min="6695" max="6695" width="21.140625" style="458" customWidth="1"/>
    <col min="6696" max="6696" width="22.140625" style="458" customWidth="1"/>
    <col min="6697" max="6697" width="8" style="458" customWidth="1"/>
    <col min="6698" max="6698" width="17" style="458" customWidth="1"/>
    <col min="6699" max="6699" width="12.5703125" style="458" customWidth="1"/>
    <col min="6700" max="6700" width="24.5703125" style="458" customWidth="1"/>
    <col min="6701" max="6701" width="29" style="458" customWidth="1"/>
    <col min="6702" max="6702" width="17.5703125" style="458" customWidth="1"/>
    <col min="6703" max="6703" width="36.42578125" style="458" customWidth="1"/>
    <col min="6704" max="6704" width="21.85546875" style="458" customWidth="1"/>
    <col min="6705" max="6705" width="11.5703125" style="458" customWidth="1"/>
    <col min="6706" max="6706" width="26.42578125" style="458" customWidth="1"/>
    <col min="6707" max="6707" width="9" style="458" customWidth="1"/>
    <col min="6708" max="6708" width="6.42578125" style="458" customWidth="1"/>
    <col min="6709" max="6710" width="7.42578125" style="458" customWidth="1"/>
    <col min="6711" max="6711" width="8.42578125" style="458" customWidth="1"/>
    <col min="6712" max="6712" width="9.5703125" style="458" customWidth="1"/>
    <col min="6713" max="6713" width="6.42578125" style="458" customWidth="1"/>
    <col min="6714" max="6714" width="5.85546875" style="458" customWidth="1"/>
    <col min="6715" max="6716" width="4.42578125" style="458" customWidth="1"/>
    <col min="6717" max="6717" width="5" style="458" customWidth="1"/>
    <col min="6718" max="6718" width="5.85546875" style="458" customWidth="1"/>
    <col min="6719" max="6719" width="6.140625" style="458" customWidth="1"/>
    <col min="6720" max="6720" width="6.42578125" style="458" customWidth="1"/>
    <col min="6721" max="6721" width="11.140625" style="458" customWidth="1"/>
    <col min="6722" max="6722" width="14.140625" style="458" customWidth="1"/>
    <col min="6723" max="6723" width="19.85546875" style="458" customWidth="1"/>
    <col min="6724" max="6724" width="17" style="458" customWidth="1"/>
    <col min="6725" max="6725" width="20.85546875" style="458" customWidth="1"/>
    <col min="6726" max="6938" width="11.42578125" style="458"/>
    <col min="6939" max="6939" width="13.140625" style="458" customWidth="1"/>
    <col min="6940" max="6940" width="4" style="458" customWidth="1"/>
    <col min="6941" max="6941" width="12.85546875" style="458" customWidth="1"/>
    <col min="6942" max="6942" width="14.5703125" style="458" customWidth="1"/>
    <col min="6943" max="6943" width="10" style="458" customWidth="1"/>
    <col min="6944" max="6944" width="6.42578125" style="458" customWidth="1"/>
    <col min="6945" max="6945" width="12.42578125" style="458" customWidth="1"/>
    <col min="6946" max="6946" width="8.5703125" style="458" customWidth="1"/>
    <col min="6947" max="6947" width="13.5703125" style="458" customWidth="1"/>
    <col min="6948" max="6948" width="11.5703125" style="458" customWidth="1"/>
    <col min="6949" max="6949" width="34.42578125" style="458" customWidth="1"/>
    <col min="6950" max="6950" width="24.42578125" style="458" customWidth="1"/>
    <col min="6951" max="6951" width="21.140625" style="458" customWidth="1"/>
    <col min="6952" max="6952" width="22.140625" style="458" customWidth="1"/>
    <col min="6953" max="6953" width="8" style="458" customWidth="1"/>
    <col min="6954" max="6954" width="17" style="458" customWidth="1"/>
    <col min="6955" max="6955" width="12.5703125" style="458" customWidth="1"/>
    <col min="6956" max="6956" width="24.5703125" style="458" customWidth="1"/>
    <col min="6957" max="6957" width="29" style="458" customWidth="1"/>
    <col min="6958" max="6958" width="17.5703125" style="458" customWidth="1"/>
    <col min="6959" max="6959" width="36.42578125" style="458" customWidth="1"/>
    <col min="6960" max="6960" width="21.85546875" style="458" customWidth="1"/>
    <col min="6961" max="6961" width="11.5703125" style="458" customWidth="1"/>
    <col min="6962" max="6962" width="26.42578125" style="458" customWidth="1"/>
    <col min="6963" max="6963" width="9" style="458" customWidth="1"/>
    <col min="6964" max="6964" width="6.42578125" style="458" customWidth="1"/>
    <col min="6965" max="6966" width="7.42578125" style="458" customWidth="1"/>
    <col min="6967" max="6967" width="8.42578125" style="458" customWidth="1"/>
    <col min="6968" max="6968" width="9.5703125" style="458" customWidth="1"/>
    <col min="6969" max="6969" width="6.42578125" style="458" customWidth="1"/>
    <col min="6970" max="6970" width="5.85546875" style="458" customWidth="1"/>
    <col min="6971" max="6972" width="4.42578125" style="458" customWidth="1"/>
    <col min="6973" max="6973" width="5" style="458" customWidth="1"/>
    <col min="6974" max="6974" width="5.85546875" style="458" customWidth="1"/>
    <col min="6975" max="6975" width="6.140625" style="458" customWidth="1"/>
    <col min="6976" max="6976" width="6.42578125" style="458" customWidth="1"/>
    <col min="6977" max="6977" width="11.140625" style="458" customWidth="1"/>
    <col min="6978" max="6978" width="14.140625" style="458" customWidth="1"/>
    <col min="6979" max="6979" width="19.85546875" style="458" customWidth="1"/>
    <col min="6980" max="6980" width="17" style="458" customWidth="1"/>
    <col min="6981" max="6981" width="20.85546875" style="458" customWidth="1"/>
    <col min="6982" max="7194" width="11.42578125" style="458"/>
    <col min="7195" max="7195" width="13.140625" style="458" customWidth="1"/>
    <col min="7196" max="7196" width="4" style="458" customWidth="1"/>
    <col min="7197" max="7197" width="12.85546875" style="458" customWidth="1"/>
    <col min="7198" max="7198" width="14.5703125" style="458" customWidth="1"/>
    <col min="7199" max="7199" width="10" style="458" customWidth="1"/>
    <col min="7200" max="7200" width="6.42578125" style="458" customWidth="1"/>
    <col min="7201" max="7201" width="12.42578125" style="458" customWidth="1"/>
    <col min="7202" max="7202" width="8.5703125" style="458" customWidth="1"/>
    <col min="7203" max="7203" width="13.5703125" style="458" customWidth="1"/>
    <col min="7204" max="7204" width="11.5703125" style="458" customWidth="1"/>
    <col min="7205" max="7205" width="34.42578125" style="458" customWidth="1"/>
    <col min="7206" max="7206" width="24.42578125" style="458" customWidth="1"/>
    <col min="7207" max="7207" width="21.140625" style="458" customWidth="1"/>
    <col min="7208" max="7208" width="22.140625" style="458" customWidth="1"/>
    <col min="7209" max="7209" width="8" style="458" customWidth="1"/>
    <col min="7210" max="7210" width="17" style="458" customWidth="1"/>
    <col min="7211" max="7211" width="12.5703125" style="458" customWidth="1"/>
    <col min="7212" max="7212" width="24.5703125" style="458" customWidth="1"/>
    <col min="7213" max="7213" width="29" style="458" customWidth="1"/>
    <col min="7214" max="7214" width="17.5703125" style="458" customWidth="1"/>
    <col min="7215" max="7215" width="36.42578125" style="458" customWidth="1"/>
    <col min="7216" max="7216" width="21.85546875" style="458" customWidth="1"/>
    <col min="7217" max="7217" width="11.5703125" style="458" customWidth="1"/>
    <col min="7218" max="7218" width="26.42578125" style="458" customWidth="1"/>
    <col min="7219" max="7219" width="9" style="458" customWidth="1"/>
    <col min="7220" max="7220" width="6.42578125" style="458" customWidth="1"/>
    <col min="7221" max="7222" width="7.42578125" style="458" customWidth="1"/>
    <col min="7223" max="7223" width="8.42578125" style="458" customWidth="1"/>
    <col min="7224" max="7224" width="9.5703125" style="458" customWidth="1"/>
    <col min="7225" max="7225" width="6.42578125" style="458" customWidth="1"/>
    <col min="7226" max="7226" width="5.85546875" style="458" customWidth="1"/>
    <col min="7227" max="7228" width="4.42578125" style="458" customWidth="1"/>
    <col min="7229" max="7229" width="5" style="458" customWidth="1"/>
    <col min="7230" max="7230" width="5.85546875" style="458" customWidth="1"/>
    <col min="7231" max="7231" width="6.140625" style="458" customWidth="1"/>
    <col min="7232" max="7232" width="6.42578125" style="458" customWidth="1"/>
    <col min="7233" max="7233" width="11.140625" style="458" customWidth="1"/>
    <col min="7234" max="7234" width="14.140625" style="458" customWidth="1"/>
    <col min="7235" max="7235" width="19.85546875" style="458" customWidth="1"/>
    <col min="7236" max="7236" width="17" style="458" customWidth="1"/>
    <col min="7237" max="7237" width="20.85546875" style="458" customWidth="1"/>
    <col min="7238" max="7450" width="11.42578125" style="458"/>
    <col min="7451" max="7451" width="13.140625" style="458" customWidth="1"/>
    <col min="7452" max="7452" width="4" style="458" customWidth="1"/>
    <col min="7453" max="7453" width="12.85546875" style="458" customWidth="1"/>
    <col min="7454" max="7454" width="14.5703125" style="458" customWidth="1"/>
    <col min="7455" max="7455" width="10" style="458" customWidth="1"/>
    <col min="7456" max="7456" width="6.42578125" style="458" customWidth="1"/>
    <col min="7457" max="7457" width="12.42578125" style="458" customWidth="1"/>
    <col min="7458" max="7458" width="8.5703125" style="458" customWidth="1"/>
    <col min="7459" max="7459" width="13.5703125" style="458" customWidth="1"/>
    <col min="7460" max="7460" width="11.5703125" style="458" customWidth="1"/>
    <col min="7461" max="7461" width="34.42578125" style="458" customWidth="1"/>
    <col min="7462" max="7462" width="24.42578125" style="458" customWidth="1"/>
    <col min="7463" max="7463" width="21.140625" style="458" customWidth="1"/>
    <col min="7464" max="7464" width="22.140625" style="458" customWidth="1"/>
    <col min="7465" max="7465" width="8" style="458" customWidth="1"/>
    <col min="7466" max="7466" width="17" style="458" customWidth="1"/>
    <col min="7467" max="7467" width="12.5703125" style="458" customWidth="1"/>
    <col min="7468" max="7468" width="24.5703125" style="458" customWidth="1"/>
    <col min="7469" max="7469" width="29" style="458" customWidth="1"/>
    <col min="7470" max="7470" width="17.5703125" style="458" customWidth="1"/>
    <col min="7471" max="7471" width="36.42578125" style="458" customWidth="1"/>
    <col min="7472" max="7472" width="21.85546875" style="458" customWidth="1"/>
    <col min="7473" max="7473" width="11.5703125" style="458" customWidth="1"/>
    <col min="7474" max="7474" width="26.42578125" style="458" customWidth="1"/>
    <col min="7475" max="7475" width="9" style="458" customWidth="1"/>
    <col min="7476" max="7476" width="6.42578125" style="458" customWidth="1"/>
    <col min="7477" max="7478" width="7.42578125" style="458" customWidth="1"/>
    <col min="7479" max="7479" width="8.42578125" style="458" customWidth="1"/>
    <col min="7480" max="7480" width="9.5703125" style="458" customWidth="1"/>
    <col min="7481" max="7481" width="6.42578125" style="458" customWidth="1"/>
    <col min="7482" max="7482" width="5.85546875" style="458" customWidth="1"/>
    <col min="7483" max="7484" width="4.42578125" style="458" customWidth="1"/>
    <col min="7485" max="7485" width="5" style="458" customWidth="1"/>
    <col min="7486" max="7486" width="5.85546875" style="458" customWidth="1"/>
    <col min="7487" max="7487" width="6.140625" style="458" customWidth="1"/>
    <col min="7488" max="7488" width="6.42578125" style="458" customWidth="1"/>
    <col min="7489" max="7489" width="11.140625" style="458" customWidth="1"/>
    <col min="7490" max="7490" width="14.140625" style="458" customWidth="1"/>
    <col min="7491" max="7491" width="19.85546875" style="458" customWidth="1"/>
    <col min="7492" max="7492" width="17" style="458" customWidth="1"/>
    <col min="7493" max="7493" width="20.85546875" style="458" customWidth="1"/>
    <col min="7494" max="7706" width="11.42578125" style="458"/>
    <col min="7707" max="7707" width="13.140625" style="458" customWidth="1"/>
    <col min="7708" max="7708" width="4" style="458" customWidth="1"/>
    <col min="7709" max="7709" width="12.85546875" style="458" customWidth="1"/>
    <col min="7710" max="7710" width="14.5703125" style="458" customWidth="1"/>
    <col min="7711" max="7711" width="10" style="458" customWidth="1"/>
    <col min="7712" max="7712" width="6.42578125" style="458" customWidth="1"/>
    <col min="7713" max="7713" width="12.42578125" style="458" customWidth="1"/>
    <col min="7714" max="7714" width="8.5703125" style="458" customWidth="1"/>
    <col min="7715" max="7715" width="13.5703125" style="458" customWidth="1"/>
    <col min="7716" max="7716" width="11.5703125" style="458" customWidth="1"/>
    <col min="7717" max="7717" width="34.42578125" style="458" customWidth="1"/>
    <col min="7718" max="7718" width="24.42578125" style="458" customWidth="1"/>
    <col min="7719" max="7719" width="21.140625" style="458" customWidth="1"/>
    <col min="7720" max="7720" width="22.140625" style="458" customWidth="1"/>
    <col min="7721" max="7721" width="8" style="458" customWidth="1"/>
    <col min="7722" max="7722" width="17" style="458" customWidth="1"/>
    <col min="7723" max="7723" width="12.5703125" style="458" customWidth="1"/>
    <col min="7724" max="7724" width="24.5703125" style="458" customWidth="1"/>
    <col min="7725" max="7725" width="29" style="458" customWidth="1"/>
    <col min="7726" max="7726" width="17.5703125" style="458" customWidth="1"/>
    <col min="7727" max="7727" width="36.42578125" style="458" customWidth="1"/>
    <col min="7728" max="7728" width="21.85546875" style="458" customWidth="1"/>
    <col min="7729" max="7729" width="11.5703125" style="458" customWidth="1"/>
    <col min="7730" max="7730" width="26.42578125" style="458" customWidth="1"/>
    <col min="7731" max="7731" width="9" style="458" customWidth="1"/>
    <col min="7732" max="7732" width="6.42578125" style="458" customWidth="1"/>
    <col min="7733" max="7734" width="7.42578125" style="458" customWidth="1"/>
    <col min="7735" max="7735" width="8.42578125" style="458" customWidth="1"/>
    <col min="7736" max="7736" width="9.5703125" style="458" customWidth="1"/>
    <col min="7737" max="7737" width="6.42578125" style="458" customWidth="1"/>
    <col min="7738" max="7738" width="5.85546875" style="458" customWidth="1"/>
    <col min="7739" max="7740" width="4.42578125" style="458" customWidth="1"/>
    <col min="7741" max="7741" width="5" style="458" customWidth="1"/>
    <col min="7742" max="7742" width="5.85546875" style="458" customWidth="1"/>
    <col min="7743" max="7743" width="6.140625" style="458" customWidth="1"/>
    <col min="7744" max="7744" width="6.42578125" style="458" customWidth="1"/>
    <col min="7745" max="7745" width="11.140625" style="458" customWidth="1"/>
    <col min="7746" max="7746" width="14.140625" style="458" customWidth="1"/>
    <col min="7747" max="7747" width="19.85546875" style="458" customWidth="1"/>
    <col min="7748" max="7748" width="17" style="458" customWidth="1"/>
    <col min="7749" max="7749" width="20.85546875" style="458" customWidth="1"/>
    <col min="7750" max="7962" width="11.42578125" style="458"/>
    <col min="7963" max="7963" width="13.140625" style="458" customWidth="1"/>
    <col min="7964" max="7964" width="4" style="458" customWidth="1"/>
    <col min="7965" max="7965" width="12.85546875" style="458" customWidth="1"/>
    <col min="7966" max="7966" width="14.5703125" style="458" customWidth="1"/>
    <col min="7967" max="7967" width="10" style="458" customWidth="1"/>
    <col min="7968" max="7968" width="6.42578125" style="458" customWidth="1"/>
    <col min="7969" max="7969" width="12.42578125" style="458" customWidth="1"/>
    <col min="7970" max="7970" width="8.5703125" style="458" customWidth="1"/>
    <col min="7971" max="7971" width="13.5703125" style="458" customWidth="1"/>
    <col min="7972" max="7972" width="11.5703125" style="458" customWidth="1"/>
    <col min="7973" max="7973" width="34.42578125" style="458" customWidth="1"/>
    <col min="7974" max="7974" width="24.42578125" style="458" customWidth="1"/>
    <col min="7975" max="7975" width="21.140625" style="458" customWidth="1"/>
    <col min="7976" max="7976" width="22.140625" style="458" customWidth="1"/>
    <col min="7977" max="7977" width="8" style="458" customWidth="1"/>
    <col min="7978" max="7978" width="17" style="458" customWidth="1"/>
    <col min="7979" max="7979" width="12.5703125" style="458" customWidth="1"/>
    <col min="7980" max="7980" width="24.5703125" style="458" customWidth="1"/>
    <col min="7981" max="7981" width="29" style="458" customWidth="1"/>
    <col min="7982" max="7982" width="17.5703125" style="458" customWidth="1"/>
    <col min="7983" max="7983" width="36.42578125" style="458" customWidth="1"/>
    <col min="7984" max="7984" width="21.85546875" style="458" customWidth="1"/>
    <col min="7985" max="7985" width="11.5703125" style="458" customWidth="1"/>
    <col min="7986" max="7986" width="26.42578125" style="458" customWidth="1"/>
    <col min="7987" max="7987" width="9" style="458" customWidth="1"/>
    <col min="7988" max="7988" width="6.42578125" style="458" customWidth="1"/>
    <col min="7989" max="7990" width="7.42578125" style="458" customWidth="1"/>
    <col min="7991" max="7991" width="8.42578125" style="458" customWidth="1"/>
    <col min="7992" max="7992" width="9.5703125" style="458" customWidth="1"/>
    <col min="7993" max="7993" width="6.42578125" style="458" customWidth="1"/>
    <col min="7994" max="7994" width="5.85546875" style="458" customWidth="1"/>
    <col min="7995" max="7996" width="4.42578125" style="458" customWidth="1"/>
    <col min="7997" max="7997" width="5" style="458" customWidth="1"/>
    <col min="7998" max="7998" width="5.85546875" style="458" customWidth="1"/>
    <col min="7999" max="7999" width="6.140625" style="458" customWidth="1"/>
    <col min="8000" max="8000" width="6.42578125" style="458" customWidth="1"/>
    <col min="8001" max="8001" width="11.140625" style="458" customWidth="1"/>
    <col min="8002" max="8002" width="14.140625" style="458" customWidth="1"/>
    <col min="8003" max="8003" width="19.85546875" style="458" customWidth="1"/>
    <col min="8004" max="8004" width="17" style="458" customWidth="1"/>
    <col min="8005" max="8005" width="20.85546875" style="458" customWidth="1"/>
    <col min="8006" max="8218" width="11.42578125" style="458"/>
    <col min="8219" max="8219" width="13.140625" style="458" customWidth="1"/>
    <col min="8220" max="8220" width="4" style="458" customWidth="1"/>
    <col min="8221" max="8221" width="12.85546875" style="458" customWidth="1"/>
    <col min="8222" max="8222" width="14.5703125" style="458" customWidth="1"/>
    <col min="8223" max="8223" width="10" style="458" customWidth="1"/>
    <col min="8224" max="8224" width="6.42578125" style="458" customWidth="1"/>
    <col min="8225" max="8225" width="12.42578125" style="458" customWidth="1"/>
    <col min="8226" max="8226" width="8.5703125" style="458" customWidth="1"/>
    <col min="8227" max="8227" width="13.5703125" style="458" customWidth="1"/>
    <col min="8228" max="8228" width="11.5703125" style="458" customWidth="1"/>
    <col min="8229" max="8229" width="34.42578125" style="458" customWidth="1"/>
    <col min="8230" max="8230" width="24.42578125" style="458" customWidth="1"/>
    <col min="8231" max="8231" width="21.140625" style="458" customWidth="1"/>
    <col min="8232" max="8232" width="22.140625" style="458" customWidth="1"/>
    <col min="8233" max="8233" width="8" style="458" customWidth="1"/>
    <col min="8234" max="8234" width="17" style="458" customWidth="1"/>
    <col min="8235" max="8235" width="12.5703125" style="458" customWidth="1"/>
    <col min="8236" max="8236" width="24.5703125" style="458" customWidth="1"/>
    <col min="8237" max="8237" width="29" style="458" customWidth="1"/>
    <col min="8238" max="8238" width="17.5703125" style="458" customWidth="1"/>
    <col min="8239" max="8239" width="36.42578125" style="458" customWidth="1"/>
    <col min="8240" max="8240" width="21.85546875" style="458" customWidth="1"/>
    <col min="8241" max="8241" width="11.5703125" style="458" customWidth="1"/>
    <col min="8242" max="8242" width="26.42578125" style="458" customWidth="1"/>
    <col min="8243" max="8243" width="9" style="458" customWidth="1"/>
    <col min="8244" max="8244" width="6.42578125" style="458" customWidth="1"/>
    <col min="8245" max="8246" width="7.42578125" style="458" customWidth="1"/>
    <col min="8247" max="8247" width="8.42578125" style="458" customWidth="1"/>
    <col min="8248" max="8248" width="9.5703125" style="458" customWidth="1"/>
    <col min="8249" max="8249" width="6.42578125" style="458" customWidth="1"/>
    <col min="8250" max="8250" width="5.85546875" style="458" customWidth="1"/>
    <col min="8251" max="8252" width="4.42578125" style="458" customWidth="1"/>
    <col min="8253" max="8253" width="5" style="458" customWidth="1"/>
    <col min="8254" max="8254" width="5.85546875" style="458" customWidth="1"/>
    <col min="8255" max="8255" width="6.140625" style="458" customWidth="1"/>
    <col min="8256" max="8256" width="6.42578125" style="458" customWidth="1"/>
    <col min="8257" max="8257" width="11.140625" style="458" customWidth="1"/>
    <col min="8258" max="8258" width="14.140625" style="458" customWidth="1"/>
    <col min="8259" max="8259" width="19.85546875" style="458" customWidth="1"/>
    <col min="8260" max="8260" width="17" style="458" customWidth="1"/>
    <col min="8261" max="8261" width="20.85546875" style="458" customWidth="1"/>
    <col min="8262" max="8474" width="11.42578125" style="458"/>
    <col min="8475" max="8475" width="13.140625" style="458" customWidth="1"/>
    <col min="8476" max="8476" width="4" style="458" customWidth="1"/>
    <col min="8477" max="8477" width="12.85546875" style="458" customWidth="1"/>
    <col min="8478" max="8478" width="14.5703125" style="458" customWidth="1"/>
    <col min="8479" max="8479" width="10" style="458" customWidth="1"/>
    <col min="8480" max="8480" width="6.42578125" style="458" customWidth="1"/>
    <col min="8481" max="8481" width="12.42578125" style="458" customWidth="1"/>
    <col min="8482" max="8482" width="8.5703125" style="458" customWidth="1"/>
    <col min="8483" max="8483" width="13.5703125" style="458" customWidth="1"/>
    <col min="8484" max="8484" width="11.5703125" style="458" customWidth="1"/>
    <col min="8485" max="8485" width="34.42578125" style="458" customWidth="1"/>
    <col min="8486" max="8486" width="24.42578125" style="458" customWidth="1"/>
    <col min="8487" max="8487" width="21.140625" style="458" customWidth="1"/>
    <col min="8488" max="8488" width="22.140625" style="458" customWidth="1"/>
    <col min="8489" max="8489" width="8" style="458" customWidth="1"/>
    <col min="8490" max="8490" width="17" style="458" customWidth="1"/>
    <col min="8491" max="8491" width="12.5703125" style="458" customWidth="1"/>
    <col min="8492" max="8492" width="24.5703125" style="458" customWidth="1"/>
    <col min="8493" max="8493" width="29" style="458" customWidth="1"/>
    <col min="8494" max="8494" width="17.5703125" style="458" customWidth="1"/>
    <col min="8495" max="8495" width="36.42578125" style="458" customWidth="1"/>
    <col min="8496" max="8496" width="21.85546875" style="458" customWidth="1"/>
    <col min="8497" max="8497" width="11.5703125" style="458" customWidth="1"/>
    <col min="8498" max="8498" width="26.42578125" style="458" customWidth="1"/>
    <col min="8499" max="8499" width="9" style="458" customWidth="1"/>
    <col min="8500" max="8500" width="6.42578125" style="458" customWidth="1"/>
    <col min="8501" max="8502" width="7.42578125" style="458" customWidth="1"/>
    <col min="8503" max="8503" width="8.42578125" style="458" customWidth="1"/>
    <col min="8504" max="8504" width="9.5703125" style="458" customWidth="1"/>
    <col min="8505" max="8505" width="6.42578125" style="458" customWidth="1"/>
    <col min="8506" max="8506" width="5.85546875" style="458" customWidth="1"/>
    <col min="8507" max="8508" width="4.42578125" style="458" customWidth="1"/>
    <col min="8509" max="8509" width="5" style="458" customWidth="1"/>
    <col min="8510" max="8510" width="5.85546875" style="458" customWidth="1"/>
    <col min="8511" max="8511" width="6.140625" style="458" customWidth="1"/>
    <col min="8512" max="8512" width="6.42578125" style="458" customWidth="1"/>
    <col min="8513" max="8513" width="11.140625" style="458" customWidth="1"/>
    <col min="8514" max="8514" width="14.140625" style="458" customWidth="1"/>
    <col min="8515" max="8515" width="19.85546875" style="458" customWidth="1"/>
    <col min="8516" max="8516" width="17" style="458" customWidth="1"/>
    <col min="8517" max="8517" width="20.85546875" style="458" customWidth="1"/>
    <col min="8518" max="8730" width="11.42578125" style="458"/>
    <col min="8731" max="8731" width="13.140625" style="458" customWidth="1"/>
    <col min="8732" max="8732" width="4" style="458" customWidth="1"/>
    <col min="8733" max="8733" width="12.85546875" style="458" customWidth="1"/>
    <col min="8734" max="8734" width="14.5703125" style="458" customWidth="1"/>
    <col min="8735" max="8735" width="10" style="458" customWidth="1"/>
    <col min="8736" max="8736" width="6.42578125" style="458" customWidth="1"/>
    <col min="8737" max="8737" width="12.42578125" style="458" customWidth="1"/>
    <col min="8738" max="8738" width="8.5703125" style="458" customWidth="1"/>
    <col min="8739" max="8739" width="13.5703125" style="458" customWidth="1"/>
    <col min="8740" max="8740" width="11.5703125" style="458" customWidth="1"/>
    <col min="8741" max="8741" width="34.42578125" style="458" customWidth="1"/>
    <col min="8742" max="8742" width="24.42578125" style="458" customWidth="1"/>
    <col min="8743" max="8743" width="21.140625" style="458" customWidth="1"/>
    <col min="8744" max="8744" width="22.140625" style="458" customWidth="1"/>
    <col min="8745" max="8745" width="8" style="458" customWidth="1"/>
    <col min="8746" max="8746" width="17" style="458" customWidth="1"/>
    <col min="8747" max="8747" width="12.5703125" style="458" customWidth="1"/>
    <col min="8748" max="8748" width="24.5703125" style="458" customWidth="1"/>
    <col min="8749" max="8749" width="29" style="458" customWidth="1"/>
    <col min="8750" max="8750" width="17.5703125" style="458" customWidth="1"/>
    <col min="8751" max="8751" width="36.42578125" style="458" customWidth="1"/>
    <col min="8752" max="8752" width="21.85546875" style="458" customWidth="1"/>
    <col min="8753" max="8753" width="11.5703125" style="458" customWidth="1"/>
    <col min="8754" max="8754" width="26.42578125" style="458" customWidth="1"/>
    <col min="8755" max="8755" width="9" style="458" customWidth="1"/>
    <col min="8756" max="8756" width="6.42578125" style="458" customWidth="1"/>
    <col min="8757" max="8758" width="7.42578125" style="458" customWidth="1"/>
    <col min="8759" max="8759" width="8.42578125" style="458" customWidth="1"/>
    <col min="8760" max="8760" width="9.5703125" style="458" customWidth="1"/>
    <col min="8761" max="8761" width="6.42578125" style="458" customWidth="1"/>
    <col min="8762" max="8762" width="5.85546875" style="458" customWidth="1"/>
    <col min="8763" max="8764" width="4.42578125" style="458" customWidth="1"/>
    <col min="8765" max="8765" width="5" style="458" customWidth="1"/>
    <col min="8766" max="8766" width="5.85546875" style="458" customWidth="1"/>
    <col min="8767" max="8767" width="6.140625" style="458" customWidth="1"/>
    <col min="8768" max="8768" width="6.42578125" style="458" customWidth="1"/>
    <col min="8769" max="8769" width="11.140625" style="458" customWidth="1"/>
    <col min="8770" max="8770" width="14.140625" style="458" customWidth="1"/>
    <col min="8771" max="8771" width="19.85546875" style="458" customWidth="1"/>
    <col min="8772" max="8772" width="17" style="458" customWidth="1"/>
    <col min="8773" max="8773" width="20.85546875" style="458" customWidth="1"/>
    <col min="8774" max="8986" width="11.42578125" style="458"/>
    <col min="8987" max="8987" width="13.140625" style="458" customWidth="1"/>
    <col min="8988" max="8988" width="4" style="458" customWidth="1"/>
    <col min="8989" max="8989" width="12.85546875" style="458" customWidth="1"/>
    <col min="8990" max="8990" width="14.5703125" style="458" customWidth="1"/>
    <col min="8991" max="8991" width="10" style="458" customWidth="1"/>
    <col min="8992" max="8992" width="6.42578125" style="458" customWidth="1"/>
    <col min="8993" max="8993" width="12.42578125" style="458" customWidth="1"/>
    <col min="8994" max="8994" width="8.5703125" style="458" customWidth="1"/>
    <col min="8995" max="8995" width="13.5703125" style="458" customWidth="1"/>
    <col min="8996" max="8996" width="11.5703125" style="458" customWidth="1"/>
    <col min="8997" max="8997" width="34.42578125" style="458" customWidth="1"/>
    <col min="8998" max="8998" width="24.42578125" style="458" customWidth="1"/>
    <col min="8999" max="8999" width="21.140625" style="458" customWidth="1"/>
    <col min="9000" max="9000" width="22.140625" style="458" customWidth="1"/>
    <col min="9001" max="9001" width="8" style="458" customWidth="1"/>
    <col min="9002" max="9002" width="17" style="458" customWidth="1"/>
    <col min="9003" max="9003" width="12.5703125" style="458" customWidth="1"/>
    <col min="9004" max="9004" width="24.5703125" style="458" customWidth="1"/>
    <col min="9005" max="9005" width="29" style="458" customWidth="1"/>
    <col min="9006" max="9006" width="17.5703125" style="458" customWidth="1"/>
    <col min="9007" max="9007" width="36.42578125" style="458" customWidth="1"/>
    <col min="9008" max="9008" width="21.85546875" style="458" customWidth="1"/>
    <col min="9009" max="9009" width="11.5703125" style="458" customWidth="1"/>
    <col min="9010" max="9010" width="26.42578125" style="458" customWidth="1"/>
    <col min="9011" max="9011" width="9" style="458" customWidth="1"/>
    <col min="9012" max="9012" width="6.42578125" style="458" customWidth="1"/>
    <col min="9013" max="9014" width="7.42578125" style="458" customWidth="1"/>
    <col min="9015" max="9015" width="8.42578125" style="458" customWidth="1"/>
    <col min="9016" max="9016" width="9.5703125" style="458" customWidth="1"/>
    <col min="9017" max="9017" width="6.42578125" style="458" customWidth="1"/>
    <col min="9018" max="9018" width="5.85546875" style="458" customWidth="1"/>
    <col min="9019" max="9020" width="4.42578125" style="458" customWidth="1"/>
    <col min="9021" max="9021" width="5" style="458" customWidth="1"/>
    <col min="9022" max="9022" width="5.85546875" style="458" customWidth="1"/>
    <col min="9023" max="9023" width="6.140625" style="458" customWidth="1"/>
    <col min="9024" max="9024" width="6.42578125" style="458" customWidth="1"/>
    <col min="9025" max="9025" width="11.140625" style="458" customWidth="1"/>
    <col min="9026" max="9026" width="14.140625" style="458" customWidth="1"/>
    <col min="9027" max="9027" width="19.85546875" style="458" customWidth="1"/>
    <col min="9028" max="9028" width="17" style="458" customWidth="1"/>
    <col min="9029" max="9029" width="20.85546875" style="458" customWidth="1"/>
    <col min="9030" max="9242" width="11.42578125" style="458"/>
    <col min="9243" max="9243" width="13.140625" style="458" customWidth="1"/>
    <col min="9244" max="9244" width="4" style="458" customWidth="1"/>
    <col min="9245" max="9245" width="12.85546875" style="458" customWidth="1"/>
    <col min="9246" max="9246" width="14.5703125" style="458" customWidth="1"/>
    <col min="9247" max="9247" width="10" style="458" customWidth="1"/>
    <col min="9248" max="9248" width="6.42578125" style="458" customWidth="1"/>
    <col min="9249" max="9249" width="12.42578125" style="458" customWidth="1"/>
    <col min="9250" max="9250" width="8.5703125" style="458" customWidth="1"/>
    <col min="9251" max="9251" width="13.5703125" style="458" customWidth="1"/>
    <col min="9252" max="9252" width="11.5703125" style="458" customWidth="1"/>
    <col min="9253" max="9253" width="34.42578125" style="458" customWidth="1"/>
    <col min="9254" max="9254" width="24.42578125" style="458" customWidth="1"/>
    <col min="9255" max="9255" width="21.140625" style="458" customWidth="1"/>
    <col min="9256" max="9256" width="22.140625" style="458" customWidth="1"/>
    <col min="9257" max="9257" width="8" style="458" customWidth="1"/>
    <col min="9258" max="9258" width="17" style="458" customWidth="1"/>
    <col min="9259" max="9259" width="12.5703125" style="458" customWidth="1"/>
    <col min="9260" max="9260" width="24.5703125" style="458" customWidth="1"/>
    <col min="9261" max="9261" width="29" style="458" customWidth="1"/>
    <col min="9262" max="9262" width="17.5703125" style="458" customWidth="1"/>
    <col min="9263" max="9263" width="36.42578125" style="458" customWidth="1"/>
    <col min="9264" max="9264" width="21.85546875" style="458" customWidth="1"/>
    <col min="9265" max="9265" width="11.5703125" style="458" customWidth="1"/>
    <col min="9266" max="9266" width="26.42578125" style="458" customWidth="1"/>
    <col min="9267" max="9267" width="9" style="458" customWidth="1"/>
    <col min="9268" max="9268" width="6.42578125" style="458" customWidth="1"/>
    <col min="9269" max="9270" width="7.42578125" style="458" customWidth="1"/>
    <col min="9271" max="9271" width="8.42578125" style="458" customWidth="1"/>
    <col min="9272" max="9272" width="9.5703125" style="458" customWidth="1"/>
    <col min="9273" max="9273" width="6.42578125" style="458" customWidth="1"/>
    <col min="9274" max="9274" width="5.85546875" style="458" customWidth="1"/>
    <col min="9275" max="9276" width="4.42578125" style="458" customWidth="1"/>
    <col min="9277" max="9277" width="5" style="458" customWidth="1"/>
    <col min="9278" max="9278" width="5.85546875" style="458" customWidth="1"/>
    <col min="9279" max="9279" width="6.140625" style="458" customWidth="1"/>
    <col min="9280" max="9280" width="6.42578125" style="458" customWidth="1"/>
    <col min="9281" max="9281" width="11.140625" style="458" customWidth="1"/>
    <col min="9282" max="9282" width="14.140625" style="458" customWidth="1"/>
    <col min="9283" max="9283" width="19.85546875" style="458" customWidth="1"/>
    <col min="9284" max="9284" width="17" style="458" customWidth="1"/>
    <col min="9285" max="9285" width="20.85546875" style="458" customWidth="1"/>
    <col min="9286" max="9498" width="11.42578125" style="458"/>
    <col min="9499" max="9499" width="13.140625" style="458" customWidth="1"/>
    <col min="9500" max="9500" width="4" style="458" customWidth="1"/>
    <col min="9501" max="9501" width="12.85546875" style="458" customWidth="1"/>
    <col min="9502" max="9502" width="14.5703125" style="458" customWidth="1"/>
    <col min="9503" max="9503" width="10" style="458" customWidth="1"/>
    <col min="9504" max="9504" width="6.42578125" style="458" customWidth="1"/>
    <col min="9505" max="9505" width="12.42578125" style="458" customWidth="1"/>
    <col min="9506" max="9506" width="8.5703125" style="458" customWidth="1"/>
    <col min="9507" max="9507" width="13.5703125" style="458" customWidth="1"/>
    <col min="9508" max="9508" width="11.5703125" style="458" customWidth="1"/>
    <col min="9509" max="9509" width="34.42578125" style="458" customWidth="1"/>
    <col min="9510" max="9510" width="24.42578125" style="458" customWidth="1"/>
    <col min="9511" max="9511" width="21.140625" style="458" customWidth="1"/>
    <col min="9512" max="9512" width="22.140625" style="458" customWidth="1"/>
    <col min="9513" max="9513" width="8" style="458" customWidth="1"/>
    <col min="9514" max="9514" width="17" style="458" customWidth="1"/>
    <col min="9515" max="9515" width="12.5703125" style="458" customWidth="1"/>
    <col min="9516" max="9516" width="24.5703125" style="458" customWidth="1"/>
    <col min="9517" max="9517" width="29" style="458" customWidth="1"/>
    <col min="9518" max="9518" width="17.5703125" style="458" customWidth="1"/>
    <col min="9519" max="9519" width="36.42578125" style="458" customWidth="1"/>
    <col min="9520" max="9520" width="21.85546875" style="458" customWidth="1"/>
    <col min="9521" max="9521" width="11.5703125" style="458" customWidth="1"/>
    <col min="9522" max="9522" width="26.42578125" style="458" customWidth="1"/>
    <col min="9523" max="9523" width="9" style="458" customWidth="1"/>
    <col min="9524" max="9524" width="6.42578125" style="458" customWidth="1"/>
    <col min="9525" max="9526" width="7.42578125" style="458" customWidth="1"/>
    <col min="9527" max="9527" width="8.42578125" style="458" customWidth="1"/>
    <col min="9528" max="9528" width="9.5703125" style="458" customWidth="1"/>
    <col min="9529" max="9529" width="6.42578125" style="458" customWidth="1"/>
    <col min="9530" max="9530" width="5.85546875" style="458" customWidth="1"/>
    <col min="9531" max="9532" width="4.42578125" style="458" customWidth="1"/>
    <col min="9533" max="9533" width="5" style="458" customWidth="1"/>
    <col min="9534" max="9534" width="5.85546875" style="458" customWidth="1"/>
    <col min="9535" max="9535" width="6.140625" style="458" customWidth="1"/>
    <col min="9536" max="9536" width="6.42578125" style="458" customWidth="1"/>
    <col min="9537" max="9537" width="11.140625" style="458" customWidth="1"/>
    <col min="9538" max="9538" width="14.140625" style="458" customWidth="1"/>
    <col min="9539" max="9539" width="19.85546875" style="458" customWidth="1"/>
    <col min="9540" max="9540" width="17" style="458" customWidth="1"/>
    <col min="9541" max="9541" width="20.85546875" style="458" customWidth="1"/>
    <col min="9542" max="9754" width="11.42578125" style="458"/>
    <col min="9755" max="9755" width="13.140625" style="458" customWidth="1"/>
    <col min="9756" max="9756" width="4" style="458" customWidth="1"/>
    <col min="9757" max="9757" width="12.85546875" style="458" customWidth="1"/>
    <col min="9758" max="9758" width="14.5703125" style="458" customWidth="1"/>
    <col min="9759" max="9759" width="10" style="458" customWidth="1"/>
    <col min="9760" max="9760" width="6.42578125" style="458" customWidth="1"/>
    <col min="9761" max="9761" width="12.42578125" style="458" customWidth="1"/>
    <col min="9762" max="9762" width="8.5703125" style="458" customWidth="1"/>
    <col min="9763" max="9763" width="13.5703125" style="458" customWidth="1"/>
    <col min="9764" max="9764" width="11.5703125" style="458" customWidth="1"/>
    <col min="9765" max="9765" width="34.42578125" style="458" customWidth="1"/>
    <col min="9766" max="9766" width="24.42578125" style="458" customWidth="1"/>
    <col min="9767" max="9767" width="21.140625" style="458" customWidth="1"/>
    <col min="9768" max="9768" width="22.140625" style="458" customWidth="1"/>
    <col min="9769" max="9769" width="8" style="458" customWidth="1"/>
    <col min="9770" max="9770" width="17" style="458" customWidth="1"/>
    <col min="9771" max="9771" width="12.5703125" style="458" customWidth="1"/>
    <col min="9772" max="9772" width="24.5703125" style="458" customWidth="1"/>
    <col min="9773" max="9773" width="29" style="458" customWidth="1"/>
    <col min="9774" max="9774" width="17.5703125" style="458" customWidth="1"/>
    <col min="9775" max="9775" width="36.42578125" style="458" customWidth="1"/>
    <col min="9776" max="9776" width="21.85546875" style="458" customWidth="1"/>
    <col min="9777" max="9777" width="11.5703125" style="458" customWidth="1"/>
    <col min="9778" max="9778" width="26.42578125" style="458" customWidth="1"/>
    <col min="9779" max="9779" width="9" style="458" customWidth="1"/>
    <col min="9780" max="9780" width="6.42578125" style="458" customWidth="1"/>
    <col min="9781" max="9782" width="7.42578125" style="458" customWidth="1"/>
    <col min="9783" max="9783" width="8.42578125" style="458" customWidth="1"/>
    <col min="9784" max="9784" width="9.5703125" style="458" customWidth="1"/>
    <col min="9785" max="9785" width="6.42578125" style="458" customWidth="1"/>
    <col min="9786" max="9786" width="5.85546875" style="458" customWidth="1"/>
    <col min="9787" max="9788" width="4.42578125" style="458" customWidth="1"/>
    <col min="9789" max="9789" width="5" style="458" customWidth="1"/>
    <col min="9790" max="9790" width="5.85546875" style="458" customWidth="1"/>
    <col min="9791" max="9791" width="6.140625" style="458" customWidth="1"/>
    <col min="9792" max="9792" width="6.42578125" style="458" customWidth="1"/>
    <col min="9793" max="9793" width="11.140625" style="458" customWidth="1"/>
    <col min="9794" max="9794" width="14.140625" style="458" customWidth="1"/>
    <col min="9795" max="9795" width="19.85546875" style="458" customWidth="1"/>
    <col min="9796" max="9796" width="17" style="458" customWidth="1"/>
    <col min="9797" max="9797" width="20.85546875" style="458" customWidth="1"/>
    <col min="9798" max="10010" width="11.42578125" style="458"/>
    <col min="10011" max="10011" width="13.140625" style="458" customWidth="1"/>
    <col min="10012" max="10012" width="4" style="458" customWidth="1"/>
    <col min="10013" max="10013" width="12.85546875" style="458" customWidth="1"/>
    <col min="10014" max="10014" width="14.5703125" style="458" customWidth="1"/>
    <col min="10015" max="10015" width="10" style="458" customWidth="1"/>
    <col min="10016" max="10016" width="6.42578125" style="458" customWidth="1"/>
    <col min="10017" max="10017" width="12.42578125" style="458" customWidth="1"/>
    <col min="10018" max="10018" width="8.5703125" style="458" customWidth="1"/>
    <col min="10019" max="10019" width="13.5703125" style="458" customWidth="1"/>
    <col min="10020" max="10020" width="11.5703125" style="458" customWidth="1"/>
    <col min="10021" max="10021" width="34.42578125" style="458" customWidth="1"/>
    <col min="10022" max="10022" width="24.42578125" style="458" customWidth="1"/>
    <col min="10023" max="10023" width="21.140625" style="458" customWidth="1"/>
    <col min="10024" max="10024" width="22.140625" style="458" customWidth="1"/>
    <col min="10025" max="10025" width="8" style="458" customWidth="1"/>
    <col min="10026" max="10026" width="17" style="458" customWidth="1"/>
    <col min="10027" max="10027" width="12.5703125" style="458" customWidth="1"/>
    <col min="10028" max="10028" width="24.5703125" style="458" customWidth="1"/>
    <col min="10029" max="10029" width="29" style="458" customWidth="1"/>
    <col min="10030" max="10030" width="17.5703125" style="458" customWidth="1"/>
    <col min="10031" max="10031" width="36.42578125" style="458" customWidth="1"/>
    <col min="10032" max="10032" width="21.85546875" style="458" customWidth="1"/>
    <col min="10033" max="10033" width="11.5703125" style="458" customWidth="1"/>
    <col min="10034" max="10034" width="26.42578125" style="458" customWidth="1"/>
    <col min="10035" max="10035" width="9" style="458" customWidth="1"/>
    <col min="10036" max="10036" width="6.42578125" style="458" customWidth="1"/>
    <col min="10037" max="10038" width="7.42578125" style="458" customWidth="1"/>
    <col min="10039" max="10039" width="8.42578125" style="458" customWidth="1"/>
    <col min="10040" max="10040" width="9.5703125" style="458" customWidth="1"/>
    <col min="10041" max="10041" width="6.42578125" style="458" customWidth="1"/>
    <col min="10042" max="10042" width="5.85546875" style="458" customWidth="1"/>
    <col min="10043" max="10044" width="4.42578125" style="458" customWidth="1"/>
    <col min="10045" max="10045" width="5" style="458" customWidth="1"/>
    <col min="10046" max="10046" width="5.85546875" style="458" customWidth="1"/>
    <col min="10047" max="10047" width="6.140625" style="458" customWidth="1"/>
    <col min="10048" max="10048" width="6.42578125" style="458" customWidth="1"/>
    <col min="10049" max="10049" width="11.140625" style="458" customWidth="1"/>
    <col min="10050" max="10050" width="14.140625" style="458" customWidth="1"/>
    <col min="10051" max="10051" width="19.85546875" style="458" customWidth="1"/>
    <col min="10052" max="10052" width="17" style="458" customWidth="1"/>
    <col min="10053" max="10053" width="20.85546875" style="458" customWidth="1"/>
    <col min="10054" max="10266" width="11.42578125" style="458"/>
    <col min="10267" max="10267" width="13.140625" style="458" customWidth="1"/>
    <col min="10268" max="10268" width="4" style="458" customWidth="1"/>
    <col min="10269" max="10269" width="12.85546875" style="458" customWidth="1"/>
    <col min="10270" max="10270" width="14.5703125" style="458" customWidth="1"/>
    <col min="10271" max="10271" width="10" style="458" customWidth="1"/>
    <col min="10272" max="10272" width="6.42578125" style="458" customWidth="1"/>
    <col min="10273" max="10273" width="12.42578125" style="458" customWidth="1"/>
    <col min="10274" max="10274" width="8.5703125" style="458" customWidth="1"/>
    <col min="10275" max="10275" width="13.5703125" style="458" customWidth="1"/>
    <col min="10276" max="10276" width="11.5703125" style="458" customWidth="1"/>
    <col min="10277" max="10277" width="34.42578125" style="458" customWidth="1"/>
    <col min="10278" max="10278" width="24.42578125" style="458" customWidth="1"/>
    <col min="10279" max="10279" width="21.140625" style="458" customWidth="1"/>
    <col min="10280" max="10280" width="22.140625" style="458" customWidth="1"/>
    <col min="10281" max="10281" width="8" style="458" customWidth="1"/>
    <col min="10282" max="10282" width="17" style="458" customWidth="1"/>
    <col min="10283" max="10283" width="12.5703125" style="458" customWidth="1"/>
    <col min="10284" max="10284" width="24.5703125" style="458" customWidth="1"/>
    <col min="10285" max="10285" width="29" style="458" customWidth="1"/>
    <col min="10286" max="10286" width="17.5703125" style="458" customWidth="1"/>
    <col min="10287" max="10287" width="36.42578125" style="458" customWidth="1"/>
    <col min="10288" max="10288" width="21.85546875" style="458" customWidth="1"/>
    <col min="10289" max="10289" width="11.5703125" style="458" customWidth="1"/>
    <col min="10290" max="10290" width="26.42578125" style="458" customWidth="1"/>
    <col min="10291" max="10291" width="9" style="458" customWidth="1"/>
    <col min="10292" max="10292" width="6.42578125" style="458" customWidth="1"/>
    <col min="10293" max="10294" width="7.42578125" style="458" customWidth="1"/>
    <col min="10295" max="10295" width="8.42578125" style="458" customWidth="1"/>
    <col min="10296" max="10296" width="9.5703125" style="458" customWidth="1"/>
    <col min="10297" max="10297" width="6.42578125" style="458" customWidth="1"/>
    <col min="10298" max="10298" width="5.85546875" style="458" customWidth="1"/>
    <col min="10299" max="10300" width="4.42578125" style="458" customWidth="1"/>
    <col min="10301" max="10301" width="5" style="458" customWidth="1"/>
    <col min="10302" max="10302" width="5.85546875" style="458" customWidth="1"/>
    <col min="10303" max="10303" width="6.140625" style="458" customWidth="1"/>
    <col min="10304" max="10304" width="6.42578125" style="458" customWidth="1"/>
    <col min="10305" max="10305" width="11.140625" style="458" customWidth="1"/>
    <col min="10306" max="10306" width="14.140625" style="458" customWidth="1"/>
    <col min="10307" max="10307" width="19.85546875" style="458" customWidth="1"/>
    <col min="10308" max="10308" width="17" style="458" customWidth="1"/>
    <col min="10309" max="10309" width="20.85546875" style="458" customWidth="1"/>
    <col min="10310" max="10522" width="11.42578125" style="458"/>
    <col min="10523" max="10523" width="13.140625" style="458" customWidth="1"/>
    <col min="10524" max="10524" width="4" style="458" customWidth="1"/>
    <col min="10525" max="10525" width="12.85546875" style="458" customWidth="1"/>
    <col min="10526" max="10526" width="14.5703125" style="458" customWidth="1"/>
    <col min="10527" max="10527" width="10" style="458" customWidth="1"/>
    <col min="10528" max="10528" width="6.42578125" style="458" customWidth="1"/>
    <col min="10529" max="10529" width="12.42578125" style="458" customWidth="1"/>
    <col min="10530" max="10530" width="8.5703125" style="458" customWidth="1"/>
    <col min="10531" max="10531" width="13.5703125" style="458" customWidth="1"/>
    <col min="10532" max="10532" width="11.5703125" style="458" customWidth="1"/>
    <col min="10533" max="10533" width="34.42578125" style="458" customWidth="1"/>
    <col min="10534" max="10534" width="24.42578125" style="458" customWidth="1"/>
    <col min="10535" max="10535" width="21.140625" style="458" customWidth="1"/>
    <col min="10536" max="10536" width="22.140625" style="458" customWidth="1"/>
    <col min="10537" max="10537" width="8" style="458" customWidth="1"/>
    <col min="10538" max="10538" width="17" style="458" customWidth="1"/>
    <col min="10539" max="10539" width="12.5703125" style="458" customWidth="1"/>
    <col min="10540" max="10540" width="24.5703125" style="458" customWidth="1"/>
    <col min="10541" max="10541" width="29" style="458" customWidth="1"/>
    <col min="10542" max="10542" width="17.5703125" style="458" customWidth="1"/>
    <col min="10543" max="10543" width="36.42578125" style="458" customWidth="1"/>
    <col min="10544" max="10544" width="21.85546875" style="458" customWidth="1"/>
    <col min="10545" max="10545" width="11.5703125" style="458" customWidth="1"/>
    <col min="10546" max="10546" width="26.42578125" style="458" customWidth="1"/>
    <col min="10547" max="10547" width="9" style="458" customWidth="1"/>
    <col min="10548" max="10548" width="6.42578125" style="458" customWidth="1"/>
    <col min="10549" max="10550" width="7.42578125" style="458" customWidth="1"/>
    <col min="10551" max="10551" width="8.42578125" style="458" customWidth="1"/>
    <col min="10552" max="10552" width="9.5703125" style="458" customWidth="1"/>
    <col min="10553" max="10553" width="6.42578125" style="458" customWidth="1"/>
    <col min="10554" max="10554" width="5.85546875" style="458" customWidth="1"/>
    <col min="10555" max="10556" width="4.42578125" style="458" customWidth="1"/>
    <col min="10557" max="10557" width="5" style="458" customWidth="1"/>
    <col min="10558" max="10558" width="5.85546875" style="458" customWidth="1"/>
    <col min="10559" max="10559" width="6.140625" style="458" customWidth="1"/>
    <col min="10560" max="10560" width="6.42578125" style="458" customWidth="1"/>
    <col min="10561" max="10561" width="11.140625" style="458" customWidth="1"/>
    <col min="10562" max="10562" width="14.140625" style="458" customWidth="1"/>
    <col min="10563" max="10563" width="19.85546875" style="458" customWidth="1"/>
    <col min="10564" max="10564" width="17" style="458" customWidth="1"/>
    <col min="10565" max="10565" width="20.85546875" style="458" customWidth="1"/>
    <col min="10566" max="10778" width="11.42578125" style="458"/>
    <col min="10779" max="10779" width="13.140625" style="458" customWidth="1"/>
    <col min="10780" max="10780" width="4" style="458" customWidth="1"/>
    <col min="10781" max="10781" width="12.85546875" style="458" customWidth="1"/>
    <col min="10782" max="10782" width="14.5703125" style="458" customWidth="1"/>
    <col min="10783" max="10783" width="10" style="458" customWidth="1"/>
    <col min="10784" max="10784" width="6.42578125" style="458" customWidth="1"/>
    <col min="10785" max="10785" width="12.42578125" style="458" customWidth="1"/>
    <col min="10786" max="10786" width="8.5703125" style="458" customWidth="1"/>
    <col min="10787" max="10787" width="13.5703125" style="458" customWidth="1"/>
    <col min="10788" max="10788" width="11.5703125" style="458" customWidth="1"/>
    <col min="10789" max="10789" width="34.42578125" style="458" customWidth="1"/>
    <col min="10790" max="10790" width="24.42578125" style="458" customWidth="1"/>
    <col min="10791" max="10791" width="21.140625" style="458" customWidth="1"/>
    <col min="10792" max="10792" width="22.140625" style="458" customWidth="1"/>
    <col min="10793" max="10793" width="8" style="458" customWidth="1"/>
    <col min="10794" max="10794" width="17" style="458" customWidth="1"/>
    <col min="10795" max="10795" width="12.5703125" style="458" customWidth="1"/>
    <col min="10796" max="10796" width="24.5703125" style="458" customWidth="1"/>
    <col min="10797" max="10797" width="29" style="458" customWidth="1"/>
    <col min="10798" max="10798" width="17.5703125" style="458" customWidth="1"/>
    <col min="10799" max="10799" width="36.42578125" style="458" customWidth="1"/>
    <col min="10800" max="10800" width="21.85546875" style="458" customWidth="1"/>
    <col min="10801" max="10801" width="11.5703125" style="458" customWidth="1"/>
    <col min="10802" max="10802" width="26.42578125" style="458" customWidth="1"/>
    <col min="10803" max="10803" width="9" style="458" customWidth="1"/>
    <col min="10804" max="10804" width="6.42578125" style="458" customWidth="1"/>
    <col min="10805" max="10806" width="7.42578125" style="458" customWidth="1"/>
    <col min="10807" max="10807" width="8.42578125" style="458" customWidth="1"/>
    <col min="10808" max="10808" width="9.5703125" style="458" customWidth="1"/>
    <col min="10809" max="10809" width="6.42578125" style="458" customWidth="1"/>
    <col min="10810" max="10810" width="5.85546875" style="458" customWidth="1"/>
    <col min="10811" max="10812" width="4.42578125" style="458" customWidth="1"/>
    <col min="10813" max="10813" width="5" style="458" customWidth="1"/>
    <col min="10814" max="10814" width="5.85546875" style="458" customWidth="1"/>
    <col min="10815" max="10815" width="6.140625" style="458" customWidth="1"/>
    <col min="10816" max="10816" width="6.42578125" style="458" customWidth="1"/>
    <col min="10817" max="10817" width="11.140625" style="458" customWidth="1"/>
    <col min="10818" max="10818" width="14.140625" style="458" customWidth="1"/>
    <col min="10819" max="10819" width="19.85546875" style="458" customWidth="1"/>
    <col min="10820" max="10820" width="17" style="458" customWidth="1"/>
    <col min="10821" max="10821" width="20.85546875" style="458" customWidth="1"/>
    <col min="10822" max="11034" width="11.42578125" style="458"/>
    <col min="11035" max="11035" width="13.140625" style="458" customWidth="1"/>
    <col min="11036" max="11036" width="4" style="458" customWidth="1"/>
    <col min="11037" max="11037" width="12.85546875" style="458" customWidth="1"/>
    <col min="11038" max="11038" width="14.5703125" style="458" customWidth="1"/>
    <col min="11039" max="11039" width="10" style="458" customWidth="1"/>
    <col min="11040" max="11040" width="6.42578125" style="458" customWidth="1"/>
    <col min="11041" max="11041" width="12.42578125" style="458" customWidth="1"/>
    <col min="11042" max="11042" width="8.5703125" style="458" customWidth="1"/>
    <col min="11043" max="11043" width="13.5703125" style="458" customWidth="1"/>
    <col min="11044" max="11044" width="11.5703125" style="458" customWidth="1"/>
    <col min="11045" max="11045" width="34.42578125" style="458" customWidth="1"/>
    <col min="11046" max="11046" width="24.42578125" style="458" customWidth="1"/>
    <col min="11047" max="11047" width="21.140625" style="458" customWidth="1"/>
    <col min="11048" max="11048" width="22.140625" style="458" customWidth="1"/>
    <col min="11049" max="11049" width="8" style="458" customWidth="1"/>
    <col min="11050" max="11050" width="17" style="458" customWidth="1"/>
    <col min="11051" max="11051" width="12.5703125" style="458" customWidth="1"/>
    <col min="11052" max="11052" width="24.5703125" style="458" customWidth="1"/>
    <col min="11053" max="11053" width="29" style="458" customWidth="1"/>
    <col min="11054" max="11054" width="17.5703125" style="458" customWidth="1"/>
    <col min="11055" max="11055" width="36.42578125" style="458" customWidth="1"/>
    <col min="11056" max="11056" width="21.85546875" style="458" customWidth="1"/>
    <col min="11057" max="11057" width="11.5703125" style="458" customWidth="1"/>
    <col min="11058" max="11058" width="26.42578125" style="458" customWidth="1"/>
    <col min="11059" max="11059" width="9" style="458" customWidth="1"/>
    <col min="11060" max="11060" width="6.42578125" style="458" customWidth="1"/>
    <col min="11061" max="11062" width="7.42578125" style="458" customWidth="1"/>
    <col min="11063" max="11063" width="8.42578125" style="458" customWidth="1"/>
    <col min="11064" max="11064" width="9.5703125" style="458" customWidth="1"/>
    <col min="11065" max="11065" width="6.42578125" style="458" customWidth="1"/>
    <col min="11066" max="11066" width="5.85546875" style="458" customWidth="1"/>
    <col min="11067" max="11068" width="4.42578125" style="458" customWidth="1"/>
    <col min="11069" max="11069" width="5" style="458" customWidth="1"/>
    <col min="11070" max="11070" width="5.85546875" style="458" customWidth="1"/>
    <col min="11071" max="11071" width="6.140625" style="458" customWidth="1"/>
    <col min="11072" max="11072" width="6.42578125" style="458" customWidth="1"/>
    <col min="11073" max="11073" width="11.140625" style="458" customWidth="1"/>
    <col min="11074" max="11074" width="14.140625" style="458" customWidth="1"/>
    <col min="11075" max="11075" width="19.85546875" style="458" customWidth="1"/>
    <col min="11076" max="11076" width="17" style="458" customWidth="1"/>
    <col min="11077" max="11077" width="20.85546875" style="458" customWidth="1"/>
    <col min="11078" max="11290" width="11.42578125" style="458"/>
    <col min="11291" max="11291" width="13.140625" style="458" customWidth="1"/>
    <col min="11292" max="11292" width="4" style="458" customWidth="1"/>
    <col min="11293" max="11293" width="12.85546875" style="458" customWidth="1"/>
    <col min="11294" max="11294" width="14.5703125" style="458" customWidth="1"/>
    <col min="11295" max="11295" width="10" style="458" customWidth="1"/>
    <col min="11296" max="11296" width="6.42578125" style="458" customWidth="1"/>
    <col min="11297" max="11297" width="12.42578125" style="458" customWidth="1"/>
    <col min="11298" max="11298" width="8.5703125" style="458" customWidth="1"/>
    <col min="11299" max="11299" width="13.5703125" style="458" customWidth="1"/>
    <col min="11300" max="11300" width="11.5703125" style="458" customWidth="1"/>
    <col min="11301" max="11301" width="34.42578125" style="458" customWidth="1"/>
    <col min="11302" max="11302" width="24.42578125" style="458" customWidth="1"/>
    <col min="11303" max="11303" width="21.140625" style="458" customWidth="1"/>
    <col min="11304" max="11304" width="22.140625" style="458" customWidth="1"/>
    <col min="11305" max="11305" width="8" style="458" customWidth="1"/>
    <col min="11306" max="11306" width="17" style="458" customWidth="1"/>
    <col min="11307" max="11307" width="12.5703125" style="458" customWidth="1"/>
    <col min="11308" max="11308" width="24.5703125" style="458" customWidth="1"/>
    <col min="11309" max="11309" width="29" style="458" customWidth="1"/>
    <col min="11310" max="11310" width="17.5703125" style="458" customWidth="1"/>
    <col min="11311" max="11311" width="36.42578125" style="458" customWidth="1"/>
    <col min="11312" max="11312" width="21.85546875" style="458" customWidth="1"/>
    <col min="11313" max="11313" width="11.5703125" style="458" customWidth="1"/>
    <col min="11314" max="11314" width="26.42578125" style="458" customWidth="1"/>
    <col min="11315" max="11315" width="9" style="458" customWidth="1"/>
    <col min="11316" max="11316" width="6.42578125" style="458" customWidth="1"/>
    <col min="11317" max="11318" width="7.42578125" style="458" customWidth="1"/>
    <col min="11319" max="11319" width="8.42578125" style="458" customWidth="1"/>
    <col min="11320" max="11320" width="9.5703125" style="458" customWidth="1"/>
    <col min="11321" max="11321" width="6.42578125" style="458" customWidth="1"/>
    <col min="11322" max="11322" width="5.85546875" style="458" customWidth="1"/>
    <col min="11323" max="11324" width="4.42578125" style="458" customWidth="1"/>
    <col min="11325" max="11325" width="5" style="458" customWidth="1"/>
    <col min="11326" max="11326" width="5.85546875" style="458" customWidth="1"/>
    <col min="11327" max="11327" width="6.140625" style="458" customWidth="1"/>
    <col min="11328" max="11328" width="6.42578125" style="458" customWidth="1"/>
    <col min="11329" max="11329" width="11.140625" style="458" customWidth="1"/>
    <col min="11330" max="11330" width="14.140625" style="458" customWidth="1"/>
    <col min="11331" max="11331" width="19.85546875" style="458" customWidth="1"/>
    <col min="11332" max="11332" width="17" style="458" customWidth="1"/>
    <col min="11333" max="11333" width="20.85546875" style="458" customWidth="1"/>
    <col min="11334" max="11546" width="11.42578125" style="458"/>
    <col min="11547" max="11547" width="13.140625" style="458" customWidth="1"/>
    <col min="11548" max="11548" width="4" style="458" customWidth="1"/>
    <col min="11549" max="11549" width="12.85546875" style="458" customWidth="1"/>
    <col min="11550" max="11550" width="14.5703125" style="458" customWidth="1"/>
    <col min="11551" max="11551" width="10" style="458" customWidth="1"/>
    <col min="11552" max="11552" width="6.42578125" style="458" customWidth="1"/>
    <col min="11553" max="11553" width="12.42578125" style="458" customWidth="1"/>
    <col min="11554" max="11554" width="8.5703125" style="458" customWidth="1"/>
    <col min="11555" max="11555" width="13.5703125" style="458" customWidth="1"/>
    <col min="11556" max="11556" width="11.5703125" style="458" customWidth="1"/>
    <col min="11557" max="11557" width="34.42578125" style="458" customWidth="1"/>
    <col min="11558" max="11558" width="24.42578125" style="458" customWidth="1"/>
    <col min="11559" max="11559" width="21.140625" style="458" customWidth="1"/>
    <col min="11560" max="11560" width="22.140625" style="458" customWidth="1"/>
    <col min="11561" max="11561" width="8" style="458" customWidth="1"/>
    <col min="11562" max="11562" width="17" style="458" customWidth="1"/>
    <col min="11563" max="11563" width="12.5703125" style="458" customWidth="1"/>
    <col min="11564" max="11564" width="24.5703125" style="458" customWidth="1"/>
    <col min="11565" max="11565" width="29" style="458" customWidth="1"/>
    <col min="11566" max="11566" width="17.5703125" style="458" customWidth="1"/>
    <col min="11567" max="11567" width="36.42578125" style="458" customWidth="1"/>
    <col min="11568" max="11568" width="21.85546875" style="458" customWidth="1"/>
    <col min="11569" max="11569" width="11.5703125" style="458" customWidth="1"/>
    <col min="11570" max="11570" width="26.42578125" style="458" customWidth="1"/>
    <col min="11571" max="11571" width="9" style="458" customWidth="1"/>
    <col min="11572" max="11572" width="6.42578125" style="458" customWidth="1"/>
    <col min="11573" max="11574" width="7.42578125" style="458" customWidth="1"/>
    <col min="11575" max="11575" width="8.42578125" style="458" customWidth="1"/>
    <col min="11576" max="11576" width="9.5703125" style="458" customWidth="1"/>
    <col min="11577" max="11577" width="6.42578125" style="458" customWidth="1"/>
    <col min="11578" max="11578" width="5.85546875" style="458" customWidth="1"/>
    <col min="11579" max="11580" width="4.42578125" style="458" customWidth="1"/>
    <col min="11581" max="11581" width="5" style="458" customWidth="1"/>
    <col min="11582" max="11582" width="5.85546875" style="458" customWidth="1"/>
    <col min="11583" max="11583" width="6.140625" style="458" customWidth="1"/>
    <col min="11584" max="11584" width="6.42578125" style="458" customWidth="1"/>
    <col min="11585" max="11585" width="11.140625" style="458" customWidth="1"/>
    <col min="11586" max="11586" width="14.140625" style="458" customWidth="1"/>
    <col min="11587" max="11587" width="19.85546875" style="458" customWidth="1"/>
    <col min="11588" max="11588" width="17" style="458" customWidth="1"/>
    <col min="11589" max="11589" width="20.85546875" style="458" customWidth="1"/>
    <col min="11590" max="11802" width="11.42578125" style="458"/>
    <col min="11803" max="11803" width="13.140625" style="458" customWidth="1"/>
    <col min="11804" max="11804" width="4" style="458" customWidth="1"/>
    <col min="11805" max="11805" width="12.85546875" style="458" customWidth="1"/>
    <col min="11806" max="11806" width="14.5703125" style="458" customWidth="1"/>
    <col min="11807" max="11807" width="10" style="458" customWidth="1"/>
    <col min="11808" max="11808" width="6.42578125" style="458" customWidth="1"/>
    <col min="11809" max="11809" width="12.42578125" style="458" customWidth="1"/>
    <col min="11810" max="11810" width="8.5703125" style="458" customWidth="1"/>
    <col min="11811" max="11811" width="13.5703125" style="458" customWidth="1"/>
    <col min="11812" max="11812" width="11.5703125" style="458" customWidth="1"/>
    <col min="11813" max="11813" width="34.42578125" style="458" customWidth="1"/>
    <col min="11814" max="11814" width="24.42578125" style="458" customWidth="1"/>
    <col min="11815" max="11815" width="21.140625" style="458" customWidth="1"/>
    <col min="11816" max="11816" width="22.140625" style="458" customWidth="1"/>
    <col min="11817" max="11817" width="8" style="458" customWidth="1"/>
    <col min="11818" max="11818" width="17" style="458" customWidth="1"/>
    <col min="11819" max="11819" width="12.5703125" style="458" customWidth="1"/>
    <col min="11820" max="11820" width="24.5703125" style="458" customWidth="1"/>
    <col min="11821" max="11821" width="29" style="458" customWidth="1"/>
    <col min="11822" max="11822" width="17.5703125" style="458" customWidth="1"/>
    <col min="11823" max="11823" width="36.42578125" style="458" customWidth="1"/>
    <col min="11824" max="11824" width="21.85546875" style="458" customWidth="1"/>
    <col min="11825" max="11825" width="11.5703125" style="458" customWidth="1"/>
    <col min="11826" max="11826" width="26.42578125" style="458" customWidth="1"/>
    <col min="11827" max="11827" width="9" style="458" customWidth="1"/>
    <col min="11828" max="11828" width="6.42578125" style="458" customWidth="1"/>
    <col min="11829" max="11830" width="7.42578125" style="458" customWidth="1"/>
    <col min="11831" max="11831" width="8.42578125" style="458" customWidth="1"/>
    <col min="11832" max="11832" width="9.5703125" style="458" customWidth="1"/>
    <col min="11833" max="11833" width="6.42578125" style="458" customWidth="1"/>
    <col min="11834" max="11834" width="5.85546875" style="458" customWidth="1"/>
    <col min="11835" max="11836" width="4.42578125" style="458" customWidth="1"/>
    <col min="11837" max="11837" width="5" style="458" customWidth="1"/>
    <col min="11838" max="11838" width="5.85546875" style="458" customWidth="1"/>
    <col min="11839" max="11839" width="6.140625" style="458" customWidth="1"/>
    <col min="11840" max="11840" width="6.42578125" style="458" customWidth="1"/>
    <col min="11841" max="11841" width="11.140625" style="458" customWidth="1"/>
    <col min="11842" max="11842" width="14.140625" style="458" customWidth="1"/>
    <col min="11843" max="11843" width="19.85546875" style="458" customWidth="1"/>
    <col min="11844" max="11844" width="17" style="458" customWidth="1"/>
    <col min="11845" max="11845" width="20.85546875" style="458" customWidth="1"/>
    <col min="11846" max="12058" width="11.42578125" style="458"/>
    <col min="12059" max="12059" width="13.140625" style="458" customWidth="1"/>
    <col min="12060" max="12060" width="4" style="458" customWidth="1"/>
    <col min="12061" max="12061" width="12.85546875" style="458" customWidth="1"/>
    <col min="12062" max="12062" width="14.5703125" style="458" customWidth="1"/>
    <col min="12063" max="12063" width="10" style="458" customWidth="1"/>
    <col min="12064" max="12064" width="6.42578125" style="458" customWidth="1"/>
    <col min="12065" max="12065" width="12.42578125" style="458" customWidth="1"/>
    <col min="12066" max="12066" width="8.5703125" style="458" customWidth="1"/>
    <col min="12067" max="12067" width="13.5703125" style="458" customWidth="1"/>
    <col min="12068" max="12068" width="11.5703125" style="458" customWidth="1"/>
    <col min="12069" max="12069" width="34.42578125" style="458" customWidth="1"/>
    <col min="12070" max="12070" width="24.42578125" style="458" customWidth="1"/>
    <col min="12071" max="12071" width="21.140625" style="458" customWidth="1"/>
    <col min="12072" max="12072" width="22.140625" style="458" customWidth="1"/>
    <col min="12073" max="12073" width="8" style="458" customWidth="1"/>
    <col min="12074" max="12074" width="17" style="458" customWidth="1"/>
    <col min="12075" max="12075" width="12.5703125" style="458" customWidth="1"/>
    <col min="12076" max="12076" width="24.5703125" style="458" customWidth="1"/>
    <col min="12077" max="12077" width="29" style="458" customWidth="1"/>
    <col min="12078" max="12078" width="17.5703125" style="458" customWidth="1"/>
    <col min="12079" max="12079" width="36.42578125" style="458" customWidth="1"/>
    <col min="12080" max="12080" width="21.85546875" style="458" customWidth="1"/>
    <col min="12081" max="12081" width="11.5703125" style="458" customWidth="1"/>
    <col min="12082" max="12082" width="26.42578125" style="458" customWidth="1"/>
    <col min="12083" max="12083" width="9" style="458" customWidth="1"/>
    <col min="12084" max="12084" width="6.42578125" style="458" customWidth="1"/>
    <col min="12085" max="12086" width="7.42578125" style="458" customWidth="1"/>
    <col min="12087" max="12087" width="8.42578125" style="458" customWidth="1"/>
    <col min="12088" max="12088" width="9.5703125" style="458" customWidth="1"/>
    <col min="12089" max="12089" width="6.42578125" style="458" customWidth="1"/>
    <col min="12090" max="12090" width="5.85546875" style="458" customWidth="1"/>
    <col min="12091" max="12092" width="4.42578125" style="458" customWidth="1"/>
    <col min="12093" max="12093" width="5" style="458" customWidth="1"/>
    <col min="12094" max="12094" width="5.85546875" style="458" customWidth="1"/>
    <col min="12095" max="12095" width="6.140625" style="458" customWidth="1"/>
    <col min="12096" max="12096" width="6.42578125" style="458" customWidth="1"/>
    <col min="12097" max="12097" width="11.140625" style="458" customWidth="1"/>
    <col min="12098" max="12098" width="14.140625" style="458" customWidth="1"/>
    <col min="12099" max="12099" width="19.85546875" style="458" customWidth="1"/>
    <col min="12100" max="12100" width="17" style="458" customWidth="1"/>
    <col min="12101" max="12101" width="20.85546875" style="458" customWidth="1"/>
    <col min="12102" max="12314" width="11.42578125" style="458"/>
    <col min="12315" max="12315" width="13.140625" style="458" customWidth="1"/>
    <col min="12316" max="12316" width="4" style="458" customWidth="1"/>
    <col min="12317" max="12317" width="12.85546875" style="458" customWidth="1"/>
    <col min="12318" max="12318" width="14.5703125" style="458" customWidth="1"/>
    <col min="12319" max="12319" width="10" style="458" customWidth="1"/>
    <col min="12320" max="12320" width="6.42578125" style="458" customWidth="1"/>
    <col min="12321" max="12321" width="12.42578125" style="458" customWidth="1"/>
    <col min="12322" max="12322" width="8.5703125" style="458" customWidth="1"/>
    <col min="12323" max="12323" width="13.5703125" style="458" customWidth="1"/>
    <col min="12324" max="12324" width="11.5703125" style="458" customWidth="1"/>
    <col min="12325" max="12325" width="34.42578125" style="458" customWidth="1"/>
    <col min="12326" max="12326" width="24.42578125" style="458" customWidth="1"/>
    <col min="12327" max="12327" width="21.140625" style="458" customWidth="1"/>
    <col min="12328" max="12328" width="22.140625" style="458" customWidth="1"/>
    <col min="12329" max="12329" width="8" style="458" customWidth="1"/>
    <col min="12330" max="12330" width="17" style="458" customWidth="1"/>
    <col min="12331" max="12331" width="12.5703125" style="458" customWidth="1"/>
    <col min="12332" max="12332" width="24.5703125" style="458" customWidth="1"/>
    <col min="12333" max="12333" width="29" style="458" customWidth="1"/>
    <col min="12334" max="12334" width="17.5703125" style="458" customWidth="1"/>
    <col min="12335" max="12335" width="36.42578125" style="458" customWidth="1"/>
    <col min="12336" max="12336" width="21.85546875" style="458" customWidth="1"/>
    <col min="12337" max="12337" width="11.5703125" style="458" customWidth="1"/>
    <col min="12338" max="12338" width="26.42578125" style="458" customWidth="1"/>
    <col min="12339" max="12339" width="9" style="458" customWidth="1"/>
    <col min="12340" max="12340" width="6.42578125" style="458" customWidth="1"/>
    <col min="12341" max="12342" width="7.42578125" style="458" customWidth="1"/>
    <col min="12343" max="12343" width="8.42578125" style="458" customWidth="1"/>
    <col min="12344" max="12344" width="9.5703125" style="458" customWidth="1"/>
    <col min="12345" max="12345" width="6.42578125" style="458" customWidth="1"/>
    <col min="12346" max="12346" width="5.85546875" style="458" customWidth="1"/>
    <col min="12347" max="12348" width="4.42578125" style="458" customWidth="1"/>
    <col min="12349" max="12349" width="5" style="458" customWidth="1"/>
    <col min="12350" max="12350" width="5.85546875" style="458" customWidth="1"/>
    <col min="12351" max="12351" width="6.140625" style="458" customWidth="1"/>
    <col min="12352" max="12352" width="6.42578125" style="458" customWidth="1"/>
    <col min="12353" max="12353" width="11.140625" style="458" customWidth="1"/>
    <col min="12354" max="12354" width="14.140625" style="458" customWidth="1"/>
    <col min="12355" max="12355" width="19.85546875" style="458" customWidth="1"/>
    <col min="12356" max="12356" width="17" style="458" customWidth="1"/>
    <col min="12357" max="12357" width="20.85546875" style="458" customWidth="1"/>
    <col min="12358" max="12570" width="11.42578125" style="458"/>
    <col min="12571" max="12571" width="13.140625" style="458" customWidth="1"/>
    <col min="12572" max="12572" width="4" style="458" customWidth="1"/>
    <col min="12573" max="12573" width="12.85546875" style="458" customWidth="1"/>
    <col min="12574" max="12574" width="14.5703125" style="458" customWidth="1"/>
    <col min="12575" max="12575" width="10" style="458" customWidth="1"/>
    <col min="12576" max="12576" width="6.42578125" style="458" customWidth="1"/>
    <col min="12577" max="12577" width="12.42578125" style="458" customWidth="1"/>
    <col min="12578" max="12578" width="8.5703125" style="458" customWidth="1"/>
    <col min="12579" max="12579" width="13.5703125" style="458" customWidth="1"/>
    <col min="12580" max="12580" width="11.5703125" style="458" customWidth="1"/>
    <col min="12581" max="12581" width="34.42578125" style="458" customWidth="1"/>
    <col min="12582" max="12582" width="24.42578125" style="458" customWidth="1"/>
    <col min="12583" max="12583" width="21.140625" style="458" customWidth="1"/>
    <col min="12584" max="12584" width="22.140625" style="458" customWidth="1"/>
    <col min="12585" max="12585" width="8" style="458" customWidth="1"/>
    <col min="12586" max="12586" width="17" style="458" customWidth="1"/>
    <col min="12587" max="12587" width="12.5703125" style="458" customWidth="1"/>
    <col min="12588" max="12588" width="24.5703125" style="458" customWidth="1"/>
    <col min="12589" max="12589" width="29" style="458" customWidth="1"/>
    <col min="12590" max="12590" width="17.5703125" style="458" customWidth="1"/>
    <col min="12591" max="12591" width="36.42578125" style="458" customWidth="1"/>
    <col min="12592" max="12592" width="21.85546875" style="458" customWidth="1"/>
    <col min="12593" max="12593" width="11.5703125" style="458" customWidth="1"/>
    <col min="12594" max="12594" width="26.42578125" style="458" customWidth="1"/>
    <col min="12595" max="12595" width="9" style="458" customWidth="1"/>
    <col min="12596" max="12596" width="6.42578125" style="458" customWidth="1"/>
    <col min="12597" max="12598" width="7.42578125" style="458" customWidth="1"/>
    <col min="12599" max="12599" width="8.42578125" style="458" customWidth="1"/>
    <col min="12600" max="12600" width="9.5703125" style="458" customWidth="1"/>
    <col min="12601" max="12601" width="6.42578125" style="458" customWidth="1"/>
    <col min="12602" max="12602" width="5.85546875" style="458" customWidth="1"/>
    <col min="12603" max="12604" width="4.42578125" style="458" customWidth="1"/>
    <col min="12605" max="12605" width="5" style="458" customWidth="1"/>
    <col min="12606" max="12606" width="5.85546875" style="458" customWidth="1"/>
    <col min="12607" max="12607" width="6.140625" style="458" customWidth="1"/>
    <col min="12608" max="12608" width="6.42578125" style="458" customWidth="1"/>
    <col min="12609" max="12609" width="11.140625" style="458" customWidth="1"/>
    <col min="12610" max="12610" width="14.140625" style="458" customWidth="1"/>
    <col min="12611" max="12611" width="19.85546875" style="458" customWidth="1"/>
    <col min="12612" max="12612" width="17" style="458" customWidth="1"/>
    <col min="12613" max="12613" width="20.85546875" style="458" customWidth="1"/>
    <col min="12614" max="12826" width="11.42578125" style="458"/>
    <col min="12827" max="12827" width="13.140625" style="458" customWidth="1"/>
    <col min="12828" max="12828" width="4" style="458" customWidth="1"/>
    <col min="12829" max="12829" width="12.85546875" style="458" customWidth="1"/>
    <col min="12830" max="12830" width="14.5703125" style="458" customWidth="1"/>
    <col min="12831" max="12831" width="10" style="458" customWidth="1"/>
    <col min="12832" max="12832" width="6.42578125" style="458" customWidth="1"/>
    <col min="12833" max="12833" width="12.42578125" style="458" customWidth="1"/>
    <col min="12834" max="12834" width="8.5703125" style="458" customWidth="1"/>
    <col min="12835" max="12835" width="13.5703125" style="458" customWidth="1"/>
    <col min="12836" max="12836" width="11.5703125" style="458" customWidth="1"/>
    <col min="12837" max="12837" width="34.42578125" style="458" customWidth="1"/>
    <col min="12838" max="12838" width="24.42578125" style="458" customWidth="1"/>
    <col min="12839" max="12839" width="21.140625" style="458" customWidth="1"/>
    <col min="12840" max="12840" width="22.140625" style="458" customWidth="1"/>
    <col min="12841" max="12841" width="8" style="458" customWidth="1"/>
    <col min="12842" max="12842" width="17" style="458" customWidth="1"/>
    <col min="12843" max="12843" width="12.5703125" style="458" customWidth="1"/>
    <col min="12844" max="12844" width="24.5703125" style="458" customWidth="1"/>
    <col min="12845" max="12845" width="29" style="458" customWidth="1"/>
    <col min="12846" max="12846" width="17.5703125" style="458" customWidth="1"/>
    <col min="12847" max="12847" width="36.42578125" style="458" customWidth="1"/>
    <col min="12848" max="12848" width="21.85546875" style="458" customWidth="1"/>
    <col min="12849" max="12849" width="11.5703125" style="458" customWidth="1"/>
    <col min="12850" max="12850" width="26.42578125" style="458" customWidth="1"/>
    <col min="12851" max="12851" width="9" style="458" customWidth="1"/>
    <col min="12852" max="12852" width="6.42578125" style="458" customWidth="1"/>
    <col min="12853" max="12854" width="7.42578125" style="458" customWidth="1"/>
    <col min="12855" max="12855" width="8.42578125" style="458" customWidth="1"/>
    <col min="12856" max="12856" width="9.5703125" style="458" customWidth="1"/>
    <col min="12857" max="12857" width="6.42578125" style="458" customWidth="1"/>
    <col min="12858" max="12858" width="5.85546875" style="458" customWidth="1"/>
    <col min="12859" max="12860" width="4.42578125" style="458" customWidth="1"/>
    <col min="12861" max="12861" width="5" style="458" customWidth="1"/>
    <col min="12862" max="12862" width="5.85546875" style="458" customWidth="1"/>
    <col min="12863" max="12863" width="6.140625" style="458" customWidth="1"/>
    <col min="12864" max="12864" width="6.42578125" style="458" customWidth="1"/>
    <col min="12865" max="12865" width="11.140625" style="458" customWidth="1"/>
    <col min="12866" max="12866" width="14.140625" style="458" customWidth="1"/>
    <col min="12867" max="12867" width="19.85546875" style="458" customWidth="1"/>
    <col min="12868" max="12868" width="17" style="458" customWidth="1"/>
    <col min="12869" max="12869" width="20.85546875" style="458" customWidth="1"/>
    <col min="12870" max="13082" width="11.42578125" style="458"/>
    <col min="13083" max="13083" width="13.140625" style="458" customWidth="1"/>
    <col min="13084" max="13084" width="4" style="458" customWidth="1"/>
    <col min="13085" max="13085" width="12.85546875" style="458" customWidth="1"/>
    <col min="13086" max="13086" width="14.5703125" style="458" customWidth="1"/>
    <col min="13087" max="13087" width="10" style="458" customWidth="1"/>
    <col min="13088" max="13088" width="6.42578125" style="458" customWidth="1"/>
    <col min="13089" max="13089" width="12.42578125" style="458" customWidth="1"/>
    <col min="13090" max="13090" width="8.5703125" style="458" customWidth="1"/>
    <col min="13091" max="13091" width="13.5703125" style="458" customWidth="1"/>
    <col min="13092" max="13092" width="11.5703125" style="458" customWidth="1"/>
    <col min="13093" max="13093" width="34.42578125" style="458" customWidth="1"/>
    <col min="13094" max="13094" width="24.42578125" style="458" customWidth="1"/>
    <col min="13095" max="13095" width="21.140625" style="458" customWidth="1"/>
    <col min="13096" max="13096" width="22.140625" style="458" customWidth="1"/>
    <col min="13097" max="13097" width="8" style="458" customWidth="1"/>
    <col min="13098" max="13098" width="17" style="458" customWidth="1"/>
    <col min="13099" max="13099" width="12.5703125" style="458" customWidth="1"/>
    <col min="13100" max="13100" width="24.5703125" style="458" customWidth="1"/>
    <col min="13101" max="13101" width="29" style="458" customWidth="1"/>
    <col min="13102" max="13102" width="17.5703125" style="458" customWidth="1"/>
    <col min="13103" max="13103" width="36.42578125" style="458" customWidth="1"/>
    <col min="13104" max="13104" width="21.85546875" style="458" customWidth="1"/>
    <col min="13105" max="13105" width="11.5703125" style="458" customWidth="1"/>
    <col min="13106" max="13106" width="26.42578125" style="458" customWidth="1"/>
    <col min="13107" max="13107" width="9" style="458" customWidth="1"/>
    <col min="13108" max="13108" width="6.42578125" style="458" customWidth="1"/>
    <col min="13109" max="13110" width="7.42578125" style="458" customWidth="1"/>
    <col min="13111" max="13111" width="8.42578125" style="458" customWidth="1"/>
    <col min="13112" max="13112" width="9.5703125" style="458" customWidth="1"/>
    <col min="13113" max="13113" width="6.42578125" style="458" customWidth="1"/>
    <col min="13114" max="13114" width="5.85546875" style="458" customWidth="1"/>
    <col min="13115" max="13116" width="4.42578125" style="458" customWidth="1"/>
    <col min="13117" max="13117" width="5" style="458" customWidth="1"/>
    <col min="13118" max="13118" width="5.85546875" style="458" customWidth="1"/>
    <col min="13119" max="13119" width="6.140625" style="458" customWidth="1"/>
    <col min="13120" max="13120" width="6.42578125" style="458" customWidth="1"/>
    <col min="13121" max="13121" width="11.140625" style="458" customWidth="1"/>
    <col min="13122" max="13122" width="14.140625" style="458" customWidth="1"/>
    <col min="13123" max="13123" width="19.85546875" style="458" customWidth="1"/>
    <col min="13124" max="13124" width="17" style="458" customWidth="1"/>
    <col min="13125" max="13125" width="20.85546875" style="458" customWidth="1"/>
    <col min="13126" max="13338" width="11.42578125" style="458"/>
    <col min="13339" max="13339" width="13.140625" style="458" customWidth="1"/>
    <col min="13340" max="13340" width="4" style="458" customWidth="1"/>
    <col min="13341" max="13341" width="12.85546875" style="458" customWidth="1"/>
    <col min="13342" max="13342" width="14.5703125" style="458" customWidth="1"/>
    <col min="13343" max="13343" width="10" style="458" customWidth="1"/>
    <col min="13344" max="13344" width="6.42578125" style="458" customWidth="1"/>
    <col min="13345" max="13345" width="12.42578125" style="458" customWidth="1"/>
    <col min="13346" max="13346" width="8.5703125" style="458" customWidth="1"/>
    <col min="13347" max="13347" width="13.5703125" style="458" customWidth="1"/>
    <col min="13348" max="13348" width="11.5703125" style="458" customWidth="1"/>
    <col min="13349" max="13349" width="34.42578125" style="458" customWidth="1"/>
    <col min="13350" max="13350" width="24.42578125" style="458" customWidth="1"/>
    <col min="13351" max="13351" width="21.140625" style="458" customWidth="1"/>
    <col min="13352" max="13352" width="22.140625" style="458" customWidth="1"/>
    <col min="13353" max="13353" width="8" style="458" customWidth="1"/>
    <col min="13354" max="13354" width="17" style="458" customWidth="1"/>
    <col min="13355" max="13355" width="12.5703125" style="458" customWidth="1"/>
    <col min="13356" max="13356" width="24.5703125" style="458" customWidth="1"/>
    <col min="13357" max="13357" width="29" style="458" customWidth="1"/>
    <col min="13358" max="13358" width="17.5703125" style="458" customWidth="1"/>
    <col min="13359" max="13359" width="36.42578125" style="458" customWidth="1"/>
    <col min="13360" max="13360" width="21.85546875" style="458" customWidth="1"/>
    <col min="13361" max="13361" width="11.5703125" style="458" customWidth="1"/>
    <col min="13362" max="13362" width="26.42578125" style="458" customWidth="1"/>
    <col min="13363" max="13363" width="9" style="458" customWidth="1"/>
    <col min="13364" max="13364" width="6.42578125" style="458" customWidth="1"/>
    <col min="13365" max="13366" width="7.42578125" style="458" customWidth="1"/>
    <col min="13367" max="13367" width="8.42578125" style="458" customWidth="1"/>
    <col min="13368" max="13368" width="9.5703125" style="458" customWidth="1"/>
    <col min="13369" max="13369" width="6.42578125" style="458" customWidth="1"/>
    <col min="13370" max="13370" width="5.85546875" style="458" customWidth="1"/>
    <col min="13371" max="13372" width="4.42578125" style="458" customWidth="1"/>
    <col min="13373" max="13373" width="5" style="458" customWidth="1"/>
    <col min="13374" max="13374" width="5.85546875" style="458" customWidth="1"/>
    <col min="13375" max="13375" width="6.140625" style="458" customWidth="1"/>
    <col min="13376" max="13376" width="6.42578125" style="458" customWidth="1"/>
    <col min="13377" max="13377" width="11.140625" style="458" customWidth="1"/>
    <col min="13378" max="13378" width="14.140625" style="458" customWidth="1"/>
    <col min="13379" max="13379" width="19.85546875" style="458" customWidth="1"/>
    <col min="13380" max="13380" width="17" style="458" customWidth="1"/>
    <col min="13381" max="13381" width="20.85546875" style="458" customWidth="1"/>
    <col min="13382" max="13594" width="11.42578125" style="458"/>
    <col min="13595" max="13595" width="13.140625" style="458" customWidth="1"/>
    <col min="13596" max="13596" width="4" style="458" customWidth="1"/>
    <col min="13597" max="13597" width="12.85546875" style="458" customWidth="1"/>
    <col min="13598" max="13598" width="14.5703125" style="458" customWidth="1"/>
    <col min="13599" max="13599" width="10" style="458" customWidth="1"/>
    <col min="13600" max="13600" width="6.42578125" style="458" customWidth="1"/>
    <col min="13601" max="13601" width="12.42578125" style="458" customWidth="1"/>
    <col min="13602" max="13602" width="8.5703125" style="458" customWidth="1"/>
    <col min="13603" max="13603" width="13.5703125" style="458" customWidth="1"/>
    <col min="13604" max="13604" width="11.5703125" style="458" customWidth="1"/>
    <col min="13605" max="13605" width="34.42578125" style="458" customWidth="1"/>
    <col min="13606" max="13606" width="24.42578125" style="458" customWidth="1"/>
    <col min="13607" max="13607" width="21.140625" style="458" customWidth="1"/>
    <col min="13608" max="13608" width="22.140625" style="458" customWidth="1"/>
    <col min="13609" max="13609" width="8" style="458" customWidth="1"/>
    <col min="13610" max="13610" width="17" style="458" customWidth="1"/>
    <col min="13611" max="13611" width="12.5703125" style="458" customWidth="1"/>
    <col min="13612" max="13612" width="24.5703125" style="458" customWidth="1"/>
    <col min="13613" max="13613" width="29" style="458" customWidth="1"/>
    <col min="13614" max="13614" width="17.5703125" style="458" customWidth="1"/>
    <col min="13615" max="13615" width="36.42578125" style="458" customWidth="1"/>
    <col min="13616" max="13616" width="21.85546875" style="458" customWidth="1"/>
    <col min="13617" max="13617" width="11.5703125" style="458" customWidth="1"/>
    <col min="13618" max="13618" width="26.42578125" style="458" customWidth="1"/>
    <col min="13619" max="13619" width="9" style="458" customWidth="1"/>
    <col min="13620" max="13620" width="6.42578125" style="458" customWidth="1"/>
    <col min="13621" max="13622" width="7.42578125" style="458" customWidth="1"/>
    <col min="13623" max="13623" width="8.42578125" style="458" customWidth="1"/>
    <col min="13624" max="13624" width="9.5703125" style="458" customWidth="1"/>
    <col min="13625" max="13625" width="6.42578125" style="458" customWidth="1"/>
    <col min="13626" max="13626" width="5.85546875" style="458" customWidth="1"/>
    <col min="13627" max="13628" width="4.42578125" style="458" customWidth="1"/>
    <col min="13629" max="13629" width="5" style="458" customWidth="1"/>
    <col min="13630" max="13630" width="5.85546875" style="458" customWidth="1"/>
    <col min="13631" max="13631" width="6.140625" style="458" customWidth="1"/>
    <col min="13632" max="13632" width="6.42578125" style="458" customWidth="1"/>
    <col min="13633" max="13633" width="11.140625" style="458" customWidth="1"/>
    <col min="13634" max="13634" width="14.140625" style="458" customWidth="1"/>
    <col min="13635" max="13635" width="19.85546875" style="458" customWidth="1"/>
    <col min="13636" max="13636" width="17" style="458" customWidth="1"/>
    <col min="13637" max="13637" width="20.85546875" style="458" customWidth="1"/>
    <col min="13638" max="13850" width="11.42578125" style="458"/>
    <col min="13851" max="13851" width="13.140625" style="458" customWidth="1"/>
    <col min="13852" max="13852" width="4" style="458" customWidth="1"/>
    <col min="13853" max="13853" width="12.85546875" style="458" customWidth="1"/>
    <col min="13854" max="13854" width="14.5703125" style="458" customWidth="1"/>
    <col min="13855" max="13855" width="10" style="458" customWidth="1"/>
    <col min="13856" max="13856" width="6.42578125" style="458" customWidth="1"/>
    <col min="13857" max="13857" width="12.42578125" style="458" customWidth="1"/>
    <col min="13858" max="13858" width="8.5703125" style="458" customWidth="1"/>
    <col min="13859" max="13859" width="13.5703125" style="458" customWidth="1"/>
    <col min="13860" max="13860" width="11.5703125" style="458" customWidth="1"/>
    <col min="13861" max="13861" width="34.42578125" style="458" customWidth="1"/>
    <col min="13862" max="13862" width="24.42578125" style="458" customWidth="1"/>
    <col min="13863" max="13863" width="21.140625" style="458" customWidth="1"/>
    <col min="13864" max="13864" width="22.140625" style="458" customWidth="1"/>
    <col min="13865" max="13865" width="8" style="458" customWidth="1"/>
    <col min="13866" max="13866" width="17" style="458" customWidth="1"/>
    <col min="13867" max="13867" width="12.5703125" style="458" customWidth="1"/>
    <col min="13868" max="13868" width="24.5703125" style="458" customWidth="1"/>
    <col min="13869" max="13869" width="29" style="458" customWidth="1"/>
    <col min="13870" max="13870" width="17.5703125" style="458" customWidth="1"/>
    <col min="13871" max="13871" width="36.42578125" style="458" customWidth="1"/>
    <col min="13872" max="13872" width="21.85546875" style="458" customWidth="1"/>
    <col min="13873" max="13873" width="11.5703125" style="458" customWidth="1"/>
    <col min="13874" max="13874" width="26.42578125" style="458" customWidth="1"/>
    <col min="13875" max="13875" width="9" style="458" customWidth="1"/>
    <col min="13876" max="13876" width="6.42578125" style="458" customWidth="1"/>
    <col min="13877" max="13878" width="7.42578125" style="458" customWidth="1"/>
    <col min="13879" max="13879" width="8.42578125" style="458" customWidth="1"/>
    <col min="13880" max="13880" width="9.5703125" style="458" customWidth="1"/>
    <col min="13881" max="13881" width="6.42578125" style="458" customWidth="1"/>
    <col min="13882" max="13882" width="5.85546875" style="458" customWidth="1"/>
    <col min="13883" max="13884" width="4.42578125" style="458" customWidth="1"/>
    <col min="13885" max="13885" width="5" style="458" customWidth="1"/>
    <col min="13886" max="13886" width="5.85546875" style="458" customWidth="1"/>
    <col min="13887" max="13887" width="6.140625" style="458" customWidth="1"/>
    <col min="13888" max="13888" width="6.42578125" style="458" customWidth="1"/>
    <col min="13889" max="13889" width="11.140625" style="458" customWidth="1"/>
    <col min="13890" max="13890" width="14.140625" style="458" customWidth="1"/>
    <col min="13891" max="13891" width="19.85546875" style="458" customWidth="1"/>
    <col min="13892" max="13892" width="17" style="458" customWidth="1"/>
    <col min="13893" max="13893" width="20.85546875" style="458" customWidth="1"/>
    <col min="13894" max="14106" width="11.42578125" style="458"/>
    <col min="14107" max="14107" width="13.140625" style="458" customWidth="1"/>
    <col min="14108" max="14108" width="4" style="458" customWidth="1"/>
    <col min="14109" max="14109" width="12.85546875" style="458" customWidth="1"/>
    <col min="14110" max="14110" width="14.5703125" style="458" customWidth="1"/>
    <col min="14111" max="14111" width="10" style="458" customWidth="1"/>
    <col min="14112" max="14112" width="6.42578125" style="458" customWidth="1"/>
    <col min="14113" max="14113" width="12.42578125" style="458" customWidth="1"/>
    <col min="14114" max="14114" width="8.5703125" style="458" customWidth="1"/>
    <col min="14115" max="14115" width="13.5703125" style="458" customWidth="1"/>
    <col min="14116" max="14116" width="11.5703125" style="458" customWidth="1"/>
    <col min="14117" max="14117" width="34.42578125" style="458" customWidth="1"/>
    <col min="14118" max="14118" width="24.42578125" style="458" customWidth="1"/>
    <col min="14119" max="14119" width="21.140625" style="458" customWidth="1"/>
    <col min="14120" max="14120" width="22.140625" style="458" customWidth="1"/>
    <col min="14121" max="14121" width="8" style="458" customWidth="1"/>
    <col min="14122" max="14122" width="17" style="458" customWidth="1"/>
    <col min="14123" max="14123" width="12.5703125" style="458" customWidth="1"/>
    <col min="14124" max="14124" width="24.5703125" style="458" customWidth="1"/>
    <col min="14125" max="14125" width="29" style="458" customWidth="1"/>
    <col min="14126" max="14126" width="17.5703125" style="458" customWidth="1"/>
    <col min="14127" max="14127" width="36.42578125" style="458" customWidth="1"/>
    <col min="14128" max="14128" width="21.85546875" style="458" customWidth="1"/>
    <col min="14129" max="14129" width="11.5703125" style="458" customWidth="1"/>
    <col min="14130" max="14130" width="26.42578125" style="458" customWidth="1"/>
    <col min="14131" max="14131" width="9" style="458" customWidth="1"/>
    <col min="14132" max="14132" width="6.42578125" style="458" customWidth="1"/>
    <col min="14133" max="14134" width="7.42578125" style="458" customWidth="1"/>
    <col min="14135" max="14135" width="8.42578125" style="458" customWidth="1"/>
    <col min="14136" max="14136" width="9.5703125" style="458" customWidth="1"/>
    <col min="14137" max="14137" width="6.42578125" style="458" customWidth="1"/>
    <col min="14138" max="14138" width="5.85546875" style="458" customWidth="1"/>
    <col min="14139" max="14140" width="4.42578125" style="458" customWidth="1"/>
    <col min="14141" max="14141" width="5" style="458" customWidth="1"/>
    <col min="14142" max="14142" width="5.85546875" style="458" customWidth="1"/>
    <col min="14143" max="14143" width="6.140625" style="458" customWidth="1"/>
    <col min="14144" max="14144" width="6.42578125" style="458" customWidth="1"/>
    <col min="14145" max="14145" width="11.140625" style="458" customWidth="1"/>
    <col min="14146" max="14146" width="14.140625" style="458" customWidth="1"/>
    <col min="14147" max="14147" width="19.85546875" style="458" customWidth="1"/>
    <col min="14148" max="14148" width="17" style="458" customWidth="1"/>
    <col min="14149" max="14149" width="20.85546875" style="458" customWidth="1"/>
    <col min="14150" max="14362" width="11.42578125" style="458"/>
    <col min="14363" max="14363" width="13.140625" style="458" customWidth="1"/>
    <col min="14364" max="14364" width="4" style="458" customWidth="1"/>
    <col min="14365" max="14365" width="12.85546875" style="458" customWidth="1"/>
    <col min="14366" max="14366" width="14.5703125" style="458" customWidth="1"/>
    <col min="14367" max="14367" width="10" style="458" customWidth="1"/>
    <col min="14368" max="14368" width="6.42578125" style="458" customWidth="1"/>
    <col min="14369" max="14369" width="12.42578125" style="458" customWidth="1"/>
    <col min="14370" max="14370" width="8.5703125" style="458" customWidth="1"/>
    <col min="14371" max="14371" width="13.5703125" style="458" customWidth="1"/>
    <col min="14372" max="14372" width="11.5703125" style="458" customWidth="1"/>
    <col min="14373" max="14373" width="34.42578125" style="458" customWidth="1"/>
    <col min="14374" max="14374" width="24.42578125" style="458" customWidth="1"/>
    <col min="14375" max="14375" width="21.140625" style="458" customWidth="1"/>
    <col min="14376" max="14376" width="22.140625" style="458" customWidth="1"/>
    <col min="14377" max="14377" width="8" style="458" customWidth="1"/>
    <col min="14378" max="14378" width="17" style="458" customWidth="1"/>
    <col min="14379" max="14379" width="12.5703125" style="458" customWidth="1"/>
    <col min="14380" max="14380" width="24.5703125" style="458" customWidth="1"/>
    <col min="14381" max="14381" width="29" style="458" customWidth="1"/>
    <col min="14382" max="14382" width="17.5703125" style="458" customWidth="1"/>
    <col min="14383" max="14383" width="36.42578125" style="458" customWidth="1"/>
    <col min="14384" max="14384" width="21.85546875" style="458" customWidth="1"/>
    <col min="14385" max="14385" width="11.5703125" style="458" customWidth="1"/>
    <col min="14386" max="14386" width="26.42578125" style="458" customWidth="1"/>
    <col min="14387" max="14387" width="9" style="458" customWidth="1"/>
    <col min="14388" max="14388" width="6.42578125" style="458" customWidth="1"/>
    <col min="14389" max="14390" width="7.42578125" style="458" customWidth="1"/>
    <col min="14391" max="14391" width="8.42578125" style="458" customWidth="1"/>
    <col min="14392" max="14392" width="9.5703125" style="458" customWidth="1"/>
    <col min="14393" max="14393" width="6.42578125" style="458" customWidth="1"/>
    <col min="14394" max="14394" width="5.85546875" style="458" customWidth="1"/>
    <col min="14395" max="14396" width="4.42578125" style="458" customWidth="1"/>
    <col min="14397" max="14397" width="5" style="458" customWidth="1"/>
    <col min="14398" max="14398" width="5.85546875" style="458" customWidth="1"/>
    <col min="14399" max="14399" width="6.140625" style="458" customWidth="1"/>
    <col min="14400" max="14400" width="6.42578125" style="458" customWidth="1"/>
    <col min="14401" max="14401" width="11.140625" style="458" customWidth="1"/>
    <col min="14402" max="14402" width="14.140625" style="458" customWidth="1"/>
    <col min="14403" max="14403" width="19.85546875" style="458" customWidth="1"/>
    <col min="14404" max="14404" width="17" style="458" customWidth="1"/>
    <col min="14405" max="14405" width="20.85546875" style="458" customWidth="1"/>
    <col min="14406" max="14618" width="11.42578125" style="458"/>
    <col min="14619" max="14619" width="13.140625" style="458" customWidth="1"/>
    <col min="14620" max="14620" width="4" style="458" customWidth="1"/>
    <col min="14621" max="14621" width="12.85546875" style="458" customWidth="1"/>
    <col min="14622" max="14622" width="14.5703125" style="458" customWidth="1"/>
    <col min="14623" max="14623" width="10" style="458" customWidth="1"/>
    <col min="14624" max="14624" width="6.42578125" style="458" customWidth="1"/>
    <col min="14625" max="14625" width="12.42578125" style="458" customWidth="1"/>
    <col min="14626" max="14626" width="8.5703125" style="458" customWidth="1"/>
    <col min="14627" max="14627" width="13.5703125" style="458" customWidth="1"/>
    <col min="14628" max="14628" width="11.5703125" style="458" customWidth="1"/>
    <col min="14629" max="14629" width="34.42578125" style="458" customWidth="1"/>
    <col min="14630" max="14630" width="24.42578125" style="458" customWidth="1"/>
    <col min="14631" max="14631" width="21.140625" style="458" customWidth="1"/>
    <col min="14632" max="14632" width="22.140625" style="458" customWidth="1"/>
    <col min="14633" max="14633" width="8" style="458" customWidth="1"/>
    <col min="14634" max="14634" width="17" style="458" customWidth="1"/>
    <col min="14635" max="14635" width="12.5703125" style="458" customWidth="1"/>
    <col min="14636" max="14636" width="24.5703125" style="458" customWidth="1"/>
    <col min="14637" max="14637" width="29" style="458" customWidth="1"/>
    <col min="14638" max="14638" width="17.5703125" style="458" customWidth="1"/>
    <col min="14639" max="14639" width="36.42578125" style="458" customWidth="1"/>
    <col min="14640" max="14640" width="21.85546875" style="458" customWidth="1"/>
    <col min="14641" max="14641" width="11.5703125" style="458" customWidth="1"/>
    <col min="14642" max="14642" width="26.42578125" style="458" customWidth="1"/>
    <col min="14643" max="14643" width="9" style="458" customWidth="1"/>
    <col min="14644" max="14644" width="6.42578125" style="458" customWidth="1"/>
    <col min="14645" max="14646" width="7.42578125" style="458" customWidth="1"/>
    <col min="14647" max="14647" width="8.42578125" style="458" customWidth="1"/>
    <col min="14648" max="14648" width="9.5703125" style="458" customWidth="1"/>
    <col min="14649" max="14649" width="6.42578125" style="458" customWidth="1"/>
    <col min="14650" max="14650" width="5.85546875" style="458" customWidth="1"/>
    <col min="14651" max="14652" width="4.42578125" style="458" customWidth="1"/>
    <col min="14653" max="14653" width="5" style="458" customWidth="1"/>
    <col min="14654" max="14654" width="5.85546875" style="458" customWidth="1"/>
    <col min="14655" max="14655" width="6.140625" style="458" customWidth="1"/>
    <col min="14656" max="14656" width="6.42578125" style="458" customWidth="1"/>
    <col min="14657" max="14657" width="11.140625" style="458" customWidth="1"/>
    <col min="14658" max="14658" width="14.140625" style="458" customWidth="1"/>
    <col min="14659" max="14659" width="19.85546875" style="458" customWidth="1"/>
    <col min="14660" max="14660" width="17" style="458" customWidth="1"/>
    <col min="14661" max="14661" width="20.85546875" style="458" customWidth="1"/>
    <col min="14662" max="14874" width="11.42578125" style="458"/>
    <col min="14875" max="14875" width="13.140625" style="458" customWidth="1"/>
    <col min="14876" max="14876" width="4" style="458" customWidth="1"/>
    <col min="14877" max="14877" width="12.85546875" style="458" customWidth="1"/>
    <col min="14878" max="14878" width="14.5703125" style="458" customWidth="1"/>
    <col min="14879" max="14879" width="10" style="458" customWidth="1"/>
    <col min="14880" max="14880" width="6.42578125" style="458" customWidth="1"/>
    <col min="14881" max="14881" width="12.42578125" style="458" customWidth="1"/>
    <col min="14882" max="14882" width="8.5703125" style="458" customWidth="1"/>
    <col min="14883" max="14883" width="13.5703125" style="458" customWidth="1"/>
    <col min="14884" max="14884" width="11.5703125" style="458" customWidth="1"/>
    <col min="14885" max="14885" width="34.42578125" style="458" customWidth="1"/>
    <col min="14886" max="14886" width="24.42578125" style="458" customWidth="1"/>
    <col min="14887" max="14887" width="21.140625" style="458" customWidth="1"/>
    <col min="14888" max="14888" width="22.140625" style="458" customWidth="1"/>
    <col min="14889" max="14889" width="8" style="458" customWidth="1"/>
    <col min="14890" max="14890" width="17" style="458" customWidth="1"/>
    <col min="14891" max="14891" width="12.5703125" style="458" customWidth="1"/>
    <col min="14892" max="14892" width="24.5703125" style="458" customWidth="1"/>
    <col min="14893" max="14893" width="29" style="458" customWidth="1"/>
    <col min="14894" max="14894" width="17.5703125" style="458" customWidth="1"/>
    <col min="14895" max="14895" width="36.42578125" style="458" customWidth="1"/>
    <col min="14896" max="14896" width="21.85546875" style="458" customWidth="1"/>
    <col min="14897" max="14897" width="11.5703125" style="458" customWidth="1"/>
    <col min="14898" max="14898" width="26.42578125" style="458" customWidth="1"/>
    <col min="14899" max="14899" width="9" style="458" customWidth="1"/>
    <col min="14900" max="14900" width="6.42578125" style="458" customWidth="1"/>
    <col min="14901" max="14902" width="7.42578125" style="458" customWidth="1"/>
    <col min="14903" max="14903" width="8.42578125" style="458" customWidth="1"/>
    <col min="14904" max="14904" width="9.5703125" style="458" customWidth="1"/>
    <col min="14905" max="14905" width="6.42578125" style="458" customWidth="1"/>
    <col min="14906" max="14906" width="5.85546875" style="458" customWidth="1"/>
    <col min="14907" max="14908" width="4.42578125" style="458" customWidth="1"/>
    <col min="14909" max="14909" width="5" style="458" customWidth="1"/>
    <col min="14910" max="14910" width="5.85546875" style="458" customWidth="1"/>
    <col min="14911" max="14911" width="6.140625" style="458" customWidth="1"/>
    <col min="14912" max="14912" width="6.42578125" style="458" customWidth="1"/>
    <col min="14913" max="14913" width="11.140625" style="458" customWidth="1"/>
    <col min="14914" max="14914" width="14.140625" style="458" customWidth="1"/>
    <col min="14915" max="14915" width="19.85546875" style="458" customWidth="1"/>
    <col min="14916" max="14916" width="17" style="458" customWidth="1"/>
    <col min="14917" max="14917" width="20.85546875" style="458" customWidth="1"/>
    <col min="14918" max="15130" width="11.42578125" style="458"/>
    <col min="15131" max="15131" width="13.140625" style="458" customWidth="1"/>
    <col min="15132" max="15132" width="4" style="458" customWidth="1"/>
    <col min="15133" max="15133" width="12.85546875" style="458" customWidth="1"/>
    <col min="15134" max="15134" width="14.5703125" style="458" customWidth="1"/>
    <col min="15135" max="15135" width="10" style="458" customWidth="1"/>
    <col min="15136" max="15136" width="6.42578125" style="458" customWidth="1"/>
    <col min="15137" max="15137" width="12.42578125" style="458" customWidth="1"/>
    <col min="15138" max="15138" width="8.5703125" style="458" customWidth="1"/>
    <col min="15139" max="15139" width="13.5703125" style="458" customWidth="1"/>
    <col min="15140" max="15140" width="11.5703125" style="458" customWidth="1"/>
    <col min="15141" max="15141" width="34.42578125" style="458" customWidth="1"/>
    <col min="15142" max="15142" width="24.42578125" style="458" customWidth="1"/>
    <col min="15143" max="15143" width="21.140625" style="458" customWidth="1"/>
    <col min="15144" max="15144" width="22.140625" style="458" customWidth="1"/>
    <col min="15145" max="15145" width="8" style="458" customWidth="1"/>
    <col min="15146" max="15146" width="17" style="458" customWidth="1"/>
    <col min="15147" max="15147" width="12.5703125" style="458" customWidth="1"/>
    <col min="15148" max="15148" width="24.5703125" style="458" customWidth="1"/>
    <col min="15149" max="15149" width="29" style="458" customWidth="1"/>
    <col min="15150" max="15150" width="17.5703125" style="458" customWidth="1"/>
    <col min="15151" max="15151" width="36.42578125" style="458" customWidth="1"/>
    <col min="15152" max="15152" width="21.85546875" style="458" customWidth="1"/>
    <col min="15153" max="15153" width="11.5703125" style="458" customWidth="1"/>
    <col min="15154" max="15154" width="26.42578125" style="458" customWidth="1"/>
    <col min="15155" max="15155" width="9" style="458" customWidth="1"/>
    <col min="15156" max="15156" width="6.42578125" style="458" customWidth="1"/>
    <col min="15157" max="15158" width="7.42578125" style="458" customWidth="1"/>
    <col min="15159" max="15159" width="8.42578125" style="458" customWidth="1"/>
    <col min="15160" max="15160" width="9.5703125" style="458" customWidth="1"/>
    <col min="15161" max="15161" width="6.42578125" style="458" customWidth="1"/>
    <col min="15162" max="15162" width="5.85546875" style="458" customWidth="1"/>
    <col min="15163" max="15164" width="4.42578125" style="458" customWidth="1"/>
    <col min="15165" max="15165" width="5" style="458" customWidth="1"/>
    <col min="15166" max="15166" width="5.85546875" style="458" customWidth="1"/>
    <col min="15167" max="15167" width="6.140625" style="458" customWidth="1"/>
    <col min="15168" max="15168" width="6.42578125" style="458" customWidth="1"/>
    <col min="15169" max="15169" width="11.140625" style="458" customWidth="1"/>
    <col min="15170" max="15170" width="14.140625" style="458" customWidth="1"/>
    <col min="15171" max="15171" width="19.85546875" style="458" customWidth="1"/>
    <col min="15172" max="15172" width="17" style="458" customWidth="1"/>
    <col min="15173" max="15173" width="20.85546875" style="458" customWidth="1"/>
    <col min="15174" max="15386" width="11.42578125" style="458"/>
    <col min="15387" max="15387" width="13.140625" style="458" customWidth="1"/>
    <col min="15388" max="15388" width="4" style="458" customWidth="1"/>
    <col min="15389" max="15389" width="12.85546875" style="458" customWidth="1"/>
    <col min="15390" max="15390" width="14.5703125" style="458" customWidth="1"/>
    <col min="15391" max="15391" width="10" style="458" customWidth="1"/>
    <col min="15392" max="15392" width="6.42578125" style="458" customWidth="1"/>
    <col min="15393" max="15393" width="12.42578125" style="458" customWidth="1"/>
    <col min="15394" max="15394" width="8.5703125" style="458" customWidth="1"/>
    <col min="15395" max="15395" width="13.5703125" style="458" customWidth="1"/>
    <col min="15396" max="15396" width="11.5703125" style="458" customWidth="1"/>
    <col min="15397" max="15397" width="34.42578125" style="458" customWidth="1"/>
    <col min="15398" max="15398" width="24.42578125" style="458" customWidth="1"/>
    <col min="15399" max="15399" width="21.140625" style="458" customWidth="1"/>
    <col min="15400" max="15400" width="22.140625" style="458" customWidth="1"/>
    <col min="15401" max="15401" width="8" style="458" customWidth="1"/>
    <col min="15402" max="15402" width="17" style="458" customWidth="1"/>
    <col min="15403" max="15403" width="12.5703125" style="458" customWidth="1"/>
    <col min="15404" max="15404" width="24.5703125" style="458" customWidth="1"/>
    <col min="15405" max="15405" width="29" style="458" customWidth="1"/>
    <col min="15406" max="15406" width="17.5703125" style="458" customWidth="1"/>
    <col min="15407" max="15407" width="36.42578125" style="458" customWidth="1"/>
    <col min="15408" max="15408" width="21.85546875" style="458" customWidth="1"/>
    <col min="15409" max="15409" width="11.5703125" style="458" customWidth="1"/>
    <col min="15410" max="15410" width="26.42578125" style="458" customWidth="1"/>
    <col min="15411" max="15411" width="9" style="458" customWidth="1"/>
    <col min="15412" max="15412" width="6.42578125" style="458" customWidth="1"/>
    <col min="15413" max="15414" width="7.42578125" style="458" customWidth="1"/>
    <col min="15415" max="15415" width="8.42578125" style="458" customWidth="1"/>
    <col min="15416" max="15416" width="9.5703125" style="458" customWidth="1"/>
    <col min="15417" max="15417" width="6.42578125" style="458" customWidth="1"/>
    <col min="15418" max="15418" width="5.85546875" style="458" customWidth="1"/>
    <col min="15419" max="15420" width="4.42578125" style="458" customWidth="1"/>
    <col min="15421" max="15421" width="5" style="458" customWidth="1"/>
    <col min="15422" max="15422" width="5.85546875" style="458" customWidth="1"/>
    <col min="15423" max="15423" width="6.140625" style="458" customWidth="1"/>
    <col min="15424" max="15424" width="6.42578125" style="458" customWidth="1"/>
    <col min="15425" max="15425" width="11.140625" style="458" customWidth="1"/>
    <col min="15426" max="15426" width="14.140625" style="458" customWidth="1"/>
    <col min="15427" max="15427" width="19.85546875" style="458" customWidth="1"/>
    <col min="15428" max="15428" width="17" style="458" customWidth="1"/>
    <col min="15429" max="15429" width="20.85546875" style="458" customWidth="1"/>
    <col min="15430" max="15642" width="11.42578125" style="458"/>
    <col min="15643" max="15643" width="13.140625" style="458" customWidth="1"/>
    <col min="15644" max="15644" width="4" style="458" customWidth="1"/>
    <col min="15645" max="15645" width="12.85546875" style="458" customWidth="1"/>
    <col min="15646" max="15646" width="14.5703125" style="458" customWidth="1"/>
    <col min="15647" max="15647" width="10" style="458" customWidth="1"/>
    <col min="15648" max="15648" width="6.42578125" style="458" customWidth="1"/>
    <col min="15649" max="15649" width="12.42578125" style="458" customWidth="1"/>
    <col min="15650" max="15650" width="8.5703125" style="458" customWidth="1"/>
    <col min="15651" max="15651" width="13.5703125" style="458" customWidth="1"/>
    <col min="15652" max="15652" width="11.5703125" style="458" customWidth="1"/>
    <col min="15653" max="15653" width="34.42578125" style="458" customWidth="1"/>
    <col min="15654" max="15654" width="24.42578125" style="458" customWidth="1"/>
    <col min="15655" max="15655" width="21.140625" style="458" customWidth="1"/>
    <col min="15656" max="15656" width="22.140625" style="458" customWidth="1"/>
    <col min="15657" max="15657" width="8" style="458" customWidth="1"/>
    <col min="15658" max="15658" width="17" style="458" customWidth="1"/>
    <col min="15659" max="15659" width="12.5703125" style="458" customWidth="1"/>
    <col min="15660" max="15660" width="24.5703125" style="458" customWidth="1"/>
    <col min="15661" max="15661" width="29" style="458" customWidth="1"/>
    <col min="15662" max="15662" width="17.5703125" style="458" customWidth="1"/>
    <col min="15663" max="15663" width="36.42578125" style="458" customWidth="1"/>
    <col min="15664" max="15664" width="21.85546875" style="458" customWidth="1"/>
    <col min="15665" max="15665" width="11.5703125" style="458" customWidth="1"/>
    <col min="15666" max="15666" width="26.42578125" style="458" customWidth="1"/>
    <col min="15667" max="15667" width="9" style="458" customWidth="1"/>
    <col min="15668" max="15668" width="6.42578125" style="458" customWidth="1"/>
    <col min="15669" max="15670" width="7.42578125" style="458" customWidth="1"/>
    <col min="15671" max="15671" width="8.42578125" style="458" customWidth="1"/>
    <col min="15672" max="15672" width="9.5703125" style="458" customWidth="1"/>
    <col min="15673" max="15673" width="6.42578125" style="458" customWidth="1"/>
    <col min="15674" max="15674" width="5.85546875" style="458" customWidth="1"/>
    <col min="15675" max="15676" width="4.42578125" style="458" customWidth="1"/>
    <col min="15677" max="15677" width="5" style="458" customWidth="1"/>
    <col min="15678" max="15678" width="5.85546875" style="458" customWidth="1"/>
    <col min="15679" max="15679" width="6.140625" style="458" customWidth="1"/>
    <col min="15680" max="15680" width="6.42578125" style="458" customWidth="1"/>
    <col min="15681" max="15681" width="11.140625" style="458" customWidth="1"/>
    <col min="15682" max="15682" width="14.140625" style="458" customWidth="1"/>
    <col min="15683" max="15683" width="19.85546875" style="458" customWidth="1"/>
    <col min="15684" max="15684" width="17" style="458" customWidth="1"/>
    <col min="15685" max="15685" width="20.85546875" style="458" customWidth="1"/>
    <col min="15686" max="15898" width="11.42578125" style="458"/>
    <col min="15899" max="15899" width="13.140625" style="458" customWidth="1"/>
    <col min="15900" max="15900" width="4" style="458" customWidth="1"/>
    <col min="15901" max="15901" width="12.85546875" style="458" customWidth="1"/>
    <col min="15902" max="15902" width="14.5703125" style="458" customWidth="1"/>
    <col min="15903" max="15903" width="10" style="458" customWidth="1"/>
    <col min="15904" max="15904" width="6.42578125" style="458" customWidth="1"/>
    <col min="15905" max="15905" width="12.42578125" style="458" customWidth="1"/>
    <col min="15906" max="15906" width="8.5703125" style="458" customWidth="1"/>
    <col min="15907" max="15907" width="13.5703125" style="458" customWidth="1"/>
    <col min="15908" max="15908" width="11.5703125" style="458" customWidth="1"/>
    <col min="15909" max="15909" width="34.42578125" style="458" customWidth="1"/>
    <col min="15910" max="15910" width="24.42578125" style="458" customWidth="1"/>
    <col min="15911" max="15911" width="21.140625" style="458" customWidth="1"/>
    <col min="15912" max="15912" width="22.140625" style="458" customWidth="1"/>
    <col min="15913" max="15913" width="8" style="458" customWidth="1"/>
    <col min="15914" max="15914" width="17" style="458" customWidth="1"/>
    <col min="15915" max="15915" width="12.5703125" style="458" customWidth="1"/>
    <col min="15916" max="15916" width="24.5703125" style="458" customWidth="1"/>
    <col min="15917" max="15917" width="29" style="458" customWidth="1"/>
    <col min="15918" max="15918" width="17.5703125" style="458" customWidth="1"/>
    <col min="15919" max="15919" width="36.42578125" style="458" customWidth="1"/>
    <col min="15920" max="15920" width="21.85546875" style="458" customWidth="1"/>
    <col min="15921" max="15921" width="11.5703125" style="458" customWidth="1"/>
    <col min="15922" max="15922" width="26.42578125" style="458" customWidth="1"/>
    <col min="15923" max="15923" width="9" style="458" customWidth="1"/>
    <col min="15924" max="15924" width="6.42578125" style="458" customWidth="1"/>
    <col min="15925" max="15926" width="7.42578125" style="458" customWidth="1"/>
    <col min="15927" max="15927" width="8.42578125" style="458" customWidth="1"/>
    <col min="15928" max="15928" width="9.5703125" style="458" customWidth="1"/>
    <col min="15929" max="15929" width="6.42578125" style="458" customWidth="1"/>
    <col min="15930" max="15930" width="5.85546875" style="458" customWidth="1"/>
    <col min="15931" max="15932" width="4.42578125" style="458" customWidth="1"/>
    <col min="15933" max="15933" width="5" style="458" customWidth="1"/>
    <col min="15934" max="15934" width="5.85546875" style="458" customWidth="1"/>
    <col min="15935" max="15935" width="6.140625" style="458" customWidth="1"/>
    <col min="15936" max="15936" width="6.42578125" style="458" customWidth="1"/>
    <col min="15937" max="15937" width="11.140625" style="458" customWidth="1"/>
    <col min="15938" max="15938" width="14.140625" style="458" customWidth="1"/>
    <col min="15939" max="15939" width="19.85546875" style="458" customWidth="1"/>
    <col min="15940" max="15940" width="17" style="458" customWidth="1"/>
    <col min="15941" max="15941" width="20.85546875" style="458" customWidth="1"/>
    <col min="15942" max="16154" width="11.42578125" style="458"/>
    <col min="16155" max="16155" width="13.140625" style="458" customWidth="1"/>
    <col min="16156" max="16156" width="4" style="458" customWidth="1"/>
    <col min="16157" max="16157" width="12.85546875" style="458" customWidth="1"/>
    <col min="16158" max="16158" width="14.5703125" style="458" customWidth="1"/>
    <col min="16159" max="16159" width="10" style="458" customWidth="1"/>
    <col min="16160" max="16160" width="6.42578125" style="458" customWidth="1"/>
    <col min="16161" max="16161" width="12.42578125" style="458" customWidth="1"/>
    <col min="16162" max="16162" width="8.5703125" style="458" customWidth="1"/>
    <col min="16163" max="16163" width="13.5703125" style="458" customWidth="1"/>
    <col min="16164" max="16164" width="11.5703125" style="458" customWidth="1"/>
    <col min="16165" max="16165" width="34.42578125" style="458" customWidth="1"/>
    <col min="16166" max="16166" width="24.42578125" style="458" customWidth="1"/>
    <col min="16167" max="16167" width="21.140625" style="458" customWidth="1"/>
    <col min="16168" max="16168" width="22.140625" style="458" customWidth="1"/>
    <col min="16169" max="16169" width="8" style="458" customWidth="1"/>
    <col min="16170" max="16170" width="17" style="458" customWidth="1"/>
    <col min="16171" max="16171" width="12.5703125" style="458" customWidth="1"/>
    <col min="16172" max="16172" width="24.5703125" style="458" customWidth="1"/>
    <col min="16173" max="16173" width="29" style="458" customWidth="1"/>
    <col min="16174" max="16174" width="17.5703125" style="458" customWidth="1"/>
    <col min="16175" max="16175" width="36.42578125" style="458" customWidth="1"/>
    <col min="16176" max="16176" width="21.85546875" style="458" customWidth="1"/>
    <col min="16177" max="16177" width="11.5703125" style="458" customWidth="1"/>
    <col min="16178" max="16178" width="26.42578125" style="458" customWidth="1"/>
    <col min="16179" max="16179" width="9" style="458" customWidth="1"/>
    <col min="16180" max="16180" width="6.42578125" style="458" customWidth="1"/>
    <col min="16181" max="16182" width="7.42578125" style="458" customWidth="1"/>
    <col min="16183" max="16183" width="8.42578125" style="458" customWidth="1"/>
    <col min="16184" max="16184" width="9.5703125" style="458" customWidth="1"/>
    <col min="16185" max="16185" width="6.42578125" style="458" customWidth="1"/>
    <col min="16186" max="16186" width="5.85546875" style="458" customWidth="1"/>
    <col min="16187" max="16188" width="4.42578125" style="458" customWidth="1"/>
    <col min="16189" max="16189" width="5" style="458" customWidth="1"/>
    <col min="16190" max="16190" width="5.85546875" style="458" customWidth="1"/>
    <col min="16191" max="16191" width="6.140625" style="458" customWidth="1"/>
    <col min="16192" max="16192" width="6.42578125" style="458" customWidth="1"/>
    <col min="16193" max="16193" width="11.140625" style="458" customWidth="1"/>
    <col min="16194" max="16194" width="14.140625" style="458" customWidth="1"/>
    <col min="16195" max="16195" width="19.85546875" style="458" customWidth="1"/>
    <col min="16196" max="16196" width="17" style="458" customWidth="1"/>
    <col min="16197" max="16197" width="20.85546875" style="458" customWidth="1"/>
    <col min="16198" max="16384" width="11.42578125" style="458"/>
  </cols>
  <sheetData>
    <row r="1" spans="1:89" ht="21" customHeight="1" x14ac:dyDescent="0.25">
      <c r="A1" s="2764" t="s">
        <v>2116</v>
      </c>
      <c r="B1" s="2765"/>
      <c r="C1" s="2765"/>
      <c r="D1" s="2765"/>
      <c r="E1" s="2765"/>
      <c r="F1" s="2765"/>
      <c r="G1" s="2765"/>
      <c r="H1" s="2765"/>
      <c r="I1" s="2765"/>
      <c r="J1" s="2765"/>
      <c r="K1" s="2765"/>
      <c r="L1" s="2765"/>
      <c r="M1" s="2765"/>
      <c r="N1" s="2765"/>
      <c r="O1" s="2765"/>
      <c r="P1" s="2765"/>
      <c r="Q1" s="2765"/>
      <c r="R1" s="2765"/>
      <c r="S1" s="2765"/>
      <c r="T1" s="2765"/>
      <c r="U1" s="2765"/>
      <c r="V1" s="2765"/>
      <c r="W1" s="2765"/>
      <c r="X1" s="2765"/>
      <c r="Y1" s="2765"/>
      <c r="Z1" s="2765"/>
      <c r="AA1" s="2765"/>
      <c r="AB1" s="2765"/>
      <c r="AC1" s="2765"/>
      <c r="AD1" s="2765"/>
      <c r="AE1" s="2765"/>
      <c r="AF1" s="2765"/>
      <c r="AG1" s="2765"/>
      <c r="AH1" s="2765"/>
      <c r="AI1" s="2765"/>
      <c r="AJ1" s="2765"/>
      <c r="AK1" s="2765"/>
      <c r="AL1" s="2765"/>
      <c r="AM1" s="2765"/>
      <c r="AN1" s="2765"/>
      <c r="AO1" s="2765"/>
      <c r="AP1" s="2765"/>
      <c r="AQ1" s="2765"/>
      <c r="AR1" s="2765"/>
      <c r="AS1" s="2765"/>
      <c r="AT1" s="2765"/>
      <c r="AU1" s="2765"/>
      <c r="AV1" s="2765"/>
      <c r="AW1" s="2765"/>
      <c r="AX1" s="2765"/>
      <c r="AY1" s="2765"/>
      <c r="AZ1" s="2765"/>
      <c r="BA1" s="2765"/>
      <c r="BB1" s="2765"/>
      <c r="BC1" s="2765"/>
      <c r="BD1" s="2765"/>
      <c r="BE1" s="2765"/>
      <c r="BF1" s="2765"/>
      <c r="BG1" s="2765"/>
      <c r="BH1" s="2765"/>
      <c r="BI1" s="2765"/>
      <c r="BJ1" s="2765"/>
      <c r="BK1" s="2765"/>
      <c r="BL1" s="2765"/>
      <c r="BM1" s="2765"/>
      <c r="BN1" s="2765"/>
      <c r="BO1" s="2765"/>
      <c r="BP1" s="4376"/>
      <c r="BQ1" s="1634" t="s">
        <v>0</v>
      </c>
      <c r="BR1" s="1635" t="s">
        <v>1</v>
      </c>
    </row>
    <row r="2" spans="1:89" ht="21" customHeight="1" x14ac:dyDescent="0.25">
      <c r="A2" s="2764"/>
      <c r="B2" s="2765"/>
      <c r="C2" s="2765"/>
      <c r="D2" s="2765"/>
      <c r="E2" s="2765"/>
      <c r="F2" s="2765"/>
      <c r="G2" s="2765"/>
      <c r="H2" s="2765"/>
      <c r="I2" s="2765"/>
      <c r="J2" s="2765"/>
      <c r="K2" s="2765"/>
      <c r="L2" s="2765"/>
      <c r="M2" s="2765"/>
      <c r="N2" s="2765"/>
      <c r="O2" s="2765"/>
      <c r="P2" s="2765"/>
      <c r="Q2" s="2765"/>
      <c r="R2" s="2765"/>
      <c r="S2" s="2765"/>
      <c r="T2" s="2765"/>
      <c r="U2" s="2765"/>
      <c r="V2" s="2765"/>
      <c r="W2" s="2765"/>
      <c r="X2" s="2765"/>
      <c r="Y2" s="2765"/>
      <c r="Z2" s="2765"/>
      <c r="AA2" s="2765"/>
      <c r="AB2" s="2765"/>
      <c r="AC2" s="2765"/>
      <c r="AD2" s="2765"/>
      <c r="AE2" s="2765"/>
      <c r="AF2" s="2765"/>
      <c r="AG2" s="2765"/>
      <c r="AH2" s="2765"/>
      <c r="AI2" s="2765"/>
      <c r="AJ2" s="2765"/>
      <c r="AK2" s="2765"/>
      <c r="AL2" s="2765"/>
      <c r="AM2" s="2765"/>
      <c r="AN2" s="2765"/>
      <c r="AO2" s="2765"/>
      <c r="AP2" s="2765"/>
      <c r="AQ2" s="2765"/>
      <c r="AR2" s="2765"/>
      <c r="AS2" s="2765"/>
      <c r="AT2" s="2765"/>
      <c r="AU2" s="2765"/>
      <c r="AV2" s="2765"/>
      <c r="AW2" s="2765"/>
      <c r="AX2" s="2765"/>
      <c r="AY2" s="2765"/>
      <c r="AZ2" s="2765"/>
      <c r="BA2" s="2765"/>
      <c r="BB2" s="2765"/>
      <c r="BC2" s="2765"/>
      <c r="BD2" s="2765"/>
      <c r="BE2" s="2765"/>
      <c r="BF2" s="2765"/>
      <c r="BG2" s="2765"/>
      <c r="BH2" s="2765"/>
      <c r="BI2" s="2765"/>
      <c r="BJ2" s="2765"/>
      <c r="BK2" s="2765"/>
      <c r="BL2" s="2765"/>
      <c r="BM2" s="2765"/>
      <c r="BN2" s="2765"/>
      <c r="BO2" s="2765"/>
      <c r="BP2" s="4376"/>
      <c r="BQ2" s="1548" t="s">
        <v>2</v>
      </c>
      <c r="BR2" s="1637">
        <v>6</v>
      </c>
    </row>
    <row r="3" spans="1:89" ht="21" customHeight="1" x14ac:dyDescent="0.25">
      <c r="A3" s="2764"/>
      <c r="B3" s="2765"/>
      <c r="C3" s="2765"/>
      <c r="D3" s="2765"/>
      <c r="E3" s="2765"/>
      <c r="F3" s="2765"/>
      <c r="G3" s="2765"/>
      <c r="H3" s="2765"/>
      <c r="I3" s="2765"/>
      <c r="J3" s="2765"/>
      <c r="K3" s="2765"/>
      <c r="L3" s="2765"/>
      <c r="M3" s="2765"/>
      <c r="N3" s="2765"/>
      <c r="O3" s="2765"/>
      <c r="P3" s="2765"/>
      <c r="Q3" s="2765"/>
      <c r="R3" s="2765"/>
      <c r="S3" s="2765"/>
      <c r="T3" s="2765"/>
      <c r="U3" s="2765"/>
      <c r="V3" s="2765"/>
      <c r="W3" s="2765"/>
      <c r="X3" s="2765"/>
      <c r="Y3" s="2765"/>
      <c r="Z3" s="2765"/>
      <c r="AA3" s="2765"/>
      <c r="AB3" s="2765"/>
      <c r="AC3" s="2765"/>
      <c r="AD3" s="2765"/>
      <c r="AE3" s="2765"/>
      <c r="AF3" s="2765"/>
      <c r="AG3" s="2765"/>
      <c r="AH3" s="2765"/>
      <c r="AI3" s="2765"/>
      <c r="AJ3" s="2765"/>
      <c r="AK3" s="2765"/>
      <c r="AL3" s="2765"/>
      <c r="AM3" s="2765"/>
      <c r="AN3" s="2765"/>
      <c r="AO3" s="2765"/>
      <c r="AP3" s="2765"/>
      <c r="AQ3" s="2765"/>
      <c r="AR3" s="2765"/>
      <c r="AS3" s="2765"/>
      <c r="AT3" s="2765"/>
      <c r="AU3" s="2765"/>
      <c r="AV3" s="2765"/>
      <c r="AW3" s="2765"/>
      <c r="AX3" s="2765"/>
      <c r="AY3" s="2765"/>
      <c r="AZ3" s="2765"/>
      <c r="BA3" s="2765"/>
      <c r="BB3" s="2765"/>
      <c r="BC3" s="2765"/>
      <c r="BD3" s="2765"/>
      <c r="BE3" s="2765"/>
      <c r="BF3" s="2765"/>
      <c r="BG3" s="2765"/>
      <c r="BH3" s="2765"/>
      <c r="BI3" s="2765"/>
      <c r="BJ3" s="2765"/>
      <c r="BK3" s="2765"/>
      <c r="BL3" s="2765"/>
      <c r="BM3" s="2765"/>
      <c r="BN3" s="2765"/>
      <c r="BO3" s="2765"/>
      <c r="BP3" s="4376"/>
      <c r="BQ3" s="501" t="s">
        <v>3</v>
      </c>
      <c r="BR3" s="1638" t="s">
        <v>4</v>
      </c>
    </row>
    <row r="4" spans="1:89" s="1550" customFormat="1" ht="21" customHeight="1" x14ac:dyDescent="0.2">
      <c r="A4" s="2766"/>
      <c r="B4" s="2767"/>
      <c r="C4" s="2767"/>
      <c r="D4" s="2767"/>
      <c r="E4" s="2767"/>
      <c r="F4" s="2767"/>
      <c r="G4" s="2767"/>
      <c r="H4" s="2767"/>
      <c r="I4" s="2767"/>
      <c r="J4" s="2767"/>
      <c r="K4" s="2767"/>
      <c r="L4" s="2767"/>
      <c r="M4" s="2767"/>
      <c r="N4" s="2767"/>
      <c r="O4" s="2767"/>
      <c r="P4" s="2767"/>
      <c r="Q4" s="2767"/>
      <c r="R4" s="2767"/>
      <c r="S4" s="2767"/>
      <c r="T4" s="2767"/>
      <c r="U4" s="2767"/>
      <c r="V4" s="2767"/>
      <c r="W4" s="2767"/>
      <c r="X4" s="2767"/>
      <c r="Y4" s="2767"/>
      <c r="Z4" s="2767"/>
      <c r="AA4" s="2767"/>
      <c r="AB4" s="2767"/>
      <c r="AC4" s="2767"/>
      <c r="AD4" s="2767"/>
      <c r="AE4" s="2767"/>
      <c r="AF4" s="2767"/>
      <c r="AG4" s="2767"/>
      <c r="AH4" s="2767"/>
      <c r="AI4" s="2767"/>
      <c r="AJ4" s="2767"/>
      <c r="AK4" s="2767"/>
      <c r="AL4" s="2767"/>
      <c r="AM4" s="2767"/>
      <c r="AN4" s="2767"/>
      <c r="AO4" s="2767"/>
      <c r="AP4" s="2767"/>
      <c r="AQ4" s="2767"/>
      <c r="AR4" s="2767"/>
      <c r="AS4" s="2767"/>
      <c r="AT4" s="2767"/>
      <c r="AU4" s="2767"/>
      <c r="AV4" s="2767"/>
      <c r="AW4" s="2767"/>
      <c r="AX4" s="2767"/>
      <c r="AY4" s="2767"/>
      <c r="AZ4" s="2767"/>
      <c r="BA4" s="2767"/>
      <c r="BB4" s="2767"/>
      <c r="BC4" s="2767"/>
      <c r="BD4" s="2767"/>
      <c r="BE4" s="2767"/>
      <c r="BF4" s="2767"/>
      <c r="BG4" s="2767"/>
      <c r="BH4" s="2767"/>
      <c r="BI4" s="2767"/>
      <c r="BJ4" s="2767"/>
      <c r="BK4" s="2767"/>
      <c r="BL4" s="2767"/>
      <c r="BM4" s="2767"/>
      <c r="BN4" s="2767"/>
      <c r="BO4" s="2767"/>
      <c r="BP4" s="4377"/>
      <c r="BQ4" s="708" t="s">
        <v>5</v>
      </c>
      <c r="BR4" s="1640" t="s">
        <v>6</v>
      </c>
    </row>
    <row r="5" spans="1:89" ht="21" customHeight="1" x14ac:dyDescent="0.2">
      <c r="A5" s="4378" t="s">
        <v>7</v>
      </c>
      <c r="B5" s="2769"/>
      <c r="C5" s="2769"/>
      <c r="D5" s="2769"/>
      <c r="E5" s="2769"/>
      <c r="F5" s="2769"/>
      <c r="G5" s="2769"/>
      <c r="H5" s="2769"/>
      <c r="I5" s="2769"/>
      <c r="J5" s="2769"/>
      <c r="K5" s="2769"/>
      <c r="L5" s="2769"/>
      <c r="M5" s="2769"/>
      <c r="N5" s="4379"/>
      <c r="O5" s="2773" t="s">
        <v>8</v>
      </c>
      <c r="P5" s="2775"/>
      <c r="Q5" s="2775"/>
      <c r="R5" s="2775"/>
      <c r="S5" s="2775"/>
      <c r="T5" s="2775"/>
      <c r="U5" s="2775"/>
      <c r="V5" s="2775"/>
      <c r="W5" s="2775"/>
      <c r="X5" s="2775"/>
      <c r="Y5" s="2775"/>
      <c r="Z5" s="2775"/>
      <c r="AA5" s="2775"/>
      <c r="AB5" s="2775"/>
      <c r="AC5" s="2775"/>
      <c r="AD5" s="2775"/>
      <c r="AE5" s="2775"/>
      <c r="AF5" s="2775"/>
      <c r="AG5" s="2775"/>
      <c r="AH5" s="2775"/>
      <c r="AI5" s="2775"/>
      <c r="AJ5" s="2775"/>
      <c r="AK5" s="2775"/>
      <c r="AL5" s="2775"/>
      <c r="AM5" s="2775"/>
      <c r="AN5" s="2775"/>
      <c r="AO5" s="2775"/>
      <c r="AP5" s="2775"/>
      <c r="AQ5" s="2775"/>
      <c r="AR5" s="2775"/>
      <c r="AS5" s="2775"/>
      <c r="AT5" s="2775"/>
      <c r="AU5" s="2775"/>
      <c r="AV5" s="2775"/>
      <c r="AW5" s="2775"/>
      <c r="AX5" s="2775"/>
      <c r="AY5" s="2775"/>
      <c r="AZ5" s="2775"/>
      <c r="BA5" s="2775"/>
      <c r="BB5" s="2775"/>
      <c r="BC5" s="2775"/>
      <c r="BD5" s="2775"/>
      <c r="BE5" s="2775"/>
      <c r="BF5" s="2775"/>
      <c r="BG5" s="2775"/>
      <c r="BH5" s="2775"/>
      <c r="BI5" s="2775"/>
      <c r="BJ5" s="2775"/>
      <c r="BK5" s="2775"/>
      <c r="BL5" s="2775"/>
      <c r="BM5" s="2775"/>
      <c r="BN5" s="2775"/>
      <c r="BO5" s="2775"/>
      <c r="BP5" s="2775"/>
      <c r="BQ5" s="2775"/>
      <c r="BR5" s="4381"/>
    </row>
    <row r="6" spans="1:89" ht="21" customHeight="1" thickBot="1" x14ac:dyDescent="0.25">
      <c r="A6" s="2770"/>
      <c r="B6" s="2771"/>
      <c r="C6" s="2771"/>
      <c r="D6" s="2771"/>
      <c r="E6" s="2771"/>
      <c r="F6" s="2771"/>
      <c r="G6" s="2771"/>
      <c r="H6" s="2771"/>
      <c r="I6" s="2771"/>
      <c r="J6" s="2771"/>
      <c r="K6" s="2771"/>
      <c r="L6" s="2771"/>
      <c r="M6" s="2771"/>
      <c r="N6" s="4380"/>
      <c r="O6" s="2773"/>
      <c r="P6" s="2775"/>
      <c r="Q6" s="2775"/>
      <c r="R6" s="2775"/>
      <c r="S6" s="2775"/>
      <c r="T6" s="2775"/>
      <c r="U6" s="2775"/>
      <c r="V6" s="2775"/>
      <c r="W6" s="2775"/>
      <c r="X6" s="2775"/>
      <c r="Y6" s="2775"/>
      <c r="Z6" s="2775"/>
      <c r="AA6" s="2776"/>
      <c r="AB6" s="1400"/>
      <c r="AC6" s="1400"/>
      <c r="AD6" s="1400"/>
      <c r="AE6" s="1400"/>
      <c r="AF6" s="1400"/>
      <c r="AG6" s="1400"/>
      <c r="AH6" s="1400"/>
      <c r="AI6" s="1400"/>
      <c r="AJ6" s="1400"/>
      <c r="AK6" s="1400"/>
      <c r="AL6" s="1400"/>
      <c r="AM6" s="1400"/>
      <c r="AN6" s="1400"/>
      <c r="AO6" s="1400"/>
      <c r="AP6" s="1400"/>
      <c r="AQ6" s="1400"/>
      <c r="AR6" s="1400"/>
      <c r="AS6" s="1400"/>
      <c r="AT6" s="1400"/>
      <c r="AU6" s="1400"/>
      <c r="AV6" s="1400"/>
      <c r="AW6" s="1400"/>
      <c r="AX6" s="1400"/>
      <c r="AY6" s="1400"/>
      <c r="AZ6" s="1400"/>
      <c r="BA6" s="1400"/>
      <c r="BB6" s="1400"/>
      <c r="BC6" s="1400"/>
      <c r="BD6" s="1400"/>
      <c r="BE6" s="1400"/>
      <c r="BF6" s="1400"/>
      <c r="BG6" s="1400"/>
      <c r="BH6" s="1400"/>
      <c r="BI6" s="1400"/>
      <c r="BJ6" s="1400"/>
      <c r="BK6" s="1668"/>
      <c r="BL6" s="1400"/>
      <c r="BM6" s="1400"/>
      <c r="BN6" s="2773"/>
      <c r="BO6" s="2775"/>
      <c r="BP6" s="2775"/>
      <c r="BQ6" s="2775"/>
      <c r="BR6" s="4381"/>
    </row>
    <row r="7" spans="1:89" ht="37.5" customHeight="1" x14ac:dyDescent="0.2">
      <c r="A7" s="4382" t="s">
        <v>9</v>
      </c>
      <c r="B7" s="2761" t="s">
        <v>10</v>
      </c>
      <c r="C7" s="2761"/>
      <c r="D7" s="2761" t="s">
        <v>9</v>
      </c>
      <c r="E7" s="2761" t="s">
        <v>11</v>
      </c>
      <c r="F7" s="2761"/>
      <c r="G7" s="2761" t="s">
        <v>9</v>
      </c>
      <c r="H7" s="2761" t="s">
        <v>12</v>
      </c>
      <c r="I7" s="2761"/>
      <c r="J7" s="2761" t="s">
        <v>9</v>
      </c>
      <c r="K7" s="2761" t="s">
        <v>13</v>
      </c>
      <c r="L7" s="2761" t="s">
        <v>14</v>
      </c>
      <c r="M7" s="4373" t="s">
        <v>15</v>
      </c>
      <c r="N7" s="2796"/>
      <c r="O7" s="2761" t="s">
        <v>16</v>
      </c>
      <c r="P7" s="4419" t="s">
        <v>17</v>
      </c>
      <c r="Q7" s="2761" t="s">
        <v>8</v>
      </c>
      <c r="R7" s="2761" t="s">
        <v>18</v>
      </c>
      <c r="S7" s="2761" t="s">
        <v>19</v>
      </c>
      <c r="T7" s="2761" t="s">
        <v>20</v>
      </c>
      <c r="U7" s="2761" t="s">
        <v>21</v>
      </c>
      <c r="V7" s="2761" t="s">
        <v>22</v>
      </c>
      <c r="W7" s="4373" t="s">
        <v>19</v>
      </c>
      <c r="X7" s="4415"/>
      <c r="Y7" s="2796"/>
      <c r="Z7" s="4419" t="s">
        <v>9</v>
      </c>
      <c r="AA7" s="2761" t="s">
        <v>23</v>
      </c>
      <c r="AB7" s="4393" t="s">
        <v>24</v>
      </c>
      <c r="AC7" s="4394"/>
      <c r="AD7" s="4394"/>
      <c r="AE7" s="4395"/>
      <c r="AF7" s="4396" t="s">
        <v>25</v>
      </c>
      <c r="AG7" s="4397"/>
      <c r="AH7" s="4397"/>
      <c r="AI7" s="4397"/>
      <c r="AJ7" s="4397"/>
      <c r="AK7" s="4397"/>
      <c r="AL7" s="4397"/>
      <c r="AM7" s="4398"/>
      <c r="AN7" s="4404" t="s">
        <v>26</v>
      </c>
      <c r="AO7" s="4405"/>
      <c r="AP7" s="4405"/>
      <c r="AQ7" s="4405"/>
      <c r="AR7" s="4405"/>
      <c r="AS7" s="4405"/>
      <c r="AT7" s="4405"/>
      <c r="AU7" s="4405"/>
      <c r="AV7" s="4405"/>
      <c r="AW7" s="4405"/>
      <c r="AX7" s="4405"/>
      <c r="AY7" s="4406"/>
      <c r="AZ7" s="4396" t="s">
        <v>27</v>
      </c>
      <c r="BA7" s="4397"/>
      <c r="BB7" s="4397"/>
      <c r="BC7" s="4397"/>
      <c r="BD7" s="4397"/>
      <c r="BE7" s="4398"/>
      <c r="BF7" s="4407" t="s">
        <v>28</v>
      </c>
      <c r="BG7" s="4408"/>
      <c r="BH7" s="4411" t="s">
        <v>29</v>
      </c>
      <c r="BI7" s="4412"/>
      <c r="BJ7" s="4412"/>
      <c r="BK7" s="4412"/>
      <c r="BL7" s="4412"/>
      <c r="BM7" s="4413"/>
      <c r="BN7" s="4389" t="s">
        <v>30</v>
      </c>
      <c r="BO7" s="4390"/>
      <c r="BP7" s="4389" t="s">
        <v>31</v>
      </c>
      <c r="BQ7" s="4390"/>
      <c r="BR7" s="2797" t="s">
        <v>32</v>
      </c>
    </row>
    <row r="8" spans="1:89" ht="61.5" customHeight="1" x14ac:dyDescent="0.2">
      <c r="A8" s="4382"/>
      <c r="B8" s="2761"/>
      <c r="C8" s="2761"/>
      <c r="D8" s="2761"/>
      <c r="E8" s="2761"/>
      <c r="F8" s="2761"/>
      <c r="G8" s="2761"/>
      <c r="H8" s="2761"/>
      <c r="I8" s="2761"/>
      <c r="J8" s="2761"/>
      <c r="K8" s="2761"/>
      <c r="L8" s="2761"/>
      <c r="M8" s="4374"/>
      <c r="N8" s="4375"/>
      <c r="O8" s="2761"/>
      <c r="P8" s="4420"/>
      <c r="Q8" s="2761"/>
      <c r="R8" s="2761"/>
      <c r="S8" s="2761"/>
      <c r="T8" s="2761"/>
      <c r="U8" s="2761"/>
      <c r="V8" s="2761"/>
      <c r="W8" s="4416"/>
      <c r="X8" s="4417"/>
      <c r="Y8" s="4418"/>
      <c r="Z8" s="4420"/>
      <c r="AA8" s="2761"/>
      <c r="AB8" s="4383" t="s">
        <v>33</v>
      </c>
      <c r="AC8" s="4383"/>
      <c r="AD8" s="4384" t="s">
        <v>34</v>
      </c>
      <c r="AE8" s="4384"/>
      <c r="AF8" s="4385" t="s">
        <v>35</v>
      </c>
      <c r="AG8" s="4386"/>
      <c r="AH8" s="4383" t="s">
        <v>36</v>
      </c>
      <c r="AI8" s="4387"/>
      <c r="AJ8" s="4385" t="s">
        <v>1059</v>
      </c>
      <c r="AK8" s="4388"/>
      <c r="AL8" s="4383" t="s">
        <v>38</v>
      </c>
      <c r="AM8" s="4383"/>
      <c r="AN8" s="4383" t="s">
        <v>39</v>
      </c>
      <c r="AO8" s="4383"/>
      <c r="AP8" s="4383" t="s">
        <v>40</v>
      </c>
      <c r="AQ8" s="4383"/>
      <c r="AR8" s="4383" t="s">
        <v>41</v>
      </c>
      <c r="AS8" s="4383"/>
      <c r="AT8" s="4383" t="s">
        <v>42</v>
      </c>
      <c r="AU8" s="4383"/>
      <c r="AV8" s="4383" t="s">
        <v>43</v>
      </c>
      <c r="AW8" s="4383"/>
      <c r="AX8" s="4383" t="s">
        <v>44</v>
      </c>
      <c r="AY8" s="4383"/>
      <c r="AZ8" s="4383" t="s">
        <v>45</v>
      </c>
      <c r="BA8" s="4383"/>
      <c r="BB8" s="4383" t="s">
        <v>46</v>
      </c>
      <c r="BC8" s="4383"/>
      <c r="BD8" s="4383" t="s">
        <v>47</v>
      </c>
      <c r="BE8" s="4383"/>
      <c r="BF8" s="4409"/>
      <c r="BG8" s="4410"/>
      <c r="BH8" s="4399" t="s">
        <v>48</v>
      </c>
      <c r="BI8" s="4402" t="s">
        <v>49</v>
      </c>
      <c r="BJ8" s="4399" t="s">
        <v>50</v>
      </c>
      <c r="BK8" s="4403" t="s">
        <v>51</v>
      </c>
      <c r="BL8" s="4399" t="s">
        <v>52</v>
      </c>
      <c r="BM8" s="4400" t="s">
        <v>53</v>
      </c>
      <c r="BN8" s="4391"/>
      <c r="BO8" s="4392"/>
      <c r="BP8" s="4391"/>
      <c r="BQ8" s="4392"/>
      <c r="BR8" s="2797"/>
    </row>
    <row r="9" spans="1:89" ht="36" customHeight="1" x14ac:dyDescent="0.2">
      <c r="A9" s="4382"/>
      <c r="B9" s="2761"/>
      <c r="C9" s="2761"/>
      <c r="D9" s="2761"/>
      <c r="E9" s="2761"/>
      <c r="F9" s="2761"/>
      <c r="G9" s="2761"/>
      <c r="H9" s="2761"/>
      <c r="I9" s="2761"/>
      <c r="J9" s="2761"/>
      <c r="K9" s="2761"/>
      <c r="L9" s="2761"/>
      <c r="M9" s="1399" t="s">
        <v>54</v>
      </c>
      <c r="N9" s="1399" t="s">
        <v>55</v>
      </c>
      <c r="O9" s="2761"/>
      <c r="P9" s="4420"/>
      <c r="Q9" s="2761"/>
      <c r="R9" s="2761"/>
      <c r="S9" s="2761"/>
      <c r="T9" s="2761"/>
      <c r="U9" s="2761"/>
      <c r="V9" s="2761"/>
      <c r="W9" s="1399" t="s">
        <v>56</v>
      </c>
      <c r="X9" s="1399" t="s">
        <v>57</v>
      </c>
      <c r="Y9" s="1399" t="s">
        <v>58</v>
      </c>
      <c r="Z9" s="4421"/>
      <c r="AA9" s="2761"/>
      <c r="AB9" s="1399" t="s">
        <v>54</v>
      </c>
      <c r="AC9" s="1399" t="s">
        <v>55</v>
      </c>
      <c r="AD9" s="1399" t="s">
        <v>54</v>
      </c>
      <c r="AE9" s="1399" t="s">
        <v>55</v>
      </c>
      <c r="AF9" s="1399" t="s">
        <v>54</v>
      </c>
      <c r="AG9" s="1399" t="s">
        <v>55</v>
      </c>
      <c r="AH9" s="1399" t="s">
        <v>54</v>
      </c>
      <c r="AI9" s="1399" t="s">
        <v>55</v>
      </c>
      <c r="AJ9" s="1399" t="s">
        <v>54</v>
      </c>
      <c r="AK9" s="1399" t="s">
        <v>55</v>
      </c>
      <c r="AL9" s="1399" t="s">
        <v>54</v>
      </c>
      <c r="AM9" s="1399" t="s">
        <v>55</v>
      </c>
      <c r="AN9" s="1399" t="s">
        <v>54</v>
      </c>
      <c r="AO9" s="1399" t="s">
        <v>55</v>
      </c>
      <c r="AP9" s="1399" t="s">
        <v>54</v>
      </c>
      <c r="AQ9" s="1399" t="s">
        <v>55</v>
      </c>
      <c r="AR9" s="1399" t="s">
        <v>54</v>
      </c>
      <c r="AS9" s="1399" t="s">
        <v>55</v>
      </c>
      <c r="AT9" s="1399" t="s">
        <v>54</v>
      </c>
      <c r="AU9" s="1399" t="s">
        <v>55</v>
      </c>
      <c r="AV9" s="1399" t="s">
        <v>54</v>
      </c>
      <c r="AW9" s="1399" t="s">
        <v>55</v>
      </c>
      <c r="AX9" s="1399" t="s">
        <v>54</v>
      </c>
      <c r="AY9" s="1399" t="s">
        <v>55</v>
      </c>
      <c r="AZ9" s="1399" t="s">
        <v>54</v>
      </c>
      <c r="BA9" s="1399" t="s">
        <v>55</v>
      </c>
      <c r="BB9" s="1399" t="s">
        <v>54</v>
      </c>
      <c r="BC9" s="1399" t="s">
        <v>55</v>
      </c>
      <c r="BD9" s="1399" t="s">
        <v>54</v>
      </c>
      <c r="BE9" s="1399" t="s">
        <v>55</v>
      </c>
      <c r="BF9" s="1399" t="s">
        <v>54</v>
      </c>
      <c r="BG9" s="1399" t="s">
        <v>55</v>
      </c>
      <c r="BH9" s="4399"/>
      <c r="BI9" s="4402"/>
      <c r="BJ9" s="4399"/>
      <c r="BK9" s="4403"/>
      <c r="BL9" s="4399"/>
      <c r="BM9" s="4401"/>
      <c r="BN9" s="879" t="s">
        <v>54</v>
      </c>
      <c r="BO9" s="879" t="s">
        <v>55</v>
      </c>
      <c r="BP9" s="879" t="s">
        <v>54</v>
      </c>
      <c r="BQ9" s="879" t="s">
        <v>55</v>
      </c>
      <c r="BR9" s="2797"/>
    </row>
    <row r="10" spans="1:89" ht="20.25" customHeight="1" x14ac:dyDescent="0.2">
      <c r="A10" s="1669">
        <v>3</v>
      </c>
      <c r="B10" s="1670"/>
      <c r="C10" s="1670" t="s">
        <v>466</v>
      </c>
      <c r="D10" s="1670"/>
      <c r="E10" s="1670"/>
      <c r="F10" s="1670"/>
      <c r="G10" s="1670"/>
      <c r="H10" s="1670"/>
      <c r="I10" s="1670"/>
      <c r="J10" s="1670"/>
      <c r="K10" s="1671"/>
      <c r="L10" s="1670"/>
      <c r="M10" s="1670"/>
      <c r="N10" s="1670"/>
      <c r="O10" s="1670"/>
      <c r="P10" s="1672"/>
      <c r="Q10" s="1671"/>
      <c r="R10" s="1673"/>
      <c r="S10" s="1674"/>
      <c r="T10" s="1671"/>
      <c r="U10" s="1671"/>
      <c r="V10" s="1671"/>
      <c r="W10" s="1671"/>
      <c r="X10" s="1671"/>
      <c r="Y10" s="1671"/>
      <c r="Z10" s="1675"/>
      <c r="AA10" s="1672"/>
      <c r="AB10" s="1670"/>
      <c r="AC10" s="1670"/>
      <c r="AD10" s="1670"/>
      <c r="AE10" s="1670"/>
      <c r="AF10" s="1670"/>
      <c r="AG10" s="1670"/>
      <c r="AH10" s="1670"/>
      <c r="AI10" s="1670"/>
      <c r="AJ10" s="1670"/>
      <c r="AK10" s="1670"/>
      <c r="AL10" s="1670"/>
      <c r="AM10" s="1670"/>
      <c r="AN10" s="1670"/>
      <c r="AO10" s="1670"/>
      <c r="AP10" s="1670"/>
      <c r="AQ10" s="1670"/>
      <c r="AR10" s="1670"/>
      <c r="AS10" s="1670"/>
      <c r="AT10" s="1670"/>
      <c r="AU10" s="1670"/>
      <c r="AV10" s="1670"/>
      <c r="AW10" s="1670"/>
      <c r="AX10" s="1670"/>
      <c r="AY10" s="1670"/>
      <c r="AZ10" s="1670"/>
      <c r="BA10" s="1670"/>
      <c r="BB10" s="1670"/>
      <c r="BC10" s="1670"/>
      <c r="BD10" s="1670"/>
      <c r="BE10" s="1670"/>
      <c r="BF10" s="1670"/>
      <c r="BG10" s="1676"/>
      <c r="BH10" s="1676"/>
      <c r="BI10" s="1676"/>
      <c r="BJ10" s="1676"/>
      <c r="BK10" s="1677"/>
      <c r="BL10" s="1676"/>
      <c r="BM10" s="1678"/>
      <c r="BN10" s="1678"/>
      <c r="BO10" s="1678"/>
      <c r="BP10" s="1678"/>
      <c r="BQ10" s="1679"/>
      <c r="BR10" s="1679"/>
      <c r="BS10" s="908"/>
      <c r="BT10" s="908"/>
      <c r="BU10" s="908"/>
      <c r="BV10" s="908"/>
      <c r="BW10" s="908"/>
      <c r="BX10" s="908"/>
      <c r="BY10" s="908"/>
      <c r="BZ10" s="908"/>
      <c r="CA10" s="908"/>
      <c r="CB10" s="908"/>
      <c r="CC10" s="908"/>
      <c r="CD10" s="908"/>
      <c r="CE10" s="908"/>
      <c r="CF10" s="908"/>
      <c r="CG10" s="908"/>
      <c r="CH10" s="908"/>
      <c r="CI10" s="908"/>
      <c r="CJ10" s="908"/>
      <c r="CK10" s="908"/>
    </row>
    <row r="11" spans="1:89" s="908" customFormat="1" ht="20.25" customHeight="1" x14ac:dyDescent="0.2">
      <c r="A11" s="1680"/>
      <c r="B11" s="1681"/>
      <c r="C11" s="1682"/>
      <c r="D11" s="1683">
        <v>20</v>
      </c>
      <c r="E11" s="1684" t="s">
        <v>1319</v>
      </c>
      <c r="F11" s="1684"/>
      <c r="G11" s="1684"/>
      <c r="H11" s="1684"/>
      <c r="I11" s="1684"/>
      <c r="J11" s="1684"/>
      <c r="K11" s="1685"/>
      <c r="L11" s="1684"/>
      <c r="M11" s="1684"/>
      <c r="N11" s="1684"/>
      <c r="O11" s="1684"/>
      <c r="P11" s="1686"/>
      <c r="Q11" s="1685"/>
      <c r="R11" s="1687"/>
      <c r="S11" s="1688"/>
      <c r="T11" s="1685"/>
      <c r="U11" s="1685"/>
      <c r="V11" s="1685"/>
      <c r="W11" s="1689"/>
      <c r="X11" s="1689"/>
      <c r="Y11" s="1689"/>
      <c r="Z11" s="1690"/>
      <c r="AA11" s="1686"/>
      <c r="AB11" s="1684"/>
      <c r="AC11" s="1684"/>
      <c r="AD11" s="1684"/>
      <c r="AE11" s="1684"/>
      <c r="AF11" s="1684"/>
      <c r="AG11" s="1684"/>
      <c r="AH11" s="1684"/>
      <c r="AI11" s="1684"/>
      <c r="AJ11" s="1684"/>
      <c r="AK11" s="1684"/>
      <c r="AL11" s="1684"/>
      <c r="AM11" s="1684"/>
      <c r="AN11" s="1684"/>
      <c r="AO11" s="1684"/>
      <c r="AP11" s="1684"/>
      <c r="AQ11" s="1684"/>
      <c r="AR11" s="1684"/>
      <c r="AS11" s="1684"/>
      <c r="AT11" s="1684"/>
      <c r="AU11" s="1684"/>
      <c r="AV11" s="1684"/>
      <c r="AW11" s="1684"/>
      <c r="AX11" s="1684"/>
      <c r="AY11" s="1684"/>
      <c r="AZ11" s="1684"/>
      <c r="BA11" s="1684"/>
      <c r="BB11" s="1684"/>
      <c r="BC11" s="1684"/>
      <c r="BD11" s="1684"/>
      <c r="BE11" s="1684"/>
      <c r="BF11" s="1684"/>
      <c r="BG11" s="1684"/>
      <c r="BH11" s="1691"/>
      <c r="BI11" s="1691"/>
      <c r="BJ11" s="1691"/>
      <c r="BK11" s="1692"/>
      <c r="BL11" s="1693"/>
      <c r="BM11" s="1691"/>
      <c r="BN11" s="1694"/>
      <c r="BO11" s="1694"/>
      <c r="BP11" s="1694"/>
      <c r="BQ11" s="1694"/>
      <c r="BR11" s="1695"/>
    </row>
    <row r="12" spans="1:89" s="908" customFormat="1" ht="20.25" customHeight="1" x14ac:dyDescent="0.2">
      <c r="A12" s="312"/>
      <c r="B12" s="1696"/>
      <c r="C12" s="1697"/>
      <c r="D12" s="1698"/>
      <c r="E12" s="1699"/>
      <c r="F12" s="1699"/>
      <c r="G12" s="1700">
        <v>68</v>
      </c>
      <c r="H12" s="1701" t="s">
        <v>1320</v>
      </c>
      <c r="I12" s="1701"/>
      <c r="J12" s="1701"/>
      <c r="K12" s="1702"/>
      <c r="L12" s="1701"/>
      <c r="M12" s="1701"/>
      <c r="N12" s="1701"/>
      <c r="O12" s="1701"/>
      <c r="P12" s="1703"/>
      <c r="Q12" s="1702"/>
      <c r="R12" s="1704"/>
      <c r="S12" s="1705"/>
      <c r="T12" s="1702"/>
      <c r="U12" s="1702"/>
      <c r="V12" s="1702"/>
      <c r="W12" s="1706"/>
      <c r="X12" s="1706"/>
      <c r="Y12" s="1706"/>
      <c r="Z12" s="1707"/>
      <c r="AA12" s="1703"/>
      <c r="AB12" s="1701"/>
      <c r="AC12" s="1701"/>
      <c r="AD12" s="1701"/>
      <c r="AE12" s="1701"/>
      <c r="AF12" s="1701"/>
      <c r="AG12" s="1701"/>
      <c r="AH12" s="1701"/>
      <c r="AI12" s="1701"/>
      <c r="AJ12" s="1701"/>
      <c r="AK12" s="1701"/>
      <c r="AL12" s="1701"/>
      <c r="AM12" s="1701"/>
      <c r="AN12" s="1701"/>
      <c r="AO12" s="1701"/>
      <c r="AP12" s="1701"/>
      <c r="AQ12" s="1701"/>
      <c r="AR12" s="1701"/>
      <c r="AS12" s="1701"/>
      <c r="AT12" s="1701"/>
      <c r="AU12" s="1701"/>
      <c r="AV12" s="1701"/>
      <c r="AW12" s="1701"/>
      <c r="AX12" s="1701"/>
      <c r="AY12" s="1701"/>
      <c r="AZ12" s="1701"/>
      <c r="BA12" s="1701"/>
      <c r="BB12" s="1701"/>
      <c r="BC12" s="1701"/>
      <c r="BD12" s="1701"/>
      <c r="BE12" s="1701"/>
      <c r="BF12" s="1701"/>
      <c r="BG12" s="1701"/>
      <c r="BH12" s="1708"/>
      <c r="BI12" s="1708"/>
      <c r="BJ12" s="1708"/>
      <c r="BK12" s="1709"/>
      <c r="BL12" s="1710"/>
      <c r="BM12" s="1708"/>
      <c r="BN12" s="1711"/>
      <c r="BO12" s="1711"/>
      <c r="BP12" s="1711"/>
      <c r="BQ12" s="1711"/>
      <c r="BR12" s="1712"/>
    </row>
    <row r="13" spans="1:89" s="908" customFormat="1" ht="33" customHeight="1" x14ac:dyDescent="0.2">
      <c r="A13" s="312"/>
      <c r="B13" s="1696"/>
      <c r="C13" s="1697"/>
      <c r="D13" s="1395"/>
      <c r="E13" s="1396"/>
      <c r="F13" s="1396"/>
      <c r="G13" s="1713"/>
      <c r="H13" s="1396"/>
      <c r="I13" s="1396"/>
      <c r="J13" s="2681">
        <v>202</v>
      </c>
      <c r="K13" s="2669" t="s">
        <v>1321</v>
      </c>
      <c r="L13" s="2669" t="s">
        <v>1322</v>
      </c>
      <c r="M13" s="2681">
        <v>23</v>
      </c>
      <c r="N13" s="2681">
        <v>1</v>
      </c>
      <c r="O13" s="1398" t="s">
        <v>1323</v>
      </c>
      <c r="P13" s="3318" t="s">
        <v>1324</v>
      </c>
      <c r="Q13" s="3360" t="s">
        <v>1325</v>
      </c>
      <c r="R13" s="4414">
        <f>+(W13+W14+W15)/S13</f>
        <v>0.77227688656143501</v>
      </c>
      <c r="S13" s="4423">
        <f>SUM(W13:W16)</f>
        <v>837732618</v>
      </c>
      <c r="T13" s="3360" t="s">
        <v>1326</v>
      </c>
      <c r="U13" s="4426" t="s">
        <v>1327</v>
      </c>
      <c r="V13" s="4429" t="s">
        <v>1328</v>
      </c>
      <c r="W13" s="1714">
        <v>78571457</v>
      </c>
      <c r="X13" s="1715">
        <v>5600000</v>
      </c>
      <c r="Y13" s="1716">
        <v>0</v>
      </c>
      <c r="Z13" s="1398">
        <v>3</v>
      </c>
      <c r="AA13" s="1398" t="s">
        <v>1329</v>
      </c>
      <c r="AB13" s="4422">
        <v>300</v>
      </c>
      <c r="AC13" s="4422">
        <f>5+23</f>
        <v>28</v>
      </c>
      <c r="AD13" s="4422">
        <v>710</v>
      </c>
      <c r="AE13" s="4422">
        <f>4+38</f>
        <v>42</v>
      </c>
      <c r="AF13" s="4422">
        <v>317</v>
      </c>
      <c r="AG13" s="4422">
        <v>10</v>
      </c>
      <c r="AH13" s="4422">
        <v>633</v>
      </c>
      <c r="AI13" s="4422">
        <f>2+32</f>
        <v>34</v>
      </c>
      <c r="AJ13" s="4422"/>
      <c r="AK13" s="4422">
        <f>9+19</f>
        <v>28</v>
      </c>
      <c r="AL13" s="4422"/>
      <c r="AM13" s="4422"/>
      <c r="AN13" s="4422"/>
      <c r="AO13" s="4422">
        <v>1</v>
      </c>
      <c r="AP13" s="4422"/>
      <c r="AQ13" s="4422">
        <v>4</v>
      </c>
      <c r="AR13" s="4422"/>
      <c r="AS13" s="4422"/>
      <c r="AT13" s="4422"/>
      <c r="AU13" s="4422"/>
      <c r="AV13" s="4422"/>
      <c r="AW13" s="4422"/>
      <c r="AX13" s="4422"/>
      <c r="AY13" s="4422"/>
      <c r="AZ13" s="4422"/>
      <c r="BA13" s="4422"/>
      <c r="BB13" s="4422">
        <v>60</v>
      </c>
      <c r="BC13" s="4422">
        <v>1</v>
      </c>
      <c r="BD13" s="4441"/>
      <c r="BE13" s="4442"/>
      <c r="BF13" s="4422">
        <f>+AB13+AD13</f>
        <v>1010</v>
      </c>
      <c r="BG13" s="4422">
        <f>+AC13+AE13</f>
        <v>70</v>
      </c>
      <c r="BH13" s="4422">
        <v>26</v>
      </c>
      <c r="BI13" s="4434">
        <f>+SUM(X13:X16)</f>
        <v>124485591</v>
      </c>
      <c r="BJ13" s="4437">
        <f>+SUM(Y14:Y16)</f>
        <v>39270000</v>
      </c>
      <c r="BK13" s="4131">
        <f>+BI13/S13</f>
        <v>0.14859823805977196</v>
      </c>
      <c r="BL13" s="1398" t="s">
        <v>1329</v>
      </c>
      <c r="BM13" s="4439" t="s">
        <v>1330</v>
      </c>
      <c r="BN13" s="4431">
        <v>43862</v>
      </c>
      <c r="BO13" s="4431">
        <v>43862</v>
      </c>
      <c r="BP13" s="4431">
        <v>44012</v>
      </c>
      <c r="BQ13" s="4431">
        <v>44012</v>
      </c>
      <c r="BR13" s="4426" t="s">
        <v>1331</v>
      </c>
    </row>
    <row r="14" spans="1:89" s="908" customFormat="1" ht="30" customHeight="1" x14ac:dyDescent="0.2">
      <c r="A14" s="312"/>
      <c r="B14" s="1696"/>
      <c r="C14" s="1697"/>
      <c r="D14" s="1395"/>
      <c r="E14" s="1396"/>
      <c r="F14" s="1396"/>
      <c r="G14" s="1395"/>
      <c r="H14" s="1396"/>
      <c r="I14" s="1396"/>
      <c r="J14" s="2681"/>
      <c r="K14" s="2669"/>
      <c r="L14" s="2669"/>
      <c r="M14" s="2681"/>
      <c r="N14" s="2681"/>
      <c r="O14" s="1398" t="s">
        <v>1332</v>
      </c>
      <c r="P14" s="3319"/>
      <c r="Q14" s="2690"/>
      <c r="R14" s="2910"/>
      <c r="S14" s="4424"/>
      <c r="T14" s="2690"/>
      <c r="U14" s="4427"/>
      <c r="V14" s="4430"/>
      <c r="W14" s="1714">
        <v>187045010</v>
      </c>
      <c r="X14" s="1716">
        <v>38415591</v>
      </c>
      <c r="Y14" s="1716">
        <v>6750000</v>
      </c>
      <c r="Z14" s="1398">
        <v>12</v>
      </c>
      <c r="AA14" s="1398" t="s">
        <v>1333</v>
      </c>
      <c r="AB14" s="4422"/>
      <c r="AC14" s="4422"/>
      <c r="AD14" s="4422"/>
      <c r="AE14" s="4422"/>
      <c r="AF14" s="4422"/>
      <c r="AG14" s="4422"/>
      <c r="AH14" s="4422"/>
      <c r="AI14" s="4422"/>
      <c r="AJ14" s="4422"/>
      <c r="AK14" s="4422"/>
      <c r="AL14" s="4422"/>
      <c r="AM14" s="4422"/>
      <c r="AN14" s="4422"/>
      <c r="AO14" s="4422"/>
      <c r="AP14" s="4422"/>
      <c r="AQ14" s="4422"/>
      <c r="AR14" s="4422"/>
      <c r="AS14" s="4422"/>
      <c r="AT14" s="4422"/>
      <c r="AU14" s="4422"/>
      <c r="AV14" s="4422"/>
      <c r="AW14" s="4422"/>
      <c r="AX14" s="4422"/>
      <c r="AY14" s="4422"/>
      <c r="AZ14" s="4422"/>
      <c r="BA14" s="4422"/>
      <c r="BB14" s="4422"/>
      <c r="BC14" s="4422"/>
      <c r="BD14" s="4441"/>
      <c r="BE14" s="4442"/>
      <c r="BF14" s="4422"/>
      <c r="BG14" s="4422"/>
      <c r="BH14" s="4422"/>
      <c r="BI14" s="4435"/>
      <c r="BJ14" s="2662"/>
      <c r="BK14" s="2852"/>
      <c r="BL14" s="1398" t="s">
        <v>1333</v>
      </c>
      <c r="BM14" s="2688"/>
      <c r="BN14" s="4432"/>
      <c r="BO14" s="4432"/>
      <c r="BP14" s="4432"/>
      <c r="BQ14" s="4432"/>
      <c r="BR14" s="4427"/>
    </row>
    <row r="15" spans="1:89" s="908" customFormat="1" ht="36" customHeight="1" x14ac:dyDescent="0.2">
      <c r="A15" s="312"/>
      <c r="B15" s="1696"/>
      <c r="C15" s="1697"/>
      <c r="D15" s="1395"/>
      <c r="E15" s="1396"/>
      <c r="F15" s="1396"/>
      <c r="G15" s="1395"/>
      <c r="H15" s="1396"/>
      <c r="I15" s="1396"/>
      <c r="J15" s="2681"/>
      <c r="K15" s="2669"/>
      <c r="L15" s="2669"/>
      <c r="M15" s="2681"/>
      <c r="N15" s="2681"/>
      <c r="O15" s="177" t="s">
        <v>1334</v>
      </c>
      <c r="P15" s="3319"/>
      <c r="Q15" s="2690"/>
      <c r="R15" s="2911"/>
      <c r="S15" s="4424"/>
      <c r="T15" s="2690"/>
      <c r="U15" s="4427"/>
      <c r="V15" s="1717" t="s">
        <v>1335</v>
      </c>
      <c r="W15" s="1718">
        <v>381345071</v>
      </c>
      <c r="X15" s="1719">
        <v>66650000</v>
      </c>
      <c r="Y15" s="1716">
        <v>18700000</v>
      </c>
      <c r="Z15" s="1523">
        <v>4</v>
      </c>
      <c r="AA15" s="177" t="s">
        <v>1336</v>
      </c>
      <c r="AB15" s="4422"/>
      <c r="AC15" s="4422"/>
      <c r="AD15" s="4422"/>
      <c r="AE15" s="4422"/>
      <c r="AF15" s="4422"/>
      <c r="AG15" s="4422"/>
      <c r="AH15" s="4422"/>
      <c r="AI15" s="4422"/>
      <c r="AJ15" s="4422"/>
      <c r="AK15" s="4422"/>
      <c r="AL15" s="4422"/>
      <c r="AM15" s="4422"/>
      <c r="AN15" s="4422"/>
      <c r="AO15" s="4422"/>
      <c r="AP15" s="4422"/>
      <c r="AQ15" s="4422"/>
      <c r="AR15" s="4422"/>
      <c r="AS15" s="4422"/>
      <c r="AT15" s="4422"/>
      <c r="AU15" s="4422"/>
      <c r="AV15" s="4422"/>
      <c r="AW15" s="4422"/>
      <c r="AX15" s="4422"/>
      <c r="AY15" s="4422"/>
      <c r="AZ15" s="4422"/>
      <c r="BA15" s="4422"/>
      <c r="BB15" s="4422"/>
      <c r="BC15" s="4422"/>
      <c r="BD15" s="4441"/>
      <c r="BE15" s="4442"/>
      <c r="BF15" s="4422"/>
      <c r="BG15" s="4422"/>
      <c r="BH15" s="4422"/>
      <c r="BI15" s="4435"/>
      <c r="BJ15" s="2662"/>
      <c r="BK15" s="2852"/>
      <c r="BL15" s="177" t="s">
        <v>1336</v>
      </c>
      <c r="BM15" s="2688"/>
      <c r="BN15" s="4432"/>
      <c r="BO15" s="4432"/>
      <c r="BP15" s="4432"/>
      <c r="BQ15" s="4432"/>
      <c r="BR15" s="4427"/>
    </row>
    <row r="16" spans="1:89" s="908" customFormat="1" ht="113.25" customHeight="1" x14ac:dyDescent="0.2">
      <c r="A16" s="312"/>
      <c r="B16" s="1696"/>
      <c r="C16" s="1697"/>
      <c r="D16" s="1395"/>
      <c r="E16" s="1396"/>
      <c r="F16" s="1396"/>
      <c r="G16" s="1395"/>
      <c r="H16" s="1396"/>
      <c r="I16" s="1396"/>
      <c r="J16" s="1393">
        <v>203</v>
      </c>
      <c r="K16" s="1397" t="s">
        <v>1337</v>
      </c>
      <c r="L16" s="1397" t="s">
        <v>1338</v>
      </c>
      <c r="M16" s="1393">
        <v>20</v>
      </c>
      <c r="N16" s="1393">
        <v>10</v>
      </c>
      <c r="O16" s="1393" t="s">
        <v>1339</v>
      </c>
      <c r="P16" s="3346"/>
      <c r="Q16" s="3361"/>
      <c r="R16" s="1573">
        <f>+W16/S13</f>
        <v>0.22772311343856494</v>
      </c>
      <c r="S16" s="4425"/>
      <c r="T16" s="3361"/>
      <c r="U16" s="4428"/>
      <c r="V16" s="1397" t="s">
        <v>1340</v>
      </c>
      <c r="W16" s="1718">
        <v>190771080</v>
      </c>
      <c r="X16" s="1719">
        <v>13820000</v>
      </c>
      <c r="Y16" s="1715">
        <v>13820000</v>
      </c>
      <c r="Z16" s="702">
        <v>4</v>
      </c>
      <c r="AA16" s="1393" t="s">
        <v>1336</v>
      </c>
      <c r="AB16" s="4422"/>
      <c r="AC16" s="4422"/>
      <c r="AD16" s="4422"/>
      <c r="AE16" s="4422"/>
      <c r="AF16" s="4422"/>
      <c r="AG16" s="4422"/>
      <c r="AH16" s="4422"/>
      <c r="AI16" s="4422"/>
      <c r="AJ16" s="4422"/>
      <c r="AK16" s="4422"/>
      <c r="AL16" s="4422"/>
      <c r="AM16" s="4422"/>
      <c r="AN16" s="4422"/>
      <c r="AO16" s="4422"/>
      <c r="AP16" s="4422"/>
      <c r="AQ16" s="4422"/>
      <c r="AR16" s="4422"/>
      <c r="AS16" s="4422"/>
      <c r="AT16" s="4422"/>
      <c r="AU16" s="4422"/>
      <c r="AV16" s="4422"/>
      <c r="AW16" s="4422"/>
      <c r="AX16" s="4422"/>
      <c r="AY16" s="4422"/>
      <c r="AZ16" s="4422"/>
      <c r="BA16" s="4422"/>
      <c r="BB16" s="4422"/>
      <c r="BC16" s="4422"/>
      <c r="BD16" s="4441"/>
      <c r="BE16" s="4442"/>
      <c r="BF16" s="4422"/>
      <c r="BG16" s="4422"/>
      <c r="BH16" s="4422"/>
      <c r="BI16" s="4436"/>
      <c r="BJ16" s="4438"/>
      <c r="BK16" s="2853"/>
      <c r="BL16" s="1393" t="s">
        <v>1336</v>
      </c>
      <c r="BM16" s="4440"/>
      <c r="BN16" s="4433"/>
      <c r="BO16" s="4433"/>
      <c r="BP16" s="4433"/>
      <c r="BQ16" s="4433"/>
      <c r="BR16" s="4428"/>
    </row>
    <row r="17" spans="1:70" s="908" customFormat="1" ht="23.25" customHeight="1" x14ac:dyDescent="0.2">
      <c r="A17" s="312"/>
      <c r="B17" s="1696"/>
      <c r="C17" s="1697"/>
      <c r="D17" s="1395"/>
      <c r="E17" s="1396"/>
      <c r="F17" s="1396"/>
      <c r="G17" s="1700">
        <v>69</v>
      </c>
      <c r="H17" s="1701" t="s">
        <v>1341</v>
      </c>
      <c r="I17" s="1701"/>
      <c r="J17" s="1701"/>
      <c r="K17" s="1702"/>
      <c r="L17" s="1701"/>
      <c r="M17" s="1701"/>
      <c r="N17" s="1701"/>
      <c r="O17" s="1701"/>
      <c r="P17" s="1703"/>
      <c r="Q17" s="1702"/>
      <c r="R17" s="1704"/>
      <c r="S17" s="1705"/>
      <c r="T17" s="1702" t="s">
        <v>507</v>
      </c>
      <c r="U17" s="1702" t="s">
        <v>507</v>
      </c>
      <c r="V17" s="1720"/>
      <c r="W17" s="1721"/>
      <c r="X17" s="1721"/>
      <c r="Y17" s="1721"/>
      <c r="Z17" s="1707"/>
      <c r="AA17" s="1706"/>
      <c r="AB17" s="4422"/>
      <c r="AC17" s="4422"/>
      <c r="AD17" s="4422"/>
      <c r="AE17" s="4422"/>
      <c r="AF17" s="4422"/>
      <c r="AG17" s="4422"/>
      <c r="AH17" s="4422"/>
      <c r="AI17" s="4422"/>
      <c r="AJ17" s="4422"/>
      <c r="AK17" s="4422"/>
      <c r="AL17" s="4422"/>
      <c r="AM17" s="4422"/>
      <c r="AN17" s="4422"/>
      <c r="AO17" s="4422"/>
      <c r="AP17" s="4422"/>
      <c r="AQ17" s="4422"/>
      <c r="AR17" s="4422"/>
      <c r="AS17" s="4422"/>
      <c r="AT17" s="4422"/>
      <c r="AU17" s="4422"/>
      <c r="AV17" s="4422"/>
      <c r="AW17" s="4422"/>
      <c r="AX17" s="4422"/>
      <c r="AY17" s="4422"/>
      <c r="AZ17" s="4422"/>
      <c r="BA17" s="4422"/>
      <c r="BB17" s="4422"/>
      <c r="BC17" s="4422"/>
      <c r="BD17" s="4441"/>
      <c r="BE17" s="4442"/>
      <c r="BF17" s="4422"/>
      <c r="BG17" s="4422"/>
      <c r="BH17" s="4422"/>
      <c r="BI17" s="1722"/>
      <c r="BJ17" s="1722"/>
      <c r="BK17" s="1723"/>
      <c r="BL17" s="1703"/>
      <c r="BM17" s="1722"/>
      <c r="BN17" s="1711"/>
      <c r="BO17" s="1711"/>
      <c r="BP17" s="1711"/>
      <c r="BQ17" s="1711"/>
      <c r="BR17" s="1724"/>
    </row>
    <row r="18" spans="1:70" s="908" customFormat="1" ht="46.5" customHeight="1" x14ac:dyDescent="0.2">
      <c r="A18" s="312"/>
      <c r="B18" s="1696"/>
      <c r="C18" s="1697"/>
      <c r="D18" s="1395"/>
      <c r="E18" s="1396"/>
      <c r="F18" s="1396"/>
      <c r="G18" s="1395"/>
      <c r="H18" s="1396"/>
      <c r="I18" s="1396"/>
      <c r="J18" s="2681">
        <v>204</v>
      </c>
      <c r="K18" s="2669" t="s">
        <v>1342</v>
      </c>
      <c r="L18" s="2551" t="s">
        <v>1343</v>
      </c>
      <c r="M18" s="3318">
        <v>13</v>
      </c>
      <c r="N18" s="3318">
        <v>0</v>
      </c>
      <c r="O18" s="1393" t="s">
        <v>1344</v>
      </c>
      <c r="P18" s="3318" t="s">
        <v>1324</v>
      </c>
      <c r="Q18" s="3360" t="s">
        <v>1325</v>
      </c>
      <c r="R18" s="1573">
        <f>+W18/S18</f>
        <v>0.64747356051703875</v>
      </c>
      <c r="S18" s="4423">
        <f>SUM(W18:W19)</f>
        <v>170200000</v>
      </c>
      <c r="T18" s="3360" t="s">
        <v>1326</v>
      </c>
      <c r="U18" s="3360" t="s">
        <v>1327</v>
      </c>
      <c r="V18" s="3360" t="s">
        <v>1345</v>
      </c>
      <c r="W18" s="1725">
        <v>110200000</v>
      </c>
      <c r="X18" s="1719">
        <v>3000000</v>
      </c>
      <c r="Y18" s="1715">
        <v>600000</v>
      </c>
      <c r="Z18" s="1726">
        <v>12</v>
      </c>
      <c r="AA18" s="1574" t="s">
        <v>1333</v>
      </c>
      <c r="AB18" s="4422"/>
      <c r="AC18" s="4422"/>
      <c r="AD18" s="4422"/>
      <c r="AE18" s="4422"/>
      <c r="AF18" s="4422"/>
      <c r="AG18" s="4422"/>
      <c r="AH18" s="4422"/>
      <c r="AI18" s="4422"/>
      <c r="AJ18" s="4422"/>
      <c r="AK18" s="4422"/>
      <c r="AL18" s="4422"/>
      <c r="AM18" s="4422"/>
      <c r="AN18" s="4422"/>
      <c r="AO18" s="4422"/>
      <c r="AP18" s="4422"/>
      <c r="AQ18" s="4422"/>
      <c r="AR18" s="4422"/>
      <c r="AS18" s="4422"/>
      <c r="AT18" s="4422"/>
      <c r="AU18" s="4422"/>
      <c r="AV18" s="4422"/>
      <c r="AW18" s="4422"/>
      <c r="AX18" s="4422"/>
      <c r="AY18" s="4422"/>
      <c r="AZ18" s="4422"/>
      <c r="BA18" s="4422"/>
      <c r="BB18" s="4422"/>
      <c r="BC18" s="4422"/>
      <c r="BD18" s="4441"/>
      <c r="BE18" s="4442"/>
      <c r="BF18" s="4422"/>
      <c r="BG18" s="4422"/>
      <c r="BH18" s="4422"/>
      <c r="BI18" s="4434">
        <f>+SUM(X18:X19)</f>
        <v>7000000</v>
      </c>
      <c r="BJ18" s="4437">
        <f>+SUM(Y18:Y19)</f>
        <v>2100000</v>
      </c>
      <c r="BK18" s="4131">
        <f>+BI18/S18</f>
        <v>4.1128084606345476E-2</v>
      </c>
      <c r="BL18" s="1574" t="s">
        <v>1333</v>
      </c>
      <c r="BM18" s="4439" t="s">
        <v>1330</v>
      </c>
      <c r="BN18" s="4431">
        <v>43862</v>
      </c>
      <c r="BO18" s="4431">
        <v>43862</v>
      </c>
      <c r="BP18" s="4431">
        <v>44012</v>
      </c>
      <c r="BQ18" s="4431">
        <v>44012</v>
      </c>
      <c r="BR18" s="4426" t="s">
        <v>1331</v>
      </c>
    </row>
    <row r="19" spans="1:70" s="908" customFormat="1" ht="51.75" customHeight="1" x14ac:dyDescent="0.2">
      <c r="A19" s="312"/>
      <c r="B19" s="1696"/>
      <c r="C19" s="1697"/>
      <c r="D19" s="1395"/>
      <c r="E19" s="1396"/>
      <c r="F19" s="1396"/>
      <c r="G19" s="1395"/>
      <c r="H19" s="1396"/>
      <c r="I19" s="1396"/>
      <c r="J19" s="2681"/>
      <c r="K19" s="2669"/>
      <c r="L19" s="2551"/>
      <c r="M19" s="3346"/>
      <c r="N19" s="3346"/>
      <c r="O19" s="1393" t="s">
        <v>1346</v>
      </c>
      <c r="P19" s="3346"/>
      <c r="Q19" s="3361"/>
      <c r="R19" s="1573">
        <f>+W19/S18</f>
        <v>0.3525264394829612</v>
      </c>
      <c r="S19" s="4425"/>
      <c r="T19" s="3361"/>
      <c r="U19" s="3361" t="s">
        <v>507</v>
      </c>
      <c r="V19" s="3361"/>
      <c r="W19" s="1725">
        <v>60000000</v>
      </c>
      <c r="X19" s="1727">
        <v>4000000</v>
      </c>
      <c r="Y19" s="1716">
        <v>1500000</v>
      </c>
      <c r="Z19" s="1726">
        <v>4</v>
      </c>
      <c r="AA19" s="1574" t="s">
        <v>1336</v>
      </c>
      <c r="AB19" s="4422"/>
      <c r="AC19" s="4422"/>
      <c r="AD19" s="4422"/>
      <c r="AE19" s="4422"/>
      <c r="AF19" s="4422"/>
      <c r="AG19" s="4422"/>
      <c r="AH19" s="4422"/>
      <c r="AI19" s="4422"/>
      <c r="AJ19" s="4422"/>
      <c r="AK19" s="4422"/>
      <c r="AL19" s="4422"/>
      <c r="AM19" s="4422"/>
      <c r="AN19" s="4422"/>
      <c r="AO19" s="4422"/>
      <c r="AP19" s="4422"/>
      <c r="AQ19" s="4422"/>
      <c r="AR19" s="4422"/>
      <c r="AS19" s="4422"/>
      <c r="AT19" s="4422"/>
      <c r="AU19" s="4422"/>
      <c r="AV19" s="4422"/>
      <c r="AW19" s="4422"/>
      <c r="AX19" s="4422"/>
      <c r="AY19" s="4422"/>
      <c r="AZ19" s="4422"/>
      <c r="BA19" s="4422"/>
      <c r="BB19" s="4422"/>
      <c r="BC19" s="4422"/>
      <c r="BD19" s="4441"/>
      <c r="BE19" s="4442"/>
      <c r="BF19" s="4422"/>
      <c r="BG19" s="4422"/>
      <c r="BH19" s="4422"/>
      <c r="BI19" s="4436"/>
      <c r="BJ19" s="4438"/>
      <c r="BK19" s="2853"/>
      <c r="BL19" s="1574" t="s">
        <v>1336</v>
      </c>
      <c r="BM19" s="4440"/>
      <c r="BN19" s="4432"/>
      <c r="BO19" s="4432"/>
      <c r="BP19" s="4432"/>
      <c r="BQ19" s="4432"/>
      <c r="BR19" s="4427"/>
    </row>
    <row r="20" spans="1:70" s="908" customFormat="1" ht="23.25" customHeight="1" x14ac:dyDescent="0.2">
      <c r="A20" s="312"/>
      <c r="B20" s="1696"/>
      <c r="C20" s="1697"/>
      <c r="D20" s="1395"/>
      <c r="E20" s="1396"/>
      <c r="F20" s="1396"/>
      <c r="G20" s="1700">
        <v>70</v>
      </c>
      <c r="H20" s="1701" t="s">
        <v>1347</v>
      </c>
      <c r="I20" s="1701"/>
      <c r="J20" s="1701"/>
      <c r="K20" s="1702"/>
      <c r="L20" s="1701"/>
      <c r="M20" s="1701"/>
      <c r="N20" s="1701"/>
      <c r="O20" s="1701"/>
      <c r="P20" s="1703"/>
      <c r="Q20" s="1702"/>
      <c r="R20" s="1704"/>
      <c r="S20" s="1705"/>
      <c r="T20" s="1702" t="s">
        <v>507</v>
      </c>
      <c r="U20" s="1702" t="s">
        <v>507</v>
      </c>
      <c r="V20" s="1702"/>
      <c r="W20" s="1721"/>
      <c r="X20" s="1721"/>
      <c r="Y20" s="1721"/>
      <c r="Z20" s="1707"/>
      <c r="AA20" s="1703"/>
      <c r="AB20" s="1722"/>
      <c r="AC20" s="1722"/>
      <c r="AD20" s="1722"/>
      <c r="AE20" s="1722"/>
      <c r="AF20" s="1722"/>
      <c r="AG20" s="1722"/>
      <c r="AH20" s="1722"/>
      <c r="AI20" s="1722"/>
      <c r="AJ20" s="1722"/>
      <c r="AK20" s="1722"/>
      <c r="AL20" s="1722"/>
      <c r="AM20" s="1722"/>
      <c r="AN20" s="1722"/>
      <c r="AO20" s="1722"/>
      <c r="AP20" s="1722"/>
      <c r="AQ20" s="1722"/>
      <c r="AR20" s="1722"/>
      <c r="AS20" s="1722"/>
      <c r="AT20" s="1722"/>
      <c r="AU20" s="1722"/>
      <c r="AV20" s="1722"/>
      <c r="AW20" s="1722"/>
      <c r="AX20" s="1722"/>
      <c r="AY20" s="1722"/>
      <c r="AZ20" s="1722"/>
      <c r="BA20" s="1722"/>
      <c r="BB20" s="1722"/>
      <c r="BC20" s="1722"/>
      <c r="BD20" s="1722"/>
      <c r="BE20" s="1722"/>
      <c r="BF20" s="1722"/>
      <c r="BG20" s="1722"/>
      <c r="BH20" s="1722"/>
      <c r="BI20" s="1722"/>
      <c r="BJ20" s="1722"/>
      <c r="BK20" s="1723"/>
      <c r="BL20" s="1703"/>
      <c r="BM20" s="1722"/>
      <c r="BN20" s="1711"/>
      <c r="BO20" s="1711"/>
      <c r="BP20" s="1711"/>
      <c r="BQ20" s="1711"/>
      <c r="BR20" s="1724"/>
    </row>
    <row r="21" spans="1:70" s="908" customFormat="1" ht="93" customHeight="1" x14ac:dyDescent="0.2">
      <c r="A21" s="312"/>
      <c r="B21" s="1696"/>
      <c r="C21" s="1697"/>
      <c r="D21" s="1395"/>
      <c r="E21" s="1396"/>
      <c r="F21" s="1396"/>
      <c r="G21" s="1395"/>
      <c r="H21" s="1396"/>
      <c r="I21" s="1396"/>
      <c r="J21" s="2681">
        <v>205</v>
      </c>
      <c r="K21" s="2669" t="s">
        <v>1348</v>
      </c>
      <c r="L21" s="4443" t="s">
        <v>1349</v>
      </c>
      <c r="M21" s="2681">
        <v>1</v>
      </c>
      <c r="N21" s="2681">
        <v>0</v>
      </c>
      <c r="O21" s="1393" t="s">
        <v>1350</v>
      </c>
      <c r="P21" s="2681" t="s">
        <v>1351</v>
      </c>
      <c r="Q21" s="2669" t="s">
        <v>1352</v>
      </c>
      <c r="R21" s="1573">
        <f>+W21/$S$21</f>
        <v>0.6</v>
      </c>
      <c r="S21" s="4423">
        <f>+SUM(W21:W22)</f>
        <v>200000000</v>
      </c>
      <c r="T21" s="3360" t="s">
        <v>1353</v>
      </c>
      <c r="U21" s="3360" t="s">
        <v>1354</v>
      </c>
      <c r="V21" s="3360" t="s">
        <v>1355</v>
      </c>
      <c r="W21" s="1728">
        <v>120000000</v>
      </c>
      <c r="X21" s="1719">
        <v>7000000</v>
      </c>
      <c r="Y21" s="1716">
        <v>1750000</v>
      </c>
      <c r="Z21" s="1726">
        <v>12</v>
      </c>
      <c r="AA21" s="1574" t="s">
        <v>1333</v>
      </c>
      <c r="AB21" s="4422">
        <v>6000</v>
      </c>
      <c r="AC21" s="4422">
        <v>0</v>
      </c>
      <c r="AD21" s="4422">
        <v>9000</v>
      </c>
      <c r="AE21" s="4422">
        <v>0</v>
      </c>
      <c r="AF21" s="4422">
        <v>10500</v>
      </c>
      <c r="AG21" s="4422"/>
      <c r="AH21" s="4422">
        <v>4500</v>
      </c>
      <c r="AI21" s="4422"/>
      <c r="AJ21" s="4422"/>
      <c r="AK21" s="4422"/>
      <c r="AL21" s="4422"/>
      <c r="AM21" s="4422"/>
      <c r="AN21" s="4422">
        <v>22</v>
      </c>
      <c r="AO21" s="4422"/>
      <c r="AP21" s="4422">
        <v>115</v>
      </c>
      <c r="AQ21" s="4422"/>
      <c r="AR21" s="4422">
        <v>1</v>
      </c>
      <c r="AS21" s="4422"/>
      <c r="AT21" s="4422"/>
      <c r="AU21" s="4422"/>
      <c r="AV21" s="4422"/>
      <c r="AW21" s="4422"/>
      <c r="AX21" s="4422"/>
      <c r="AY21" s="4422"/>
      <c r="AZ21" s="4422"/>
      <c r="BA21" s="4422"/>
      <c r="BB21" s="4422">
        <v>59</v>
      </c>
      <c r="BC21" s="4422"/>
      <c r="BD21" s="4447"/>
      <c r="BE21" s="4447"/>
      <c r="BF21" s="4422">
        <f>+AB21+AD21</f>
        <v>15000</v>
      </c>
      <c r="BG21" s="4422">
        <v>0</v>
      </c>
      <c r="BH21" s="4422">
        <v>1</v>
      </c>
      <c r="BI21" s="4437">
        <f>+SUM(X21:X22)</f>
        <v>7000000</v>
      </c>
      <c r="BJ21" s="4437">
        <f>+SUM(Y21:Y22)</f>
        <v>1750000</v>
      </c>
      <c r="BK21" s="2937">
        <f>+BI21/S21</f>
        <v>3.5000000000000003E-2</v>
      </c>
      <c r="BL21" s="1729" t="s">
        <v>1333</v>
      </c>
      <c r="BM21" s="4422" t="s">
        <v>1356</v>
      </c>
      <c r="BN21" s="4444">
        <v>43862</v>
      </c>
      <c r="BO21" s="4444">
        <v>43862</v>
      </c>
      <c r="BP21" s="4444">
        <v>44012</v>
      </c>
      <c r="BQ21" s="4444">
        <v>44012</v>
      </c>
      <c r="BR21" s="4445" t="s">
        <v>1331</v>
      </c>
    </row>
    <row r="22" spans="1:70" s="908" customFormat="1" ht="71.25" customHeight="1" x14ac:dyDescent="0.2">
      <c r="A22" s="312"/>
      <c r="B22" s="1696"/>
      <c r="C22" s="1697"/>
      <c r="D22" s="1395"/>
      <c r="E22" s="1396"/>
      <c r="F22" s="1396"/>
      <c r="G22" s="1395"/>
      <c r="H22" s="1396"/>
      <c r="I22" s="1396"/>
      <c r="J22" s="2681"/>
      <c r="K22" s="2669"/>
      <c r="L22" s="4443"/>
      <c r="M22" s="2681"/>
      <c r="N22" s="2681"/>
      <c r="O22" s="1393" t="s">
        <v>1357</v>
      </c>
      <c r="P22" s="2681"/>
      <c r="Q22" s="2669"/>
      <c r="R22" s="1573">
        <f>+W22/$S$21</f>
        <v>0.4</v>
      </c>
      <c r="S22" s="4425"/>
      <c r="T22" s="2690"/>
      <c r="U22" s="2690" t="s">
        <v>507</v>
      </c>
      <c r="V22" s="2690"/>
      <c r="W22" s="1728">
        <v>80000000</v>
      </c>
      <c r="X22" s="1719">
        <v>0</v>
      </c>
      <c r="Y22" s="1716">
        <v>0</v>
      </c>
      <c r="Z22" s="1726">
        <v>4</v>
      </c>
      <c r="AA22" s="1574" t="s">
        <v>1336</v>
      </c>
      <c r="AB22" s="4422"/>
      <c r="AC22" s="4422"/>
      <c r="AD22" s="4422"/>
      <c r="AE22" s="4422"/>
      <c r="AF22" s="4422"/>
      <c r="AG22" s="4422"/>
      <c r="AH22" s="4422"/>
      <c r="AI22" s="4422"/>
      <c r="AJ22" s="4422"/>
      <c r="AK22" s="4422"/>
      <c r="AL22" s="4422"/>
      <c r="AM22" s="4422"/>
      <c r="AN22" s="4422"/>
      <c r="AO22" s="4422"/>
      <c r="AP22" s="4422"/>
      <c r="AQ22" s="4422"/>
      <c r="AR22" s="4422"/>
      <c r="AS22" s="4422"/>
      <c r="AT22" s="4422"/>
      <c r="AU22" s="4422"/>
      <c r="AV22" s="4422"/>
      <c r="AW22" s="4422"/>
      <c r="AX22" s="4422"/>
      <c r="AY22" s="4422"/>
      <c r="AZ22" s="4422"/>
      <c r="BA22" s="4422"/>
      <c r="BB22" s="4422"/>
      <c r="BC22" s="4422"/>
      <c r="BD22" s="4448"/>
      <c r="BE22" s="4448"/>
      <c r="BF22" s="4422"/>
      <c r="BG22" s="4422"/>
      <c r="BH22" s="4422"/>
      <c r="BI22" s="2662"/>
      <c r="BJ22" s="2662"/>
      <c r="BK22" s="2937"/>
      <c r="BL22" s="1729" t="s">
        <v>1358</v>
      </c>
      <c r="BM22" s="4422"/>
      <c r="BN22" s="4444"/>
      <c r="BO22" s="4444"/>
      <c r="BP22" s="4444"/>
      <c r="BQ22" s="4444"/>
      <c r="BR22" s="4445"/>
    </row>
    <row r="23" spans="1:70" s="908" customFormat="1" ht="23.25" customHeight="1" x14ac:dyDescent="0.2">
      <c r="A23" s="312"/>
      <c r="B23" s="1696"/>
      <c r="C23" s="1697"/>
      <c r="D23" s="1395"/>
      <c r="E23" s="1396"/>
      <c r="F23" s="1396"/>
      <c r="G23" s="1700">
        <v>71</v>
      </c>
      <c r="H23" s="1701" t="s">
        <v>1359</v>
      </c>
      <c r="I23" s="1701"/>
      <c r="J23" s="1701"/>
      <c r="K23" s="1702"/>
      <c r="L23" s="1701"/>
      <c r="M23" s="1701"/>
      <c r="N23" s="1701"/>
      <c r="O23" s="1701"/>
      <c r="P23" s="1703"/>
      <c r="Q23" s="1702"/>
      <c r="R23" s="1704"/>
      <c r="S23" s="1705"/>
      <c r="T23" s="1702" t="s">
        <v>507</v>
      </c>
      <c r="U23" s="1702" t="s">
        <v>507</v>
      </c>
      <c r="V23" s="1702"/>
      <c r="W23" s="1721"/>
      <c r="X23" s="1721"/>
      <c r="Y23" s="1721"/>
      <c r="Z23" s="1707"/>
      <c r="AA23" s="1703"/>
      <c r="AB23" s="1722"/>
      <c r="AC23" s="1722"/>
      <c r="AD23" s="1722"/>
      <c r="AE23" s="1722"/>
      <c r="AF23" s="1722"/>
      <c r="AG23" s="1722"/>
      <c r="AH23" s="1722"/>
      <c r="AI23" s="1722"/>
      <c r="AJ23" s="1722"/>
      <c r="AK23" s="1722"/>
      <c r="AL23" s="1722"/>
      <c r="AM23" s="1722"/>
      <c r="AN23" s="1722"/>
      <c r="AO23" s="1722"/>
      <c r="AP23" s="1722"/>
      <c r="AQ23" s="1722"/>
      <c r="AR23" s="1722"/>
      <c r="AS23" s="1722"/>
      <c r="AT23" s="1722"/>
      <c r="AU23" s="1722"/>
      <c r="AV23" s="1722"/>
      <c r="AW23" s="1722"/>
      <c r="AX23" s="1722"/>
      <c r="AY23" s="1722"/>
      <c r="AZ23" s="1722"/>
      <c r="BA23" s="1722"/>
      <c r="BB23" s="1722"/>
      <c r="BC23" s="1722"/>
      <c r="BD23" s="1722"/>
      <c r="BE23" s="1722"/>
      <c r="BF23" s="1722"/>
      <c r="BG23" s="1722"/>
      <c r="BH23" s="1722"/>
      <c r="BI23" s="1722"/>
      <c r="BJ23" s="1722"/>
      <c r="BK23" s="1723"/>
      <c r="BL23" s="1703"/>
      <c r="BM23" s="1722"/>
      <c r="BN23" s="1711"/>
      <c r="BO23" s="1711"/>
      <c r="BP23" s="1711"/>
      <c r="BQ23" s="1711"/>
      <c r="BR23" s="1724"/>
    </row>
    <row r="24" spans="1:70" s="908" customFormat="1" ht="150" customHeight="1" x14ac:dyDescent="0.2">
      <c r="A24" s="312"/>
      <c r="B24" s="1696"/>
      <c r="C24" s="1697"/>
      <c r="D24" s="1395"/>
      <c r="E24" s="1396"/>
      <c r="F24" s="1396"/>
      <c r="G24" s="1395"/>
      <c r="H24" s="1396"/>
      <c r="I24" s="1396"/>
      <c r="J24" s="1584">
        <v>206</v>
      </c>
      <c r="K24" s="1584" t="s">
        <v>1360</v>
      </c>
      <c r="L24" s="1584" t="s">
        <v>1361</v>
      </c>
      <c r="M24" s="1584">
        <v>12</v>
      </c>
      <c r="N24" s="1584">
        <v>8</v>
      </c>
      <c r="O24" s="1393" t="s">
        <v>1362</v>
      </c>
      <c r="P24" s="3318" t="s">
        <v>1363</v>
      </c>
      <c r="Q24" s="3360" t="s">
        <v>1364</v>
      </c>
      <c r="R24" s="1573">
        <f>+W24/S24</f>
        <v>0.31152144564891288</v>
      </c>
      <c r="S24" s="4446">
        <f>SUM(W24:W28)</f>
        <v>176552853</v>
      </c>
      <c r="T24" s="3360" t="s">
        <v>1365</v>
      </c>
      <c r="U24" s="3360" t="s">
        <v>1366</v>
      </c>
      <c r="V24" s="1397" t="s">
        <v>1367</v>
      </c>
      <c r="W24" s="1730">
        <v>55000000</v>
      </c>
      <c r="X24" s="1731">
        <v>50620000</v>
      </c>
      <c r="Y24" s="1731">
        <v>11010000</v>
      </c>
      <c r="Z24" s="702">
        <v>12</v>
      </c>
      <c r="AA24" s="1393" t="s">
        <v>1333</v>
      </c>
      <c r="AB24" s="4439">
        <v>770</v>
      </c>
      <c r="AC24" s="4439">
        <v>93</v>
      </c>
      <c r="AD24" s="4439">
        <v>630</v>
      </c>
      <c r="AE24" s="4439">
        <v>34</v>
      </c>
      <c r="AF24" s="4439">
        <v>372</v>
      </c>
      <c r="AG24" s="4439">
        <v>103</v>
      </c>
      <c r="AH24" s="4439">
        <v>94</v>
      </c>
      <c r="AI24" s="4439">
        <v>24</v>
      </c>
      <c r="AJ24" s="4439">
        <v>934</v>
      </c>
      <c r="AK24" s="4439"/>
      <c r="AL24" s="4439"/>
      <c r="AM24" s="4439"/>
      <c r="AN24" s="4439">
        <v>40</v>
      </c>
      <c r="AO24" s="4439"/>
      <c r="AP24" s="4439"/>
      <c r="AQ24" s="4439"/>
      <c r="AR24" s="4439"/>
      <c r="AS24" s="4439"/>
      <c r="AT24" s="4439"/>
      <c r="AU24" s="4439"/>
      <c r="AV24" s="4439"/>
      <c r="AW24" s="4439"/>
      <c r="AX24" s="4439"/>
      <c r="AY24" s="4439"/>
      <c r="AZ24" s="4439"/>
      <c r="BA24" s="4439"/>
      <c r="BB24" s="4439"/>
      <c r="BC24" s="4439"/>
      <c r="BD24" s="4447"/>
      <c r="BE24" s="4447"/>
      <c r="BF24" s="4439">
        <v>1400</v>
      </c>
      <c r="BG24" s="4439">
        <f>+AC24+AE24</f>
        <v>127</v>
      </c>
      <c r="BH24" s="4439">
        <v>12</v>
      </c>
      <c r="BI24" s="4437">
        <f>+SUM(X24:X28)</f>
        <v>64100000</v>
      </c>
      <c r="BJ24" s="4437">
        <f>+SUM(Y24:Y28)</f>
        <v>17130000</v>
      </c>
      <c r="BK24" s="4131">
        <f>+BI24/S24</f>
        <v>0.3630640848380966</v>
      </c>
      <c r="BL24" s="1393" t="s">
        <v>1333</v>
      </c>
      <c r="BM24" s="4439" t="s">
        <v>1356</v>
      </c>
      <c r="BN24" s="4431">
        <v>43862</v>
      </c>
      <c r="BO24" s="4431">
        <v>43862</v>
      </c>
      <c r="BP24" s="4431">
        <v>44012</v>
      </c>
      <c r="BQ24" s="4431">
        <v>44012</v>
      </c>
      <c r="BR24" s="4449" t="s">
        <v>1331</v>
      </c>
    </row>
    <row r="25" spans="1:70" s="908" customFormat="1" ht="55.5" customHeight="1" x14ac:dyDescent="0.2">
      <c r="A25" s="312"/>
      <c r="B25" s="1696"/>
      <c r="C25" s="1697"/>
      <c r="D25" s="1395"/>
      <c r="E25" s="1396"/>
      <c r="F25" s="1396"/>
      <c r="G25" s="1395"/>
      <c r="H25" s="1396"/>
      <c r="I25" s="1396"/>
      <c r="J25" s="2681">
        <v>207</v>
      </c>
      <c r="K25" s="4451" t="s">
        <v>1368</v>
      </c>
      <c r="L25" s="3318" t="s">
        <v>1369</v>
      </c>
      <c r="M25" s="3318">
        <v>1</v>
      </c>
      <c r="N25" s="3318">
        <v>0</v>
      </c>
      <c r="O25" s="1393" t="s">
        <v>1370</v>
      </c>
      <c r="P25" s="3319"/>
      <c r="Q25" s="2690"/>
      <c r="R25" s="1573">
        <f>+W25/S24</f>
        <v>3.7115531630633011E-2</v>
      </c>
      <c r="S25" s="4446"/>
      <c r="T25" s="2690"/>
      <c r="U25" s="2690"/>
      <c r="V25" s="3318" t="s">
        <v>1371</v>
      </c>
      <c r="W25" s="1732">
        <v>6552853</v>
      </c>
      <c r="X25" s="1733">
        <v>4000000</v>
      </c>
      <c r="Y25" s="1734">
        <v>1500000</v>
      </c>
      <c r="Z25" s="702">
        <v>3</v>
      </c>
      <c r="AA25" s="1393" t="s">
        <v>1329</v>
      </c>
      <c r="AB25" s="2688"/>
      <c r="AC25" s="2688"/>
      <c r="AD25" s="2688"/>
      <c r="AE25" s="2688"/>
      <c r="AF25" s="2688"/>
      <c r="AG25" s="2688"/>
      <c r="AH25" s="2688"/>
      <c r="AI25" s="2688"/>
      <c r="AJ25" s="2688"/>
      <c r="AK25" s="2688"/>
      <c r="AL25" s="2688"/>
      <c r="AM25" s="2688"/>
      <c r="AN25" s="2688"/>
      <c r="AO25" s="2688"/>
      <c r="AP25" s="2688"/>
      <c r="AQ25" s="2688"/>
      <c r="AR25" s="2688"/>
      <c r="AS25" s="2688"/>
      <c r="AT25" s="2688"/>
      <c r="AU25" s="2688"/>
      <c r="AV25" s="2688"/>
      <c r="AW25" s="2688"/>
      <c r="AX25" s="2688"/>
      <c r="AY25" s="2688"/>
      <c r="AZ25" s="2688"/>
      <c r="BA25" s="2688"/>
      <c r="BB25" s="2688"/>
      <c r="BC25" s="2688"/>
      <c r="BD25" s="4448"/>
      <c r="BE25" s="4448"/>
      <c r="BF25" s="2688"/>
      <c r="BG25" s="2688"/>
      <c r="BH25" s="2688"/>
      <c r="BI25" s="2662"/>
      <c r="BJ25" s="2662"/>
      <c r="BK25" s="2852"/>
      <c r="BL25" s="1393" t="s">
        <v>1329</v>
      </c>
      <c r="BM25" s="2688"/>
      <c r="BN25" s="4432"/>
      <c r="BO25" s="4432"/>
      <c r="BP25" s="4432"/>
      <c r="BQ25" s="4432"/>
      <c r="BR25" s="4450"/>
    </row>
    <row r="26" spans="1:70" s="908" customFormat="1" ht="54" customHeight="1" x14ac:dyDescent="0.2">
      <c r="A26" s="312"/>
      <c r="B26" s="1696"/>
      <c r="C26" s="1697"/>
      <c r="D26" s="1395"/>
      <c r="E26" s="1396"/>
      <c r="F26" s="1396"/>
      <c r="G26" s="1395"/>
      <c r="H26" s="1396"/>
      <c r="I26" s="1396"/>
      <c r="J26" s="2681"/>
      <c r="K26" s="2955"/>
      <c r="L26" s="3346"/>
      <c r="M26" s="3346"/>
      <c r="N26" s="3346"/>
      <c r="O26" s="1393" t="s">
        <v>1372</v>
      </c>
      <c r="P26" s="3319"/>
      <c r="Q26" s="2690"/>
      <c r="R26" s="1573">
        <f>+W26/S24</f>
        <v>0.33984157707154128</v>
      </c>
      <c r="S26" s="4446"/>
      <c r="T26" s="2690"/>
      <c r="U26" s="2690"/>
      <c r="V26" s="3346"/>
      <c r="W26" s="1732">
        <v>60000000</v>
      </c>
      <c r="X26" s="1733">
        <v>0</v>
      </c>
      <c r="Y26" s="1733">
        <v>0</v>
      </c>
      <c r="Z26" s="702">
        <v>12</v>
      </c>
      <c r="AA26" s="1393" t="s">
        <v>1333</v>
      </c>
      <c r="AB26" s="2688"/>
      <c r="AC26" s="2688"/>
      <c r="AD26" s="2688"/>
      <c r="AE26" s="2688"/>
      <c r="AF26" s="2688"/>
      <c r="AG26" s="2688"/>
      <c r="AH26" s="2688"/>
      <c r="AI26" s="2688"/>
      <c r="AJ26" s="2688"/>
      <c r="AK26" s="2688"/>
      <c r="AL26" s="2688"/>
      <c r="AM26" s="2688"/>
      <c r="AN26" s="2688"/>
      <c r="AO26" s="2688"/>
      <c r="AP26" s="2688"/>
      <c r="AQ26" s="2688"/>
      <c r="AR26" s="2688"/>
      <c r="AS26" s="2688"/>
      <c r="AT26" s="2688"/>
      <c r="AU26" s="2688"/>
      <c r="AV26" s="2688"/>
      <c r="AW26" s="2688"/>
      <c r="AX26" s="2688"/>
      <c r="AY26" s="2688"/>
      <c r="AZ26" s="2688"/>
      <c r="BA26" s="2688"/>
      <c r="BB26" s="2688"/>
      <c r="BC26" s="2688"/>
      <c r="BD26" s="4448"/>
      <c r="BE26" s="4448"/>
      <c r="BF26" s="2688"/>
      <c r="BG26" s="2688"/>
      <c r="BH26" s="2688"/>
      <c r="BI26" s="2662"/>
      <c r="BJ26" s="2662"/>
      <c r="BK26" s="2852"/>
      <c r="BL26" s="1393" t="s">
        <v>1333</v>
      </c>
      <c r="BM26" s="2688"/>
      <c r="BN26" s="4432"/>
      <c r="BO26" s="4432"/>
      <c r="BP26" s="4432"/>
      <c r="BQ26" s="4432"/>
      <c r="BR26" s="4450"/>
    </row>
    <row r="27" spans="1:70" s="908" customFormat="1" ht="48" customHeight="1" x14ac:dyDescent="0.2">
      <c r="A27" s="312"/>
      <c r="B27" s="1696"/>
      <c r="C27" s="1697"/>
      <c r="D27" s="1395"/>
      <c r="E27" s="1396"/>
      <c r="F27" s="1396"/>
      <c r="G27" s="1395"/>
      <c r="H27" s="1396"/>
      <c r="I27" s="1396"/>
      <c r="J27" s="2681">
        <v>208</v>
      </c>
      <c r="K27" s="4443" t="s">
        <v>1373</v>
      </c>
      <c r="L27" s="4443" t="s">
        <v>1374</v>
      </c>
      <c r="M27" s="2681">
        <v>1</v>
      </c>
      <c r="N27" s="2681">
        <v>0</v>
      </c>
      <c r="O27" s="1393" t="s">
        <v>1375</v>
      </c>
      <c r="P27" s="3319"/>
      <c r="Q27" s="2690"/>
      <c r="R27" s="1573">
        <f>+W27/S24</f>
        <v>0.16992078853577064</v>
      </c>
      <c r="S27" s="4446"/>
      <c r="T27" s="2690"/>
      <c r="U27" s="2690" t="s">
        <v>507</v>
      </c>
      <c r="V27" s="2669" t="s">
        <v>1376</v>
      </c>
      <c r="W27" s="1732">
        <v>30000000</v>
      </c>
      <c r="X27" s="1733">
        <v>3480000</v>
      </c>
      <c r="Y27" s="1733">
        <v>2120000</v>
      </c>
      <c r="Z27" s="702">
        <v>4</v>
      </c>
      <c r="AA27" s="1393" t="s">
        <v>1336</v>
      </c>
      <c r="AB27" s="2688"/>
      <c r="AC27" s="2688"/>
      <c r="AD27" s="2688"/>
      <c r="AE27" s="2688"/>
      <c r="AF27" s="2688"/>
      <c r="AG27" s="2688"/>
      <c r="AH27" s="2688"/>
      <c r="AI27" s="2688"/>
      <c r="AJ27" s="2688"/>
      <c r="AK27" s="2688"/>
      <c r="AL27" s="2688"/>
      <c r="AM27" s="2688"/>
      <c r="AN27" s="2688"/>
      <c r="AO27" s="2688"/>
      <c r="AP27" s="2688"/>
      <c r="AQ27" s="2688"/>
      <c r="AR27" s="2688"/>
      <c r="AS27" s="2688"/>
      <c r="AT27" s="2688"/>
      <c r="AU27" s="2688"/>
      <c r="AV27" s="2688"/>
      <c r="AW27" s="2688"/>
      <c r="AX27" s="2688"/>
      <c r="AY27" s="2688"/>
      <c r="AZ27" s="2688"/>
      <c r="BA27" s="2688"/>
      <c r="BB27" s="2688"/>
      <c r="BC27" s="2688"/>
      <c r="BD27" s="4448"/>
      <c r="BE27" s="4448"/>
      <c r="BF27" s="2688"/>
      <c r="BG27" s="2688"/>
      <c r="BH27" s="2688"/>
      <c r="BI27" s="2662"/>
      <c r="BJ27" s="2662"/>
      <c r="BK27" s="2852"/>
      <c r="BL27" s="1393" t="s">
        <v>1336</v>
      </c>
      <c r="BM27" s="2688"/>
      <c r="BN27" s="4432"/>
      <c r="BO27" s="4432"/>
      <c r="BP27" s="4432"/>
      <c r="BQ27" s="4432"/>
      <c r="BR27" s="4450"/>
    </row>
    <row r="28" spans="1:70" s="908" customFormat="1" ht="75" customHeight="1" x14ac:dyDescent="0.2">
      <c r="A28" s="312"/>
      <c r="B28" s="1696"/>
      <c r="C28" s="1697"/>
      <c r="D28" s="1395"/>
      <c r="E28" s="1396"/>
      <c r="F28" s="1396"/>
      <c r="G28" s="1395"/>
      <c r="H28" s="1396"/>
      <c r="I28" s="1396"/>
      <c r="J28" s="2681"/>
      <c r="K28" s="4443"/>
      <c r="L28" s="4443"/>
      <c r="M28" s="2681"/>
      <c r="N28" s="2681"/>
      <c r="O28" s="1393" t="s">
        <v>1377</v>
      </c>
      <c r="P28" s="3319"/>
      <c r="Q28" s="2690"/>
      <c r="R28" s="1573">
        <f>+W28/S24</f>
        <v>0.14160065711314221</v>
      </c>
      <c r="S28" s="4446"/>
      <c r="T28" s="2690"/>
      <c r="U28" s="2690" t="s">
        <v>507</v>
      </c>
      <c r="V28" s="2669"/>
      <c r="W28" s="1730">
        <v>25000000</v>
      </c>
      <c r="X28" s="1735">
        <v>6000000</v>
      </c>
      <c r="Y28" s="1734">
        <v>2500000</v>
      </c>
      <c r="Z28" s="702">
        <v>12</v>
      </c>
      <c r="AA28" s="1393" t="s">
        <v>1333</v>
      </c>
      <c r="AB28" s="2688"/>
      <c r="AC28" s="2688"/>
      <c r="AD28" s="2688"/>
      <c r="AE28" s="2688"/>
      <c r="AF28" s="2688"/>
      <c r="AG28" s="2688"/>
      <c r="AH28" s="2688"/>
      <c r="AI28" s="2688"/>
      <c r="AJ28" s="2688"/>
      <c r="AK28" s="2688"/>
      <c r="AL28" s="2688"/>
      <c r="AM28" s="2688"/>
      <c r="AN28" s="2688"/>
      <c r="AO28" s="2688"/>
      <c r="AP28" s="2688"/>
      <c r="AQ28" s="2688"/>
      <c r="AR28" s="2688"/>
      <c r="AS28" s="2688"/>
      <c r="AT28" s="2688"/>
      <c r="AU28" s="2688"/>
      <c r="AV28" s="2688"/>
      <c r="AW28" s="2688"/>
      <c r="AX28" s="2688"/>
      <c r="AY28" s="2688"/>
      <c r="AZ28" s="2688"/>
      <c r="BA28" s="2688"/>
      <c r="BB28" s="2688"/>
      <c r="BC28" s="2688"/>
      <c r="BD28" s="4448"/>
      <c r="BE28" s="4448"/>
      <c r="BF28" s="2688"/>
      <c r="BG28" s="2688"/>
      <c r="BH28" s="2688"/>
      <c r="BI28" s="2662"/>
      <c r="BJ28" s="2662"/>
      <c r="BK28" s="2852"/>
      <c r="BL28" s="1393" t="s">
        <v>1333</v>
      </c>
      <c r="BM28" s="2688"/>
      <c r="BN28" s="4432"/>
      <c r="BO28" s="4432"/>
      <c r="BP28" s="4432"/>
      <c r="BQ28" s="4432"/>
      <c r="BR28" s="4450"/>
    </row>
    <row r="29" spans="1:70" s="908" customFormat="1" ht="20.25" customHeight="1" x14ac:dyDescent="0.2">
      <c r="A29" s="1680"/>
      <c r="B29" s="1681"/>
      <c r="C29" s="1682"/>
      <c r="D29" s="1683">
        <v>21</v>
      </c>
      <c r="E29" s="1684" t="s">
        <v>1378</v>
      </c>
      <c r="F29" s="1684"/>
      <c r="G29" s="1684"/>
      <c r="H29" s="1684"/>
      <c r="I29" s="1684"/>
      <c r="J29" s="1684"/>
      <c r="K29" s="1685"/>
      <c r="L29" s="1684"/>
      <c r="M29" s="1684"/>
      <c r="N29" s="1684"/>
      <c r="O29" s="1684"/>
      <c r="P29" s="1686"/>
      <c r="Q29" s="1685"/>
      <c r="R29" s="1687"/>
      <c r="S29" s="1688"/>
      <c r="T29" s="1685" t="s">
        <v>507</v>
      </c>
      <c r="U29" s="1685" t="s">
        <v>507</v>
      </c>
      <c r="V29" s="1685"/>
      <c r="W29" s="1736"/>
      <c r="X29" s="1736"/>
      <c r="Y29" s="1736"/>
      <c r="Z29" s="1690"/>
      <c r="AA29" s="1686"/>
      <c r="AB29" s="1684"/>
      <c r="AC29" s="1684"/>
      <c r="AD29" s="1684"/>
      <c r="AE29" s="1684"/>
      <c r="AF29" s="1684"/>
      <c r="AG29" s="1684"/>
      <c r="AH29" s="1684"/>
      <c r="AI29" s="1684"/>
      <c r="AJ29" s="1684"/>
      <c r="AK29" s="1684"/>
      <c r="AL29" s="1684"/>
      <c r="AM29" s="1684"/>
      <c r="AN29" s="1684"/>
      <c r="AO29" s="1684"/>
      <c r="AP29" s="1684"/>
      <c r="AQ29" s="1684"/>
      <c r="AR29" s="1684"/>
      <c r="AS29" s="1684"/>
      <c r="AT29" s="1684"/>
      <c r="AU29" s="1684"/>
      <c r="AV29" s="1684"/>
      <c r="AW29" s="1684"/>
      <c r="AX29" s="1684"/>
      <c r="AY29" s="1684"/>
      <c r="AZ29" s="1684"/>
      <c r="BA29" s="1684"/>
      <c r="BB29" s="1684"/>
      <c r="BC29" s="1684"/>
      <c r="BD29" s="1684"/>
      <c r="BE29" s="1684"/>
      <c r="BF29" s="1684"/>
      <c r="BG29" s="1684"/>
      <c r="BH29" s="1691"/>
      <c r="BI29" s="1691"/>
      <c r="BJ29" s="1691"/>
      <c r="BK29" s="1692"/>
      <c r="BL29" s="1686"/>
      <c r="BM29" s="1691"/>
      <c r="BN29" s="1694"/>
      <c r="BO29" s="1694"/>
      <c r="BP29" s="1694"/>
      <c r="BQ29" s="1694"/>
      <c r="BR29" s="1695"/>
    </row>
    <row r="30" spans="1:70" s="908" customFormat="1" ht="23.25" customHeight="1" x14ac:dyDescent="0.2">
      <c r="A30" s="312"/>
      <c r="B30" s="1696"/>
      <c r="C30" s="1697"/>
      <c r="D30" s="1395"/>
      <c r="E30" s="1396"/>
      <c r="F30" s="1396"/>
      <c r="G30" s="1700">
        <v>72</v>
      </c>
      <c r="H30" s="1701" t="s">
        <v>1379</v>
      </c>
      <c r="I30" s="1701"/>
      <c r="J30" s="1701"/>
      <c r="K30" s="1702"/>
      <c r="L30" s="1701"/>
      <c r="M30" s="1701"/>
      <c r="N30" s="1701"/>
      <c r="O30" s="1701"/>
      <c r="P30" s="1703"/>
      <c r="Q30" s="1702"/>
      <c r="R30" s="1704"/>
      <c r="S30" s="1705"/>
      <c r="T30" s="1702" t="s">
        <v>507</v>
      </c>
      <c r="U30" s="1702" t="s">
        <v>507</v>
      </c>
      <c r="V30" s="1702"/>
      <c r="W30" s="1721"/>
      <c r="X30" s="1721"/>
      <c r="Y30" s="1721"/>
      <c r="Z30" s="1707"/>
      <c r="AA30" s="1703"/>
      <c r="AB30" s="1722"/>
      <c r="AC30" s="1722"/>
      <c r="AD30" s="1722"/>
      <c r="AE30" s="1722"/>
      <c r="AF30" s="1722"/>
      <c r="AG30" s="1722"/>
      <c r="AH30" s="1722"/>
      <c r="AI30" s="1722"/>
      <c r="AJ30" s="1722"/>
      <c r="AK30" s="1722"/>
      <c r="AL30" s="1722"/>
      <c r="AM30" s="1722"/>
      <c r="AN30" s="1722"/>
      <c r="AO30" s="1722"/>
      <c r="AP30" s="1722"/>
      <c r="AQ30" s="1722"/>
      <c r="AR30" s="1722"/>
      <c r="AS30" s="1722"/>
      <c r="AT30" s="1722"/>
      <c r="AU30" s="1722"/>
      <c r="AV30" s="1722"/>
      <c r="AW30" s="1722"/>
      <c r="AX30" s="1722"/>
      <c r="AY30" s="1722"/>
      <c r="AZ30" s="1722"/>
      <c r="BA30" s="1722"/>
      <c r="BB30" s="1722"/>
      <c r="BC30" s="1722"/>
      <c r="BD30" s="1722"/>
      <c r="BE30" s="1722"/>
      <c r="BF30" s="1722"/>
      <c r="BG30" s="1722"/>
      <c r="BH30" s="1722"/>
      <c r="BI30" s="1722"/>
      <c r="BJ30" s="1722"/>
      <c r="BK30" s="1723"/>
      <c r="BL30" s="1703"/>
      <c r="BM30" s="1722"/>
      <c r="BN30" s="1711"/>
      <c r="BO30" s="1711"/>
      <c r="BP30" s="1711"/>
      <c r="BQ30" s="1711"/>
      <c r="BR30" s="1724"/>
    </row>
    <row r="31" spans="1:70" s="908" customFormat="1" ht="96" customHeight="1" x14ac:dyDescent="0.2">
      <c r="A31" s="312"/>
      <c r="B31" s="1696"/>
      <c r="C31" s="1697"/>
      <c r="D31" s="1395"/>
      <c r="E31" s="1396"/>
      <c r="F31" s="1396"/>
      <c r="G31" s="1395"/>
      <c r="H31" s="1396"/>
      <c r="I31" s="1396"/>
      <c r="J31" s="1584">
        <v>209</v>
      </c>
      <c r="K31" s="1717" t="s">
        <v>1380</v>
      </c>
      <c r="L31" s="1717" t="s">
        <v>1381</v>
      </c>
      <c r="M31" s="1584">
        <v>1</v>
      </c>
      <c r="N31" s="1584"/>
      <c r="O31" s="1393" t="s">
        <v>1382</v>
      </c>
      <c r="P31" s="3318" t="s">
        <v>1383</v>
      </c>
      <c r="Q31" s="3360" t="s">
        <v>1384</v>
      </c>
      <c r="R31" s="1573">
        <f>+W31/$S$31</f>
        <v>0.23255813953488372</v>
      </c>
      <c r="S31" s="4423">
        <f>+SUM(W31:W35)</f>
        <v>129000000</v>
      </c>
      <c r="T31" s="3360" t="s">
        <v>1385</v>
      </c>
      <c r="U31" s="3360" t="s">
        <v>1386</v>
      </c>
      <c r="V31" s="1575" t="s">
        <v>1387</v>
      </c>
      <c r="W31" s="1728">
        <v>30000000</v>
      </c>
      <c r="X31" s="1719">
        <v>6400000</v>
      </c>
      <c r="Y31" s="1737">
        <v>2200000</v>
      </c>
      <c r="Z31" s="1726">
        <v>3</v>
      </c>
      <c r="AA31" s="1574" t="s">
        <v>1329</v>
      </c>
      <c r="AB31" s="4439">
        <v>1666</v>
      </c>
      <c r="AC31" s="4439">
        <f>86+53</f>
        <v>139</v>
      </c>
      <c r="AD31" s="4439">
        <v>1507</v>
      </c>
      <c r="AE31" s="4439">
        <f>84+35</f>
        <v>119</v>
      </c>
      <c r="AF31" s="4439">
        <v>1400</v>
      </c>
      <c r="AG31" s="4439">
        <f>70+88</f>
        <v>158</v>
      </c>
      <c r="AH31" s="4439">
        <v>350</v>
      </c>
      <c r="AI31" s="4439">
        <v>100</v>
      </c>
      <c r="AJ31" s="4439">
        <v>450</v>
      </c>
      <c r="AK31" s="4439"/>
      <c r="AL31" s="4439">
        <v>973</v>
      </c>
      <c r="AM31" s="4439"/>
      <c r="AN31" s="4439"/>
      <c r="AO31" s="4439"/>
      <c r="AP31" s="4439"/>
      <c r="AQ31" s="4439"/>
      <c r="AR31" s="4439"/>
      <c r="AS31" s="4439"/>
      <c r="AT31" s="4439"/>
      <c r="AU31" s="4439"/>
      <c r="AV31" s="4439"/>
      <c r="AW31" s="4439"/>
      <c r="AX31" s="4439"/>
      <c r="AY31" s="4439"/>
      <c r="AZ31" s="4439"/>
      <c r="BA31" s="4439"/>
      <c r="BB31" s="4439"/>
      <c r="BC31" s="4439"/>
      <c r="BD31" s="4447"/>
      <c r="BE31" s="4447"/>
      <c r="BF31" s="4439">
        <f>+AB31+AD31</f>
        <v>3173</v>
      </c>
      <c r="BG31" s="4439">
        <f>+AC31+AE31</f>
        <v>258</v>
      </c>
      <c r="BH31" s="4439">
        <v>4</v>
      </c>
      <c r="BI31" s="4437">
        <f>+SUM(X31:X35)</f>
        <v>33300000</v>
      </c>
      <c r="BJ31" s="4437">
        <f>+SUM(Y31:Y35)</f>
        <v>10600000</v>
      </c>
      <c r="BK31" s="4131">
        <f>+BI31/S31</f>
        <v>0.25813953488372093</v>
      </c>
      <c r="BL31" s="1574" t="s">
        <v>1329</v>
      </c>
      <c r="BM31" s="4439" t="s">
        <v>1388</v>
      </c>
      <c r="BN31" s="4431">
        <v>43862</v>
      </c>
      <c r="BO31" s="4431">
        <v>43862</v>
      </c>
      <c r="BP31" s="4431">
        <v>44012</v>
      </c>
      <c r="BQ31" s="4431">
        <v>44012</v>
      </c>
      <c r="BR31" s="4449" t="s">
        <v>1331</v>
      </c>
    </row>
    <row r="32" spans="1:70" s="908" customFormat="1" ht="50.25" customHeight="1" x14ac:dyDescent="0.2">
      <c r="A32" s="312"/>
      <c r="B32" s="1696"/>
      <c r="C32" s="1697"/>
      <c r="D32" s="1395"/>
      <c r="E32" s="1396"/>
      <c r="F32" s="1396"/>
      <c r="G32" s="1395"/>
      <c r="H32" s="1396"/>
      <c r="I32" s="1396"/>
      <c r="J32" s="2681">
        <v>210</v>
      </c>
      <c r="K32" s="4443" t="s">
        <v>1389</v>
      </c>
      <c r="L32" s="4443" t="s">
        <v>1390</v>
      </c>
      <c r="M32" s="3318">
        <v>1</v>
      </c>
      <c r="N32" s="2681">
        <v>0</v>
      </c>
      <c r="O32" s="1393" t="s">
        <v>1391</v>
      </c>
      <c r="P32" s="3319"/>
      <c r="Q32" s="2690"/>
      <c r="R32" s="1573">
        <f>+W32/$S$31</f>
        <v>6.9767441860465115E-2</v>
      </c>
      <c r="S32" s="4424"/>
      <c r="T32" s="2690"/>
      <c r="U32" s="2690"/>
      <c r="V32" s="2669" t="s">
        <v>1392</v>
      </c>
      <c r="W32" s="1728">
        <v>9000000</v>
      </c>
      <c r="X32" s="1719">
        <v>0</v>
      </c>
      <c r="Y32" s="1715">
        <v>0</v>
      </c>
      <c r="Z32" s="1726">
        <v>4</v>
      </c>
      <c r="AA32" s="1574" t="s">
        <v>1336</v>
      </c>
      <c r="AB32" s="2688"/>
      <c r="AC32" s="2688"/>
      <c r="AD32" s="2688"/>
      <c r="AE32" s="2688"/>
      <c r="AF32" s="2688"/>
      <c r="AG32" s="2688"/>
      <c r="AH32" s="2688"/>
      <c r="AI32" s="2688"/>
      <c r="AJ32" s="2688"/>
      <c r="AK32" s="2688"/>
      <c r="AL32" s="2688"/>
      <c r="AM32" s="2688"/>
      <c r="AN32" s="2688"/>
      <c r="AO32" s="2688"/>
      <c r="AP32" s="2688"/>
      <c r="AQ32" s="2688"/>
      <c r="AR32" s="2688"/>
      <c r="AS32" s="2688"/>
      <c r="AT32" s="2688"/>
      <c r="AU32" s="2688"/>
      <c r="AV32" s="2688"/>
      <c r="AW32" s="2688"/>
      <c r="AX32" s="2688"/>
      <c r="AY32" s="2688"/>
      <c r="AZ32" s="2688"/>
      <c r="BA32" s="2688"/>
      <c r="BB32" s="2688"/>
      <c r="BC32" s="2688"/>
      <c r="BD32" s="4448"/>
      <c r="BE32" s="4448"/>
      <c r="BF32" s="2688"/>
      <c r="BG32" s="2688"/>
      <c r="BH32" s="2688"/>
      <c r="BI32" s="2662"/>
      <c r="BJ32" s="2662"/>
      <c r="BK32" s="2852"/>
      <c r="BL32" s="1574" t="s">
        <v>1336</v>
      </c>
      <c r="BM32" s="2688"/>
      <c r="BN32" s="4432"/>
      <c r="BO32" s="4432"/>
      <c r="BP32" s="4432"/>
      <c r="BQ32" s="4432"/>
      <c r="BR32" s="4450"/>
    </row>
    <row r="33" spans="1:70" s="908" customFormat="1" ht="68.25" customHeight="1" x14ac:dyDescent="0.2">
      <c r="A33" s="312"/>
      <c r="B33" s="1696"/>
      <c r="C33" s="1697"/>
      <c r="D33" s="1395"/>
      <c r="E33" s="1396"/>
      <c r="F33" s="1396"/>
      <c r="G33" s="1395"/>
      <c r="H33" s="1396"/>
      <c r="I33" s="1396"/>
      <c r="J33" s="2681"/>
      <c r="K33" s="4443"/>
      <c r="L33" s="4443"/>
      <c r="M33" s="3346"/>
      <c r="N33" s="2681"/>
      <c r="O33" s="1393" t="s">
        <v>1393</v>
      </c>
      <c r="P33" s="3319"/>
      <c r="Q33" s="2690"/>
      <c r="R33" s="1573">
        <f>+W33/$S$31</f>
        <v>0.19379844961240311</v>
      </c>
      <c r="S33" s="4424"/>
      <c r="T33" s="2690"/>
      <c r="U33" s="2690"/>
      <c r="V33" s="2669"/>
      <c r="W33" s="1728">
        <v>25000000</v>
      </c>
      <c r="X33" s="1719">
        <v>7400000</v>
      </c>
      <c r="Y33" s="1715">
        <v>2200000</v>
      </c>
      <c r="Z33" s="1726">
        <v>3</v>
      </c>
      <c r="AA33" s="1574" t="s">
        <v>1329</v>
      </c>
      <c r="AB33" s="2688"/>
      <c r="AC33" s="2688"/>
      <c r="AD33" s="2688"/>
      <c r="AE33" s="2688"/>
      <c r="AF33" s="2688"/>
      <c r="AG33" s="2688"/>
      <c r="AH33" s="2688"/>
      <c r="AI33" s="2688"/>
      <c r="AJ33" s="2688"/>
      <c r="AK33" s="2688"/>
      <c r="AL33" s="2688"/>
      <c r="AM33" s="2688"/>
      <c r="AN33" s="2688"/>
      <c r="AO33" s="2688"/>
      <c r="AP33" s="2688"/>
      <c r="AQ33" s="2688"/>
      <c r="AR33" s="2688"/>
      <c r="AS33" s="2688"/>
      <c r="AT33" s="2688"/>
      <c r="AU33" s="2688"/>
      <c r="AV33" s="2688"/>
      <c r="AW33" s="2688"/>
      <c r="AX33" s="2688"/>
      <c r="AY33" s="2688"/>
      <c r="AZ33" s="2688"/>
      <c r="BA33" s="2688"/>
      <c r="BB33" s="2688"/>
      <c r="BC33" s="2688"/>
      <c r="BD33" s="4448"/>
      <c r="BE33" s="4448"/>
      <c r="BF33" s="2688"/>
      <c r="BG33" s="2688"/>
      <c r="BH33" s="2688"/>
      <c r="BI33" s="2662"/>
      <c r="BJ33" s="2662"/>
      <c r="BK33" s="2852"/>
      <c r="BL33" s="1574" t="s">
        <v>1329</v>
      </c>
      <c r="BM33" s="2688"/>
      <c r="BN33" s="4432"/>
      <c r="BO33" s="4432"/>
      <c r="BP33" s="4432"/>
      <c r="BQ33" s="4432"/>
      <c r="BR33" s="4450"/>
    </row>
    <row r="34" spans="1:70" s="908" customFormat="1" ht="68.25" customHeight="1" x14ac:dyDescent="0.2">
      <c r="A34" s="312"/>
      <c r="B34" s="1696"/>
      <c r="C34" s="1697"/>
      <c r="D34" s="1395"/>
      <c r="E34" s="1396"/>
      <c r="F34" s="1396"/>
      <c r="G34" s="1395"/>
      <c r="H34" s="1396"/>
      <c r="I34" s="1396"/>
      <c r="J34" s="3318">
        <v>211</v>
      </c>
      <c r="K34" s="4452" t="s">
        <v>1394</v>
      </c>
      <c r="L34" s="4443" t="s">
        <v>1395</v>
      </c>
      <c r="M34" s="3318">
        <v>1</v>
      </c>
      <c r="N34" s="3318">
        <v>0</v>
      </c>
      <c r="O34" s="1393" t="s">
        <v>1396</v>
      </c>
      <c r="P34" s="3319"/>
      <c r="Q34" s="2690"/>
      <c r="R34" s="1573">
        <f>+W34/S31</f>
        <v>0.19379844961240311</v>
      </c>
      <c r="S34" s="4424"/>
      <c r="T34" s="2690"/>
      <c r="U34" s="2690"/>
      <c r="V34" s="3318" t="s">
        <v>1397</v>
      </c>
      <c r="W34" s="1728">
        <v>25000000</v>
      </c>
      <c r="X34" s="1719">
        <v>4000000</v>
      </c>
      <c r="Y34" s="1715">
        <v>0</v>
      </c>
      <c r="Z34" s="1726">
        <v>3</v>
      </c>
      <c r="AA34" s="1577" t="s">
        <v>1329</v>
      </c>
      <c r="AB34" s="2688"/>
      <c r="AC34" s="2688"/>
      <c r="AD34" s="2688"/>
      <c r="AE34" s="2688"/>
      <c r="AF34" s="2688"/>
      <c r="AG34" s="2688"/>
      <c r="AH34" s="2688"/>
      <c r="AI34" s="2688"/>
      <c r="AJ34" s="2688"/>
      <c r="AK34" s="2688"/>
      <c r="AL34" s="2688"/>
      <c r="AM34" s="2688"/>
      <c r="AN34" s="2688"/>
      <c r="AO34" s="2688"/>
      <c r="AP34" s="2688"/>
      <c r="AQ34" s="2688"/>
      <c r="AR34" s="2688"/>
      <c r="AS34" s="2688"/>
      <c r="AT34" s="2688"/>
      <c r="AU34" s="2688"/>
      <c r="AV34" s="2688"/>
      <c r="AW34" s="2688"/>
      <c r="AX34" s="2688"/>
      <c r="AY34" s="2688"/>
      <c r="AZ34" s="2688"/>
      <c r="BA34" s="2688"/>
      <c r="BB34" s="2688"/>
      <c r="BC34" s="2688"/>
      <c r="BD34" s="4448"/>
      <c r="BE34" s="4448"/>
      <c r="BF34" s="2688"/>
      <c r="BG34" s="2688"/>
      <c r="BH34" s="2688"/>
      <c r="BI34" s="2662"/>
      <c r="BJ34" s="2662"/>
      <c r="BK34" s="2852"/>
      <c r="BL34" s="1577" t="s">
        <v>1329</v>
      </c>
      <c r="BM34" s="2688"/>
      <c r="BN34" s="4432"/>
      <c r="BO34" s="4432"/>
      <c r="BP34" s="4432"/>
      <c r="BQ34" s="4432"/>
      <c r="BR34" s="4450"/>
    </row>
    <row r="35" spans="1:70" s="908" customFormat="1" ht="57.75" customHeight="1" x14ac:dyDescent="0.2">
      <c r="A35" s="312"/>
      <c r="B35" s="1696"/>
      <c r="C35" s="1697"/>
      <c r="D35" s="1395"/>
      <c r="E35" s="1396"/>
      <c r="F35" s="1396"/>
      <c r="G35" s="1395"/>
      <c r="H35" s="1396"/>
      <c r="I35" s="1396"/>
      <c r="J35" s="3346"/>
      <c r="K35" s="4452"/>
      <c r="L35" s="4443"/>
      <c r="M35" s="3346"/>
      <c r="N35" s="3346"/>
      <c r="O35" s="1393" t="s">
        <v>1398</v>
      </c>
      <c r="P35" s="3319"/>
      <c r="Q35" s="2690"/>
      <c r="R35" s="1573">
        <f>+W35/S31</f>
        <v>0.31007751937984496</v>
      </c>
      <c r="S35" s="4424"/>
      <c r="T35" s="2690"/>
      <c r="U35" s="2690"/>
      <c r="V35" s="3346"/>
      <c r="W35" s="1517">
        <v>40000000</v>
      </c>
      <c r="X35" s="1727">
        <v>15500000</v>
      </c>
      <c r="Y35" s="1716">
        <v>6200000</v>
      </c>
      <c r="Z35" s="702">
        <v>12</v>
      </c>
      <c r="AA35" s="1738" t="s">
        <v>1333</v>
      </c>
      <c r="AB35" s="2688"/>
      <c r="AC35" s="2688"/>
      <c r="AD35" s="2688"/>
      <c r="AE35" s="2688"/>
      <c r="AF35" s="2688"/>
      <c r="AG35" s="2688"/>
      <c r="AH35" s="2688"/>
      <c r="AI35" s="2688"/>
      <c r="AJ35" s="2688"/>
      <c r="AK35" s="2688"/>
      <c r="AL35" s="2688"/>
      <c r="AM35" s="2688"/>
      <c r="AN35" s="2688"/>
      <c r="AO35" s="2688"/>
      <c r="AP35" s="2688"/>
      <c r="AQ35" s="2688"/>
      <c r="AR35" s="2688"/>
      <c r="AS35" s="2688"/>
      <c r="AT35" s="2688"/>
      <c r="AU35" s="2688"/>
      <c r="AV35" s="2688"/>
      <c r="AW35" s="2688"/>
      <c r="AX35" s="2688"/>
      <c r="AY35" s="2688"/>
      <c r="AZ35" s="2688"/>
      <c r="BA35" s="2688"/>
      <c r="BB35" s="2688"/>
      <c r="BC35" s="2688"/>
      <c r="BD35" s="4448"/>
      <c r="BE35" s="4448"/>
      <c r="BF35" s="2688"/>
      <c r="BG35" s="2688"/>
      <c r="BH35" s="2688"/>
      <c r="BI35" s="2662"/>
      <c r="BJ35" s="2662"/>
      <c r="BK35" s="2852"/>
      <c r="BL35" s="1738" t="s">
        <v>1333</v>
      </c>
      <c r="BM35" s="2688"/>
      <c r="BN35" s="4432"/>
      <c r="BO35" s="4432"/>
      <c r="BP35" s="4432"/>
      <c r="BQ35" s="4432"/>
      <c r="BR35" s="4450"/>
    </row>
    <row r="36" spans="1:70" s="908" customFormat="1" ht="23.25" customHeight="1" x14ac:dyDescent="0.2">
      <c r="A36" s="312"/>
      <c r="B36" s="1696"/>
      <c r="C36" s="1697"/>
      <c r="D36" s="1395"/>
      <c r="E36" s="1396"/>
      <c r="F36" s="1396"/>
      <c r="G36" s="1700">
        <v>73</v>
      </c>
      <c r="H36" s="1701" t="s">
        <v>1399</v>
      </c>
      <c r="I36" s="1701"/>
      <c r="J36" s="1701"/>
      <c r="K36" s="1702"/>
      <c r="L36" s="1701"/>
      <c r="M36" s="1701"/>
      <c r="N36" s="1701"/>
      <c r="O36" s="1739"/>
      <c r="P36" s="1703"/>
      <c r="Q36" s="1702"/>
      <c r="R36" s="1704"/>
      <c r="S36" s="1705"/>
      <c r="T36" s="1702" t="s">
        <v>507</v>
      </c>
      <c r="U36" s="1702" t="s">
        <v>507</v>
      </c>
      <c r="V36" s="1702"/>
      <c r="W36" s="1740"/>
      <c r="X36" s="1721"/>
      <c r="Y36" s="1721"/>
      <c r="Z36" s="1707"/>
      <c r="AA36" s="1703"/>
      <c r="AB36" s="1722"/>
      <c r="AC36" s="1722"/>
      <c r="AD36" s="1722"/>
      <c r="AE36" s="1722"/>
      <c r="AF36" s="1722"/>
      <c r="AG36" s="1722"/>
      <c r="AH36" s="1722"/>
      <c r="AI36" s="1722"/>
      <c r="AJ36" s="1722"/>
      <c r="AK36" s="1722"/>
      <c r="AL36" s="1722"/>
      <c r="AM36" s="1722"/>
      <c r="AN36" s="1722"/>
      <c r="AO36" s="1722"/>
      <c r="AP36" s="1722"/>
      <c r="AQ36" s="1722"/>
      <c r="AR36" s="1722"/>
      <c r="AS36" s="1722"/>
      <c r="AT36" s="1722"/>
      <c r="AU36" s="1722"/>
      <c r="AV36" s="1722"/>
      <c r="AW36" s="1722"/>
      <c r="AX36" s="1722"/>
      <c r="AY36" s="1722"/>
      <c r="AZ36" s="1722"/>
      <c r="BA36" s="1722"/>
      <c r="BB36" s="1722"/>
      <c r="BC36" s="1722"/>
      <c r="BD36" s="1722"/>
      <c r="BE36" s="1722"/>
      <c r="BF36" s="1722"/>
      <c r="BG36" s="1722"/>
      <c r="BH36" s="1722"/>
      <c r="BI36" s="1722"/>
      <c r="BJ36" s="1722"/>
      <c r="BK36" s="1723"/>
      <c r="BL36" s="1703"/>
      <c r="BM36" s="1722"/>
      <c r="BN36" s="1711"/>
      <c r="BO36" s="1711"/>
      <c r="BP36" s="1711"/>
      <c r="BQ36" s="1711"/>
      <c r="BR36" s="1724"/>
    </row>
    <row r="37" spans="1:70" s="908" customFormat="1" ht="57.75" customHeight="1" x14ac:dyDescent="0.2">
      <c r="A37" s="312"/>
      <c r="B37" s="1696"/>
      <c r="C37" s="1697"/>
      <c r="D37" s="1395"/>
      <c r="E37" s="1396"/>
      <c r="F37" s="1396"/>
      <c r="G37" s="4454"/>
      <c r="H37" s="4455"/>
      <c r="I37" s="4455"/>
      <c r="J37" s="2681">
        <v>212</v>
      </c>
      <c r="K37" s="2681" t="s">
        <v>1400</v>
      </c>
      <c r="L37" s="4443" t="s">
        <v>1401</v>
      </c>
      <c r="M37" s="4453">
        <v>12</v>
      </c>
      <c r="N37" s="4458">
        <v>1</v>
      </c>
      <c r="O37" s="1393" t="s">
        <v>1398</v>
      </c>
      <c r="P37" s="4453" t="s">
        <v>1402</v>
      </c>
      <c r="Q37" s="2681" t="s">
        <v>1403</v>
      </c>
      <c r="R37" s="1741" t="s">
        <v>1404</v>
      </c>
      <c r="S37" s="4446">
        <f>SUM(W37:W38)</f>
        <v>50000000</v>
      </c>
      <c r="T37" s="2681" t="s">
        <v>1405</v>
      </c>
      <c r="U37" s="2681" t="s">
        <v>1406</v>
      </c>
      <c r="V37" s="2681" t="s">
        <v>1407</v>
      </c>
      <c r="W37" s="1732">
        <v>10000000</v>
      </c>
      <c r="X37" s="1727">
        <v>0</v>
      </c>
      <c r="Y37" s="1716">
        <v>0</v>
      </c>
      <c r="Z37" s="702">
        <v>12</v>
      </c>
      <c r="AA37" s="1738" t="s">
        <v>1333</v>
      </c>
      <c r="AB37" s="4422">
        <v>3380</v>
      </c>
      <c r="AC37" s="4030">
        <v>162</v>
      </c>
      <c r="AD37" s="4422">
        <v>460</v>
      </c>
      <c r="AE37" s="4030">
        <v>92</v>
      </c>
      <c r="AF37" s="4030"/>
      <c r="AG37" s="4030"/>
      <c r="AH37" s="4030"/>
      <c r="AI37" s="4030"/>
      <c r="AJ37" s="4422">
        <v>3840</v>
      </c>
      <c r="AK37" s="4422">
        <v>120</v>
      </c>
      <c r="AL37" s="4030"/>
      <c r="AM37" s="4422">
        <v>134</v>
      </c>
      <c r="AN37" s="4030"/>
      <c r="AO37" s="4030"/>
      <c r="AP37" s="4030"/>
      <c r="AQ37" s="4030"/>
      <c r="AR37" s="4030"/>
      <c r="AS37" s="4030"/>
      <c r="AT37" s="4030"/>
      <c r="AU37" s="4030"/>
      <c r="AV37" s="4030"/>
      <c r="AW37" s="4030"/>
      <c r="AX37" s="4030"/>
      <c r="AY37" s="4030"/>
      <c r="AZ37" s="4030"/>
      <c r="BA37" s="4030"/>
      <c r="BB37" s="4030"/>
      <c r="BC37" s="4030"/>
      <c r="BD37" s="4030"/>
      <c r="BE37" s="4030"/>
      <c r="BF37" s="4422">
        <f>+AD37+AB37</f>
        <v>3840</v>
      </c>
      <c r="BG37" s="4422">
        <f>+AC37+AE37</f>
        <v>254</v>
      </c>
      <c r="BH37" s="4422">
        <v>7</v>
      </c>
      <c r="BI37" s="4460">
        <f>+SUM(X38:X38)</f>
        <v>30633333</v>
      </c>
      <c r="BJ37" s="4460">
        <f>+SUM(Y38:Y38)</f>
        <v>14883333</v>
      </c>
      <c r="BK37" s="2937">
        <f>+BI37/S37</f>
        <v>0.61266666000000003</v>
      </c>
      <c r="BL37" s="2681" t="s">
        <v>1329</v>
      </c>
      <c r="BM37" s="4422" t="s">
        <v>1388</v>
      </c>
      <c r="BN37" s="4444">
        <v>43862</v>
      </c>
      <c r="BO37" s="4444">
        <v>43862</v>
      </c>
      <c r="BP37" s="4444">
        <v>44012</v>
      </c>
      <c r="BQ37" s="4444">
        <v>44012</v>
      </c>
      <c r="BR37" s="4460" t="s">
        <v>1331</v>
      </c>
    </row>
    <row r="38" spans="1:70" s="908" customFormat="1" ht="82.5" customHeight="1" x14ac:dyDescent="0.2">
      <c r="A38" s="312"/>
      <c r="B38" s="1696"/>
      <c r="C38" s="1697"/>
      <c r="D38" s="1395"/>
      <c r="E38" s="1396"/>
      <c r="F38" s="1396"/>
      <c r="G38" s="4456"/>
      <c r="H38" s="4457"/>
      <c r="I38" s="4457"/>
      <c r="J38" s="2681"/>
      <c r="K38" s="2681"/>
      <c r="L38" s="4443"/>
      <c r="M38" s="3356"/>
      <c r="N38" s="4459"/>
      <c r="O38" s="1393" t="s">
        <v>1408</v>
      </c>
      <c r="P38" s="3356"/>
      <c r="Q38" s="2681"/>
      <c r="R38" s="1741">
        <f>+W38/$S$37</f>
        <v>0.8</v>
      </c>
      <c r="S38" s="4446"/>
      <c r="T38" s="2681"/>
      <c r="U38" s="2681"/>
      <c r="V38" s="2681"/>
      <c r="W38" s="1730">
        <v>40000000</v>
      </c>
      <c r="X38" s="1719">
        <v>30633333</v>
      </c>
      <c r="Y38" s="1715">
        <v>14883333</v>
      </c>
      <c r="Z38" s="702">
        <v>3</v>
      </c>
      <c r="AA38" s="1742" t="s">
        <v>1329</v>
      </c>
      <c r="AB38" s="4422"/>
      <c r="AC38" s="4030"/>
      <c r="AD38" s="4422"/>
      <c r="AE38" s="4030"/>
      <c r="AF38" s="4030"/>
      <c r="AG38" s="4030"/>
      <c r="AH38" s="4030"/>
      <c r="AI38" s="4030"/>
      <c r="AJ38" s="4422"/>
      <c r="AK38" s="4422"/>
      <c r="AL38" s="4030"/>
      <c r="AM38" s="4422"/>
      <c r="AN38" s="4030"/>
      <c r="AO38" s="4030"/>
      <c r="AP38" s="4030"/>
      <c r="AQ38" s="4030"/>
      <c r="AR38" s="4030"/>
      <c r="AS38" s="4030"/>
      <c r="AT38" s="4030"/>
      <c r="AU38" s="4030"/>
      <c r="AV38" s="4030"/>
      <c r="AW38" s="4030"/>
      <c r="AX38" s="4030"/>
      <c r="AY38" s="4030"/>
      <c r="AZ38" s="4030"/>
      <c r="BA38" s="4030"/>
      <c r="BB38" s="4030"/>
      <c r="BC38" s="4030"/>
      <c r="BD38" s="4030"/>
      <c r="BE38" s="4030"/>
      <c r="BF38" s="4422"/>
      <c r="BG38" s="4422"/>
      <c r="BH38" s="4422"/>
      <c r="BI38" s="4460"/>
      <c r="BJ38" s="4460"/>
      <c r="BK38" s="2937"/>
      <c r="BL38" s="2681"/>
      <c r="BM38" s="4422"/>
      <c r="BN38" s="4444"/>
      <c r="BO38" s="4444"/>
      <c r="BP38" s="4444"/>
      <c r="BQ38" s="4444"/>
      <c r="BR38" s="4460"/>
    </row>
    <row r="39" spans="1:70" s="908" customFormat="1" ht="20.25" customHeight="1" x14ac:dyDescent="0.2">
      <c r="A39" s="1680"/>
      <c r="B39" s="1681"/>
      <c r="C39" s="1682"/>
      <c r="D39" s="1683">
        <v>22</v>
      </c>
      <c r="E39" s="1684" t="s">
        <v>1409</v>
      </c>
      <c r="F39" s="1684"/>
      <c r="G39" s="1684"/>
      <c r="H39" s="1684"/>
      <c r="I39" s="1684"/>
      <c r="J39" s="1684"/>
      <c r="K39" s="1685"/>
      <c r="L39" s="1684"/>
      <c r="M39" s="1684"/>
      <c r="N39" s="1684"/>
      <c r="O39" s="1684"/>
      <c r="P39" s="1686"/>
      <c r="Q39" s="1685"/>
      <c r="R39" s="1687"/>
      <c r="S39" s="1688"/>
      <c r="T39" s="1685" t="s">
        <v>507</v>
      </c>
      <c r="U39" s="1685" t="s">
        <v>507</v>
      </c>
      <c r="V39" s="1685"/>
      <c r="W39" s="1736"/>
      <c r="X39" s="1736"/>
      <c r="Y39" s="1736"/>
      <c r="Z39" s="1690"/>
      <c r="AA39" s="1686"/>
      <c r="AB39" s="1684"/>
      <c r="AC39" s="1684"/>
      <c r="AD39" s="1684"/>
      <c r="AE39" s="1684"/>
      <c r="AF39" s="1684"/>
      <c r="AG39" s="1684"/>
      <c r="AH39" s="1684"/>
      <c r="AI39" s="1684"/>
      <c r="AJ39" s="1684"/>
      <c r="AK39" s="1684"/>
      <c r="AL39" s="1684"/>
      <c r="AM39" s="1684"/>
      <c r="AN39" s="1684"/>
      <c r="AO39" s="1684"/>
      <c r="AP39" s="1684"/>
      <c r="AQ39" s="1684"/>
      <c r="AR39" s="1684"/>
      <c r="AS39" s="1684"/>
      <c r="AT39" s="1684"/>
      <c r="AU39" s="1684"/>
      <c r="AV39" s="1684"/>
      <c r="AW39" s="1684"/>
      <c r="AX39" s="1684"/>
      <c r="AY39" s="1684"/>
      <c r="AZ39" s="1684"/>
      <c r="BA39" s="1684"/>
      <c r="BB39" s="1684"/>
      <c r="BC39" s="1684"/>
      <c r="BD39" s="1684"/>
      <c r="BE39" s="1684"/>
      <c r="BF39" s="1684"/>
      <c r="BG39" s="1684"/>
      <c r="BH39" s="1691"/>
      <c r="BI39" s="1691"/>
      <c r="BJ39" s="1691"/>
      <c r="BK39" s="1692"/>
      <c r="BL39" s="1743"/>
      <c r="BM39" s="1691"/>
      <c r="BN39" s="1694"/>
      <c r="BO39" s="1694"/>
      <c r="BP39" s="1694"/>
      <c r="BQ39" s="1694"/>
      <c r="BR39" s="1695"/>
    </row>
    <row r="40" spans="1:70" s="908" customFormat="1" ht="23.25" customHeight="1" x14ac:dyDescent="0.2">
      <c r="A40" s="312"/>
      <c r="B40" s="1696"/>
      <c r="C40" s="1697"/>
      <c r="D40" s="1395"/>
      <c r="E40" s="1396"/>
      <c r="F40" s="1396"/>
      <c r="G40" s="1700">
        <v>74</v>
      </c>
      <c r="H40" s="1701" t="s">
        <v>1399</v>
      </c>
      <c r="I40" s="1701"/>
      <c r="J40" s="1701"/>
      <c r="K40" s="1702"/>
      <c r="L40" s="1701"/>
      <c r="M40" s="1701"/>
      <c r="N40" s="1701"/>
      <c r="O40" s="1701"/>
      <c r="P40" s="1703"/>
      <c r="Q40" s="1702"/>
      <c r="R40" s="1704"/>
      <c r="S40" s="1705"/>
      <c r="T40" s="1702" t="s">
        <v>507</v>
      </c>
      <c r="U40" s="1702" t="s">
        <v>507</v>
      </c>
      <c r="V40" s="1702"/>
      <c r="W40" s="1721"/>
      <c r="X40" s="1721"/>
      <c r="Y40" s="1721"/>
      <c r="Z40" s="1707"/>
      <c r="AA40" s="1703"/>
      <c r="AB40" s="1722"/>
      <c r="AC40" s="1722"/>
      <c r="AD40" s="1722"/>
      <c r="AE40" s="1722"/>
      <c r="AF40" s="1722"/>
      <c r="AG40" s="1722"/>
      <c r="AH40" s="1722"/>
      <c r="AI40" s="1722"/>
      <c r="AJ40" s="1722"/>
      <c r="AK40" s="1722"/>
      <c r="AL40" s="1722"/>
      <c r="AM40" s="1722"/>
      <c r="AN40" s="1722"/>
      <c r="AO40" s="1722"/>
      <c r="AP40" s="1722"/>
      <c r="AQ40" s="1722"/>
      <c r="AR40" s="1722"/>
      <c r="AS40" s="1722"/>
      <c r="AT40" s="1722"/>
      <c r="AU40" s="1722"/>
      <c r="AV40" s="1722"/>
      <c r="AW40" s="1722"/>
      <c r="AX40" s="1722"/>
      <c r="AY40" s="1722"/>
      <c r="AZ40" s="1722"/>
      <c r="BA40" s="1722"/>
      <c r="BB40" s="1722"/>
      <c r="BC40" s="1722"/>
      <c r="BD40" s="1722"/>
      <c r="BE40" s="1722"/>
      <c r="BF40" s="1722"/>
      <c r="BG40" s="1722"/>
      <c r="BH40" s="1722"/>
      <c r="BI40" s="1722"/>
      <c r="BJ40" s="1722"/>
      <c r="BK40" s="1723"/>
      <c r="BL40" s="1722"/>
      <c r="BM40" s="1722"/>
      <c r="BN40" s="1711"/>
      <c r="BO40" s="1711"/>
      <c r="BP40" s="1711"/>
      <c r="BQ40" s="1711"/>
      <c r="BR40" s="1724"/>
    </row>
    <row r="41" spans="1:70" s="908" customFormat="1" ht="72.75" customHeight="1" x14ac:dyDescent="0.2">
      <c r="A41" s="312"/>
      <c r="B41" s="1696"/>
      <c r="C41" s="1697"/>
      <c r="D41" s="1395"/>
      <c r="E41" s="1396"/>
      <c r="F41" s="1396"/>
      <c r="G41" s="1395"/>
      <c r="H41" s="1396"/>
      <c r="I41" s="1396"/>
      <c r="J41" s="3318">
        <v>213</v>
      </c>
      <c r="K41" s="3360" t="s">
        <v>1410</v>
      </c>
      <c r="L41" s="4465" t="s">
        <v>1411</v>
      </c>
      <c r="M41" s="3318">
        <v>12</v>
      </c>
      <c r="N41" s="3318">
        <v>7</v>
      </c>
      <c r="O41" s="3318" t="s">
        <v>1412</v>
      </c>
      <c r="P41" s="3318" t="s">
        <v>1413</v>
      </c>
      <c r="Q41" s="4466" t="s">
        <v>1414</v>
      </c>
      <c r="R41" s="3340">
        <f>+W41/S41</f>
        <v>1</v>
      </c>
      <c r="S41" s="4423">
        <v>20000000</v>
      </c>
      <c r="T41" s="3360" t="s">
        <v>1415</v>
      </c>
      <c r="U41" s="3360" t="s">
        <v>1416</v>
      </c>
      <c r="V41" s="3360" t="s">
        <v>1407</v>
      </c>
      <c r="W41" s="4423">
        <v>20000000</v>
      </c>
      <c r="X41" s="4463">
        <v>19360000</v>
      </c>
      <c r="Y41" s="4463">
        <v>4580000</v>
      </c>
      <c r="Z41" s="4439">
        <v>4</v>
      </c>
      <c r="AA41" s="3318" t="s">
        <v>1336</v>
      </c>
      <c r="AB41" s="4439">
        <v>1700</v>
      </c>
      <c r="AC41" s="4439">
        <v>34</v>
      </c>
      <c r="AD41" s="4439">
        <v>1500</v>
      </c>
      <c r="AE41" s="4439">
        <v>93</v>
      </c>
      <c r="AF41" s="4439">
        <v>1800</v>
      </c>
      <c r="AG41" s="4439">
        <v>103</v>
      </c>
      <c r="AH41" s="4439">
        <v>1000</v>
      </c>
      <c r="AI41" s="4439">
        <v>24</v>
      </c>
      <c r="AJ41" s="4439">
        <v>400</v>
      </c>
      <c r="AK41" s="4439"/>
      <c r="AL41" s="4439"/>
      <c r="AM41" s="4439"/>
      <c r="AN41" s="4439"/>
      <c r="AO41" s="4439"/>
      <c r="AP41" s="4439"/>
      <c r="AQ41" s="4439"/>
      <c r="AR41" s="4439"/>
      <c r="AS41" s="4439"/>
      <c r="AT41" s="4439"/>
      <c r="AU41" s="4439"/>
      <c r="AV41" s="4439"/>
      <c r="AW41" s="4439"/>
      <c r="AX41" s="4439"/>
      <c r="AY41" s="4439"/>
      <c r="AZ41" s="4439"/>
      <c r="BA41" s="4439"/>
      <c r="BB41" s="4439"/>
      <c r="BC41" s="4439"/>
      <c r="BD41" s="4439"/>
      <c r="BE41" s="4439"/>
      <c r="BF41" s="4439">
        <v>3200</v>
      </c>
      <c r="BG41" s="4439">
        <f>+AC41+AE41</f>
        <v>127</v>
      </c>
      <c r="BH41" s="4439">
        <v>8</v>
      </c>
      <c r="BI41" s="4471">
        <f>+SUM(X41:X42)</f>
        <v>19360000</v>
      </c>
      <c r="BJ41" s="4439">
        <f>+SUM(Y41:Y42)</f>
        <v>4580000</v>
      </c>
      <c r="BK41" s="4131">
        <f>+BI41/S41</f>
        <v>0.96799999999999997</v>
      </c>
      <c r="BL41" s="3318" t="s">
        <v>1336</v>
      </c>
      <c r="BM41" s="4439" t="s">
        <v>1388</v>
      </c>
      <c r="BN41" s="4431">
        <v>43862</v>
      </c>
      <c r="BO41" s="4431">
        <v>43862</v>
      </c>
      <c r="BP41" s="4431">
        <v>44012</v>
      </c>
      <c r="BQ41" s="4431">
        <v>44012</v>
      </c>
      <c r="BR41" s="4426" t="s">
        <v>1417</v>
      </c>
    </row>
    <row r="42" spans="1:70" s="908" customFormat="1" ht="66" customHeight="1" thickBot="1" x14ac:dyDescent="0.25">
      <c r="A42" s="312"/>
      <c r="B42" s="1696"/>
      <c r="C42" s="1697"/>
      <c r="D42" s="1395"/>
      <c r="E42" s="1396"/>
      <c r="F42" s="1396"/>
      <c r="G42" s="1395"/>
      <c r="H42" s="1396"/>
      <c r="I42" s="1396"/>
      <c r="J42" s="3374"/>
      <c r="K42" s="4461"/>
      <c r="L42" s="3884"/>
      <c r="M42" s="3319"/>
      <c r="N42" s="3319"/>
      <c r="O42" s="3374"/>
      <c r="P42" s="3319"/>
      <c r="Q42" s="4467"/>
      <c r="R42" s="4468"/>
      <c r="S42" s="4424"/>
      <c r="T42" s="2690"/>
      <c r="U42" s="2690"/>
      <c r="V42" s="4461"/>
      <c r="W42" s="4462"/>
      <c r="X42" s="4464"/>
      <c r="Y42" s="4464"/>
      <c r="Z42" s="4440"/>
      <c r="AA42" s="3346"/>
      <c r="AB42" s="2688"/>
      <c r="AC42" s="2688"/>
      <c r="AD42" s="2688"/>
      <c r="AE42" s="2688"/>
      <c r="AF42" s="2688"/>
      <c r="AG42" s="2688"/>
      <c r="AH42" s="2688"/>
      <c r="AI42" s="2688"/>
      <c r="AJ42" s="2688"/>
      <c r="AK42" s="2688"/>
      <c r="AL42" s="2688"/>
      <c r="AM42" s="2688"/>
      <c r="AN42" s="2688"/>
      <c r="AO42" s="2688"/>
      <c r="AP42" s="2688"/>
      <c r="AQ42" s="2688"/>
      <c r="AR42" s="2688"/>
      <c r="AS42" s="2688"/>
      <c r="AT42" s="2688"/>
      <c r="AU42" s="2688"/>
      <c r="AV42" s="2688"/>
      <c r="AW42" s="2688"/>
      <c r="AX42" s="2688"/>
      <c r="AY42" s="2688"/>
      <c r="AZ42" s="2688"/>
      <c r="BA42" s="2688"/>
      <c r="BB42" s="2688"/>
      <c r="BC42" s="2688"/>
      <c r="BD42" s="2688"/>
      <c r="BE42" s="2688"/>
      <c r="BF42" s="2688"/>
      <c r="BG42" s="2688"/>
      <c r="BH42" s="2688"/>
      <c r="BI42" s="4472"/>
      <c r="BJ42" s="2688"/>
      <c r="BK42" s="2852"/>
      <c r="BL42" s="3346"/>
      <c r="BM42" s="2688"/>
      <c r="BN42" s="4432"/>
      <c r="BO42" s="4432"/>
      <c r="BP42" s="4432"/>
      <c r="BQ42" s="4432"/>
      <c r="BR42" s="4427"/>
    </row>
    <row r="43" spans="1:70" ht="15" x14ac:dyDescent="0.2">
      <c r="A43" s="1744"/>
      <c r="B43" s="1745"/>
      <c r="C43" s="1745"/>
      <c r="D43" s="1745"/>
      <c r="E43" s="1745"/>
      <c r="F43" s="1745"/>
      <c r="G43" s="1745"/>
      <c r="H43" s="1745"/>
      <c r="I43" s="1745"/>
      <c r="J43" s="1745"/>
      <c r="K43" s="1746"/>
      <c r="L43" s="1747"/>
      <c r="M43" s="1747"/>
      <c r="N43" s="1747"/>
      <c r="O43" s="1747"/>
      <c r="P43" s="1748"/>
      <c r="Q43" s="1746"/>
      <c r="R43" s="1749"/>
      <c r="S43" s="1750">
        <f>+S41+S37+S31+S24+S21+S18+S13</f>
        <v>1583485471</v>
      </c>
      <c r="T43" s="1746"/>
      <c r="U43" s="1746"/>
      <c r="V43" s="1751"/>
      <c r="W43" s="1752">
        <f>+W41+W38+W35+W34+W33+W32+W31+W28+W27+W26+W25+W24+W22+W21+W19+W18+W16+W15+W14+W13</f>
        <v>1573485471</v>
      </c>
      <c r="X43" s="1752">
        <f>+X41+X38+X35+X34+X33+X32+X31+X28+X27+X26+X25+X24+X22+X21+X19+X18+X16+X15+X14+X13</f>
        <v>285878924</v>
      </c>
      <c r="Y43" s="1752">
        <f>+Y41+Y38+Y35+Y34+Y33+Y32+Y31+Y28+Y27+Y26+Y25+Y24+Y22+Y21+Y19+Y18+Y16+Y15+Y14+Y13</f>
        <v>90313333</v>
      </c>
      <c r="Z43" s="1753"/>
      <c r="AA43" s="1754"/>
      <c r="AB43" s="1745"/>
      <c r="AC43" s="1745"/>
      <c r="AD43" s="1745"/>
      <c r="AE43" s="1745"/>
      <c r="AF43" s="1745"/>
      <c r="AG43" s="1745"/>
      <c r="AH43" s="1745"/>
      <c r="AI43" s="1745"/>
      <c r="AJ43" s="1745"/>
      <c r="AK43" s="1745"/>
      <c r="AL43" s="1745"/>
      <c r="AM43" s="1745"/>
      <c r="AN43" s="1745"/>
      <c r="AO43" s="1745"/>
      <c r="AP43" s="1745"/>
      <c r="AQ43" s="1745"/>
      <c r="AR43" s="1745"/>
      <c r="AS43" s="1745"/>
      <c r="AT43" s="1745"/>
      <c r="AU43" s="1745"/>
      <c r="AV43" s="1745"/>
      <c r="AW43" s="1745"/>
      <c r="AX43" s="1745"/>
      <c r="AY43" s="1745"/>
      <c r="AZ43" s="1745"/>
      <c r="BA43" s="1745"/>
      <c r="BB43" s="1745"/>
      <c r="BC43" s="1745"/>
      <c r="BD43" s="1745"/>
      <c r="BE43" s="1745"/>
      <c r="BF43" s="1745"/>
      <c r="BG43" s="1755"/>
      <c r="BH43" s="1756"/>
      <c r="BI43" s="1757">
        <f>SUM(BI13:BI42)</f>
        <v>285878924</v>
      </c>
      <c r="BJ43" s="1757">
        <f>SUM(BJ13:BJ42)</f>
        <v>90313333</v>
      </c>
      <c r="BK43" s="1758"/>
      <c r="BL43" s="1755"/>
      <c r="BM43" s="1759"/>
      <c r="BN43" s="1759"/>
      <c r="BO43" s="1760"/>
      <c r="BP43" s="1760"/>
      <c r="BQ43" s="1761"/>
      <c r="BR43" s="1762"/>
    </row>
    <row r="46" spans="1:70" ht="42.75" customHeight="1" x14ac:dyDescent="0.2">
      <c r="F46" s="4470" t="s">
        <v>1418</v>
      </c>
      <c r="G46" s="4470"/>
      <c r="H46" s="4470"/>
      <c r="I46" s="4470"/>
      <c r="J46" s="4470"/>
    </row>
    <row r="47" spans="1:70" ht="21" customHeight="1" x14ac:dyDescent="0.2">
      <c r="F47" s="4469" t="s">
        <v>1419</v>
      </c>
      <c r="G47" s="4469"/>
      <c r="H47" s="4469"/>
      <c r="I47" s="4469"/>
    </row>
    <row r="48" spans="1:70" ht="29.25" customHeight="1" x14ac:dyDescent="0.2">
      <c r="F48" s="4469" t="s">
        <v>1420</v>
      </c>
      <c r="G48" s="4469"/>
      <c r="H48" s="4469"/>
      <c r="I48" s="4469"/>
    </row>
    <row r="49" spans="19:25" ht="20.25" x14ac:dyDescent="0.2">
      <c r="S49" s="1774"/>
      <c r="T49" s="1774"/>
      <c r="U49" s="1774"/>
      <c r="V49" s="1774"/>
      <c r="W49" s="1775"/>
      <c r="X49" s="1775"/>
      <c r="Y49" s="1775"/>
    </row>
  </sheetData>
  <sheetProtection algorithmName="SHA-512" hashValue="BeEzjGYqi+EZerxEwIPaUd91S7Z1VkCGEsNqkDnU/03I22aCtkDm6pfRiyg0R7lJdHGRFmBAmB4NwFznE+1eJA==" saltValue="8c0mbl999PMYpPtctDXn3Q==" spinCount="100000" sheet="1" objects="1" scenarios="1"/>
  <mergeCells count="420">
    <mergeCell ref="F48:I48"/>
    <mergeCell ref="BO41:BO42"/>
    <mergeCell ref="BP41:BP42"/>
    <mergeCell ref="BQ41:BQ42"/>
    <mergeCell ref="BR41:BR42"/>
    <mergeCell ref="F46:J46"/>
    <mergeCell ref="F47:I47"/>
    <mergeCell ref="BI41:BI42"/>
    <mergeCell ref="BJ41:BJ42"/>
    <mergeCell ref="BK41:BK42"/>
    <mergeCell ref="BL41:BL42"/>
    <mergeCell ref="BM41:BM42"/>
    <mergeCell ref="BN41:BN42"/>
    <mergeCell ref="BC41:BC42"/>
    <mergeCell ref="BD41:BD42"/>
    <mergeCell ref="BE41:BE42"/>
    <mergeCell ref="BF41:BF42"/>
    <mergeCell ref="BG41:BG42"/>
    <mergeCell ref="BH41:BH42"/>
    <mergeCell ref="AW41:AW42"/>
    <mergeCell ref="AX41:AX42"/>
    <mergeCell ref="AY41:AY42"/>
    <mergeCell ref="AZ41:AZ42"/>
    <mergeCell ref="BA41:BA42"/>
    <mergeCell ref="BB41:BB42"/>
    <mergeCell ref="AQ41:AQ42"/>
    <mergeCell ref="AR41:AR42"/>
    <mergeCell ref="AS41:AS42"/>
    <mergeCell ref="AT41:AT42"/>
    <mergeCell ref="AU41:AU42"/>
    <mergeCell ref="AV41:AV42"/>
    <mergeCell ref="AK41:AK42"/>
    <mergeCell ref="AL41:AL42"/>
    <mergeCell ref="AM41:AM42"/>
    <mergeCell ref="AN41:AN42"/>
    <mergeCell ref="AO41:AO42"/>
    <mergeCell ref="AP41:AP42"/>
    <mergeCell ref="AE41:AE42"/>
    <mergeCell ref="AF41:AF42"/>
    <mergeCell ref="AG41:AG42"/>
    <mergeCell ref="AH41:AH42"/>
    <mergeCell ref="AI41:AI42"/>
    <mergeCell ref="AJ41:AJ42"/>
    <mergeCell ref="Y41:Y42"/>
    <mergeCell ref="Z41:Z42"/>
    <mergeCell ref="AA41:AA42"/>
    <mergeCell ref="AB41:AB42"/>
    <mergeCell ref="AC41:AC42"/>
    <mergeCell ref="AD41:AD42"/>
    <mergeCell ref="S41:S42"/>
    <mergeCell ref="T41:T42"/>
    <mergeCell ref="U41:U42"/>
    <mergeCell ref="V41:V42"/>
    <mergeCell ref="W41:W42"/>
    <mergeCell ref="X41:X42"/>
    <mergeCell ref="BR37:BR38"/>
    <mergeCell ref="J41:J42"/>
    <mergeCell ref="K41:K42"/>
    <mergeCell ref="L41:L42"/>
    <mergeCell ref="M41:M42"/>
    <mergeCell ref="N41:N42"/>
    <mergeCell ref="O41:O42"/>
    <mergeCell ref="P41:P42"/>
    <mergeCell ref="Q41:Q42"/>
    <mergeCell ref="R41:R42"/>
    <mergeCell ref="BL37:BL38"/>
    <mergeCell ref="BM37:BM38"/>
    <mergeCell ref="BN37:BN38"/>
    <mergeCell ref="BO37:BO38"/>
    <mergeCell ref="BP37:BP38"/>
    <mergeCell ref="BQ37:BQ38"/>
    <mergeCell ref="BF37:BF38"/>
    <mergeCell ref="BG37:BG38"/>
    <mergeCell ref="BH37:BH38"/>
    <mergeCell ref="BI37:BI38"/>
    <mergeCell ref="BJ37:BJ38"/>
    <mergeCell ref="BK37:BK38"/>
    <mergeCell ref="AZ37:AZ38"/>
    <mergeCell ref="BA37:BA38"/>
    <mergeCell ref="BB37:BB38"/>
    <mergeCell ref="BC37:BC38"/>
    <mergeCell ref="BD37:BD38"/>
    <mergeCell ref="BE37:BE38"/>
    <mergeCell ref="AT37:AT38"/>
    <mergeCell ref="AU37:AU38"/>
    <mergeCell ref="AV37:AV38"/>
    <mergeCell ref="AW37:AW38"/>
    <mergeCell ref="AX37:AX38"/>
    <mergeCell ref="AY37:AY38"/>
    <mergeCell ref="AN37:AN38"/>
    <mergeCell ref="AO37:AO38"/>
    <mergeCell ref="AP37:AP38"/>
    <mergeCell ref="AQ37:AQ38"/>
    <mergeCell ref="AR37:AR38"/>
    <mergeCell ref="AS37:AS38"/>
    <mergeCell ref="AH37:AH38"/>
    <mergeCell ref="AI37:AI38"/>
    <mergeCell ref="AJ37:AJ38"/>
    <mergeCell ref="AK37:AK38"/>
    <mergeCell ref="AL37:AL38"/>
    <mergeCell ref="AM37:AM38"/>
    <mergeCell ref="AB37:AB38"/>
    <mergeCell ref="AC37:AC38"/>
    <mergeCell ref="AD37:AD38"/>
    <mergeCell ref="AE37:AE38"/>
    <mergeCell ref="AF37:AF38"/>
    <mergeCell ref="AG37:AG38"/>
    <mergeCell ref="P37:P38"/>
    <mergeCell ref="Q37:Q38"/>
    <mergeCell ref="S37:S38"/>
    <mergeCell ref="T37:T38"/>
    <mergeCell ref="U37:U38"/>
    <mergeCell ref="V37:V38"/>
    <mergeCell ref="G37:I38"/>
    <mergeCell ref="J37:J38"/>
    <mergeCell ref="K37:K38"/>
    <mergeCell ref="L37:L38"/>
    <mergeCell ref="M37:M38"/>
    <mergeCell ref="N37:N38"/>
    <mergeCell ref="J34:J35"/>
    <mergeCell ref="K34:K35"/>
    <mergeCell ref="L34:L35"/>
    <mergeCell ref="M34:M35"/>
    <mergeCell ref="N34:N35"/>
    <mergeCell ref="V34:V35"/>
    <mergeCell ref="BN31:BN35"/>
    <mergeCell ref="BO31:BO35"/>
    <mergeCell ref="BP31:BP35"/>
    <mergeCell ref="AZ31:AZ35"/>
    <mergeCell ref="AO31:AO35"/>
    <mergeCell ref="AP31:AP35"/>
    <mergeCell ref="AQ31:AQ35"/>
    <mergeCell ref="AR31:AR35"/>
    <mergeCell ref="AS31:AS35"/>
    <mergeCell ref="AT31:AT35"/>
    <mergeCell ref="AI31:AI35"/>
    <mergeCell ref="AJ31:AJ35"/>
    <mergeCell ref="AK31:AK35"/>
    <mergeCell ref="AL31:AL35"/>
    <mergeCell ref="AM31:AM35"/>
    <mergeCell ref="AN31:AN35"/>
    <mergeCell ref="AC31:AC35"/>
    <mergeCell ref="AD31:AD35"/>
    <mergeCell ref="BQ31:BQ35"/>
    <mergeCell ref="BR31:BR35"/>
    <mergeCell ref="J32:J33"/>
    <mergeCell ref="K32:K33"/>
    <mergeCell ref="L32:L33"/>
    <mergeCell ref="M32:M33"/>
    <mergeCell ref="N32:N33"/>
    <mergeCell ref="BG31:BG35"/>
    <mergeCell ref="BH31:BH35"/>
    <mergeCell ref="BI31:BI35"/>
    <mergeCell ref="BJ31:BJ35"/>
    <mergeCell ref="BK31:BK35"/>
    <mergeCell ref="BM31:BM35"/>
    <mergeCell ref="BA31:BA35"/>
    <mergeCell ref="BB31:BB35"/>
    <mergeCell ref="BC31:BC35"/>
    <mergeCell ref="BD31:BD35"/>
    <mergeCell ref="BE31:BE35"/>
    <mergeCell ref="BF31:BF35"/>
    <mergeCell ref="AU31:AU35"/>
    <mergeCell ref="AV31:AV35"/>
    <mergeCell ref="AW31:AW35"/>
    <mergeCell ref="AX31:AX35"/>
    <mergeCell ref="AY31:AY35"/>
    <mergeCell ref="AE31:AE35"/>
    <mergeCell ref="AF31:AF35"/>
    <mergeCell ref="AG31:AG35"/>
    <mergeCell ref="AH31:AH35"/>
    <mergeCell ref="P31:P35"/>
    <mergeCell ref="Q31:Q35"/>
    <mergeCell ref="S31:S35"/>
    <mergeCell ref="T31:T35"/>
    <mergeCell ref="U31:U35"/>
    <mergeCell ref="AB31:AB35"/>
    <mergeCell ref="V32:V33"/>
    <mergeCell ref="J27:J28"/>
    <mergeCell ref="K27:K28"/>
    <mergeCell ref="L27:L28"/>
    <mergeCell ref="M27:M28"/>
    <mergeCell ref="N27:N28"/>
    <mergeCell ref="V27:V28"/>
    <mergeCell ref="J25:J26"/>
    <mergeCell ref="K25:K26"/>
    <mergeCell ref="L25:L26"/>
    <mergeCell ref="M25:M26"/>
    <mergeCell ref="N25:N26"/>
    <mergeCell ref="V25:V26"/>
    <mergeCell ref="BM24:BM28"/>
    <mergeCell ref="BN24:BN28"/>
    <mergeCell ref="BO24:BO28"/>
    <mergeCell ref="BP24:BP28"/>
    <mergeCell ref="BQ24:BQ28"/>
    <mergeCell ref="BR24:BR28"/>
    <mergeCell ref="BF24:BF28"/>
    <mergeCell ref="BG24:BG28"/>
    <mergeCell ref="BH24:BH28"/>
    <mergeCell ref="BI24:BI28"/>
    <mergeCell ref="BJ24:BJ28"/>
    <mergeCell ref="BK24:BK28"/>
    <mergeCell ref="AZ24:AZ28"/>
    <mergeCell ref="BA24:BA28"/>
    <mergeCell ref="BB24:BB28"/>
    <mergeCell ref="BC24:BC28"/>
    <mergeCell ref="BD24:BD28"/>
    <mergeCell ref="BE24:BE28"/>
    <mergeCell ref="AT24:AT28"/>
    <mergeCell ref="AU24:AU28"/>
    <mergeCell ref="AV24:AV28"/>
    <mergeCell ref="AW24:AW28"/>
    <mergeCell ref="AX24:AX28"/>
    <mergeCell ref="AY24:AY28"/>
    <mergeCell ref="AN24:AN28"/>
    <mergeCell ref="AO24:AO28"/>
    <mergeCell ref="AP24:AP28"/>
    <mergeCell ref="AQ24:AQ28"/>
    <mergeCell ref="AR24:AR28"/>
    <mergeCell ref="AS24:AS28"/>
    <mergeCell ref="AH24:AH28"/>
    <mergeCell ref="AI24:AI28"/>
    <mergeCell ref="AJ24:AJ28"/>
    <mergeCell ref="AK24:AK28"/>
    <mergeCell ref="AL24:AL28"/>
    <mergeCell ref="AM24:AM28"/>
    <mergeCell ref="AB24:AB28"/>
    <mergeCell ref="AC24:AC28"/>
    <mergeCell ref="AD24:AD28"/>
    <mergeCell ref="AE24:AE28"/>
    <mergeCell ref="AF24:AF28"/>
    <mergeCell ref="AG24:AG28"/>
    <mergeCell ref="BN21:BN22"/>
    <mergeCell ref="BO21:BO22"/>
    <mergeCell ref="BP21:BP22"/>
    <mergeCell ref="AZ21:AZ22"/>
    <mergeCell ref="AO21:AO22"/>
    <mergeCell ref="AP21:AP22"/>
    <mergeCell ref="AQ21:AQ22"/>
    <mergeCell ref="AR21:AR22"/>
    <mergeCell ref="AS21:AS22"/>
    <mergeCell ref="AT21:AT22"/>
    <mergeCell ref="AI21:AI22"/>
    <mergeCell ref="AJ21:AJ22"/>
    <mergeCell ref="AK21:AK22"/>
    <mergeCell ref="AL21:AL22"/>
    <mergeCell ref="AM21:AM22"/>
    <mergeCell ref="AN21:AN22"/>
    <mergeCell ref="AC21:AC22"/>
    <mergeCell ref="AD21:AD22"/>
    <mergeCell ref="BQ21:BQ22"/>
    <mergeCell ref="BR21:BR22"/>
    <mergeCell ref="P24:P28"/>
    <mergeCell ref="Q24:Q28"/>
    <mergeCell ref="S24:S28"/>
    <mergeCell ref="T24:T28"/>
    <mergeCell ref="U24:U28"/>
    <mergeCell ref="BG21:BG22"/>
    <mergeCell ref="BH21:BH22"/>
    <mergeCell ref="BI21:BI22"/>
    <mergeCell ref="BJ21:BJ22"/>
    <mergeCell ref="BK21:BK22"/>
    <mergeCell ref="BM21:BM22"/>
    <mergeCell ref="BA21:BA22"/>
    <mergeCell ref="BB21:BB22"/>
    <mergeCell ref="BC21:BC22"/>
    <mergeCell ref="BD21:BD22"/>
    <mergeCell ref="BE21:BE22"/>
    <mergeCell ref="BF21:BF22"/>
    <mergeCell ref="AU21:AU22"/>
    <mergeCell ref="AV21:AV22"/>
    <mergeCell ref="AW21:AW22"/>
    <mergeCell ref="AX21:AX22"/>
    <mergeCell ref="AY21:AY22"/>
    <mergeCell ref="AF21:AF22"/>
    <mergeCell ref="AG21:AG22"/>
    <mergeCell ref="AH21:AH22"/>
    <mergeCell ref="Q21:Q22"/>
    <mergeCell ref="S21:S22"/>
    <mergeCell ref="T21:T22"/>
    <mergeCell ref="U21:U22"/>
    <mergeCell ref="V21:V22"/>
    <mergeCell ref="AB21:AB22"/>
    <mergeCell ref="BP18:BP19"/>
    <mergeCell ref="BQ18:BQ19"/>
    <mergeCell ref="BR18:BR19"/>
    <mergeCell ref="J21:J22"/>
    <mergeCell ref="K21:K22"/>
    <mergeCell ref="L21:L22"/>
    <mergeCell ref="M21:M22"/>
    <mergeCell ref="N21:N22"/>
    <mergeCell ref="P21:P22"/>
    <mergeCell ref="Q18:Q19"/>
    <mergeCell ref="S18:S19"/>
    <mergeCell ref="T18:T19"/>
    <mergeCell ref="U18:U19"/>
    <mergeCell ref="V18:V19"/>
    <mergeCell ref="BI18:BI19"/>
    <mergeCell ref="BF13:BF19"/>
    <mergeCell ref="BG13:BG19"/>
    <mergeCell ref="AV13:AV19"/>
    <mergeCell ref="AW13:AW19"/>
    <mergeCell ref="AX13:AX19"/>
    <mergeCell ref="AY13:AY19"/>
    <mergeCell ref="AZ13:AZ19"/>
    <mergeCell ref="BA13:BA19"/>
    <mergeCell ref="AE21:AE22"/>
    <mergeCell ref="BP13:BP16"/>
    <mergeCell ref="BQ13:BQ16"/>
    <mergeCell ref="BR13:BR16"/>
    <mergeCell ref="J18:J19"/>
    <mergeCell ref="K18:K19"/>
    <mergeCell ref="L18:L19"/>
    <mergeCell ref="M18:M19"/>
    <mergeCell ref="N18:N19"/>
    <mergeCell ref="P18:P19"/>
    <mergeCell ref="BH13:BH19"/>
    <mergeCell ref="BI13:BI16"/>
    <mergeCell ref="BJ13:BJ16"/>
    <mergeCell ref="BK13:BK16"/>
    <mergeCell ref="BM13:BM16"/>
    <mergeCell ref="BN13:BN16"/>
    <mergeCell ref="BJ18:BJ19"/>
    <mergeCell ref="BK18:BK19"/>
    <mergeCell ref="BM18:BM19"/>
    <mergeCell ref="BN18:BN19"/>
    <mergeCell ref="BB13:BB19"/>
    <mergeCell ref="BC13:BC19"/>
    <mergeCell ref="BD13:BD19"/>
    <mergeCell ref="BE13:BE19"/>
    <mergeCell ref="BO18:BO19"/>
    <mergeCell ref="AT13:AT19"/>
    <mergeCell ref="AU13:AU19"/>
    <mergeCell ref="AJ13:AJ19"/>
    <mergeCell ref="AK13:AK19"/>
    <mergeCell ref="AL13:AL19"/>
    <mergeCell ref="AM13:AM19"/>
    <mergeCell ref="AN13:AN19"/>
    <mergeCell ref="AO13:AO19"/>
    <mergeCell ref="BO13:BO16"/>
    <mergeCell ref="T13:T16"/>
    <mergeCell ref="U13:U16"/>
    <mergeCell ref="V13:V14"/>
    <mergeCell ref="AB13:AB19"/>
    <mergeCell ref="AC13:AC19"/>
    <mergeCell ref="AP13:AP19"/>
    <mergeCell ref="AQ13:AQ19"/>
    <mergeCell ref="AR13:AR19"/>
    <mergeCell ref="AS13:AS19"/>
    <mergeCell ref="J13:J15"/>
    <mergeCell ref="K13:K15"/>
    <mergeCell ref="L13:L15"/>
    <mergeCell ref="M13:M15"/>
    <mergeCell ref="N13:N15"/>
    <mergeCell ref="P13:P16"/>
    <mergeCell ref="Q13:Q16"/>
    <mergeCell ref="R13:R15"/>
    <mergeCell ref="BB8:BC8"/>
    <mergeCell ref="V7:V9"/>
    <mergeCell ref="W7:Y8"/>
    <mergeCell ref="Z7:Z9"/>
    <mergeCell ref="AA7:AA9"/>
    <mergeCell ref="P7:P9"/>
    <mergeCell ref="Q7:Q9"/>
    <mergeCell ref="R7:R9"/>
    <mergeCell ref="S7:S9"/>
    <mergeCell ref="AD13:AD19"/>
    <mergeCell ref="AE13:AE19"/>
    <mergeCell ref="AF13:AF19"/>
    <mergeCell ref="AG13:AG19"/>
    <mergeCell ref="AH13:AH19"/>
    <mergeCell ref="AI13:AI19"/>
    <mergeCell ref="S13:S16"/>
    <mergeCell ref="BP7:BQ8"/>
    <mergeCell ref="AT8:AU8"/>
    <mergeCell ref="AV8:AW8"/>
    <mergeCell ref="AX8:AY8"/>
    <mergeCell ref="AZ8:BA8"/>
    <mergeCell ref="AB7:AE7"/>
    <mergeCell ref="AF7:AM7"/>
    <mergeCell ref="BL8:BL9"/>
    <mergeCell ref="BM8:BM9"/>
    <mergeCell ref="BD8:BE8"/>
    <mergeCell ref="BH8:BH9"/>
    <mergeCell ref="BI8:BI9"/>
    <mergeCell ref="BJ8:BJ9"/>
    <mergeCell ref="BK8:BK9"/>
    <mergeCell ref="AL8:AM8"/>
    <mergeCell ref="AN8:AO8"/>
    <mergeCell ref="AP8:AQ8"/>
    <mergeCell ref="AR8:AS8"/>
    <mergeCell ref="AN7:AY7"/>
    <mergeCell ref="AZ7:BE7"/>
    <mergeCell ref="BF7:BG8"/>
    <mergeCell ref="BH7:BM7"/>
    <mergeCell ref="BN7:BO8"/>
    <mergeCell ref="T7:T9"/>
    <mergeCell ref="U7:U9"/>
    <mergeCell ref="H7:I9"/>
    <mergeCell ref="J7:J9"/>
    <mergeCell ref="K7:K9"/>
    <mergeCell ref="L7:L9"/>
    <mergeCell ref="M7:N8"/>
    <mergeCell ref="O7:O9"/>
    <mergeCell ref="A1:BP4"/>
    <mergeCell ref="A5:N6"/>
    <mergeCell ref="O5:BR5"/>
    <mergeCell ref="O6:AA6"/>
    <mergeCell ref="BN6:BR6"/>
    <mergeCell ref="A7:A9"/>
    <mergeCell ref="B7:C9"/>
    <mergeCell ref="D7:D9"/>
    <mergeCell ref="E7:F9"/>
    <mergeCell ref="G7:G9"/>
    <mergeCell ref="BR7:BR9"/>
    <mergeCell ref="AB8:AC8"/>
    <mergeCell ref="AD8:AE8"/>
    <mergeCell ref="AF8:AG8"/>
    <mergeCell ref="AH8:AI8"/>
    <mergeCell ref="AJ8:AK8"/>
  </mergeCells>
  <pageMargins left="0.70866141732283472" right="0.70866141732283472" top="0.74803149606299213" bottom="0.74803149606299213" header="0.31496062992125984" footer="0.31496062992125984"/>
  <pageSetup paperSize="5" scale="45" orientation="landscape"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O44"/>
  <sheetViews>
    <sheetView showGridLines="0" zoomScale="70" zoomScaleNormal="70" workbookViewId="0">
      <selection activeCell="M13" sqref="M13:M14"/>
    </sheetView>
  </sheetViews>
  <sheetFormatPr baseColWidth="10" defaultColWidth="11.42578125" defaultRowHeight="14.25" x14ac:dyDescent="0.2"/>
  <cols>
    <col min="1" max="1" width="10.85546875" style="458" customWidth="1"/>
    <col min="2" max="2" width="15.85546875" style="458" customWidth="1"/>
    <col min="3" max="3" width="11.7109375" style="458" customWidth="1"/>
    <col min="4" max="4" width="15.28515625" style="458" customWidth="1"/>
    <col min="5" max="5" width="11.140625" style="458" customWidth="1"/>
    <col min="6" max="6" width="21.140625" style="458" customWidth="1"/>
    <col min="7" max="7" width="11.5703125" style="458" customWidth="1"/>
    <col min="8" max="8" width="33.42578125" style="458" customWidth="1"/>
    <col min="9" max="9" width="20" style="458" customWidth="1"/>
    <col min="10" max="11" width="14.85546875" style="458" hidden="1" customWidth="1"/>
    <col min="12" max="12" width="22" style="458" customWidth="1"/>
    <col min="13" max="13" width="22.140625" style="458" customWidth="1"/>
    <col min="14" max="14" width="33.7109375" style="458" customWidth="1"/>
    <col min="15" max="15" width="17.5703125" style="458" customWidth="1"/>
    <col min="16" max="16" width="25.7109375" style="458" customWidth="1"/>
    <col min="17" max="17" width="29.5703125" style="458" customWidth="1"/>
    <col min="18" max="18" width="32.85546875" style="458" customWidth="1"/>
    <col min="19" max="19" width="33.5703125" style="458" customWidth="1"/>
    <col min="20" max="22" width="24" style="458" customWidth="1"/>
    <col min="23" max="23" width="11.42578125" style="458"/>
    <col min="24" max="24" width="22.7109375" style="458" customWidth="1"/>
    <col min="25" max="36" width="9.42578125" style="458" customWidth="1"/>
    <col min="37" max="54" width="7" style="458" customWidth="1"/>
    <col min="55" max="55" width="10" style="458" customWidth="1"/>
    <col min="56" max="56" width="8.85546875" style="458" customWidth="1"/>
    <col min="57" max="57" width="18.7109375" style="458" customWidth="1"/>
    <col min="58" max="58" width="25.140625" style="458" customWidth="1"/>
    <col min="59" max="59" width="26.140625" style="458" customWidth="1"/>
    <col min="60" max="60" width="18" style="458" customWidth="1"/>
    <col min="61" max="61" width="19.5703125" style="458" customWidth="1"/>
    <col min="62" max="62" width="20.42578125" style="458" customWidth="1"/>
    <col min="63" max="64" width="24.7109375" style="458" customWidth="1"/>
    <col min="65" max="66" width="18.140625" style="458" customWidth="1"/>
    <col min="67" max="67" width="20.42578125" style="458" customWidth="1"/>
    <col min="68" max="16384" width="11.42578125" style="458"/>
  </cols>
  <sheetData>
    <row r="1" spans="1:67" ht="15" customHeight="1" x14ac:dyDescent="0.2">
      <c r="A1" s="4302" t="s">
        <v>2115</v>
      </c>
      <c r="B1" s="4302"/>
      <c r="C1" s="4302"/>
      <c r="D1" s="4302"/>
      <c r="E1" s="4302"/>
      <c r="F1" s="4302"/>
      <c r="G1" s="4302"/>
      <c r="H1" s="4302"/>
      <c r="I1" s="4302"/>
      <c r="J1" s="4302"/>
      <c r="K1" s="4302"/>
      <c r="L1" s="4302"/>
      <c r="M1" s="4302"/>
      <c r="N1" s="4302"/>
      <c r="O1" s="4302"/>
      <c r="P1" s="4302"/>
      <c r="Q1" s="4302"/>
      <c r="R1" s="4302"/>
      <c r="S1" s="4302"/>
      <c r="T1" s="4302"/>
      <c r="U1" s="4302"/>
      <c r="V1" s="4302"/>
      <c r="W1" s="4302"/>
      <c r="X1" s="4302"/>
      <c r="Y1" s="4302"/>
      <c r="Z1" s="4302"/>
      <c r="AA1" s="4302"/>
      <c r="AB1" s="4302"/>
      <c r="AC1" s="4302"/>
      <c r="AD1" s="4302"/>
      <c r="AE1" s="4302"/>
      <c r="AF1" s="4302"/>
      <c r="AG1" s="4302"/>
      <c r="AH1" s="4302"/>
      <c r="AI1" s="4302"/>
      <c r="AJ1" s="4302"/>
      <c r="AK1" s="4302"/>
      <c r="AL1" s="4302"/>
      <c r="AM1" s="4302"/>
      <c r="AN1" s="4302"/>
      <c r="AO1" s="4302"/>
      <c r="AP1" s="4302"/>
      <c r="AQ1" s="4302"/>
      <c r="AR1" s="4302"/>
      <c r="AS1" s="4302"/>
      <c r="AT1" s="4302"/>
      <c r="AU1" s="4302"/>
      <c r="AV1" s="4302"/>
      <c r="AW1" s="4302"/>
      <c r="AX1" s="4302"/>
      <c r="AY1" s="4302"/>
      <c r="AZ1" s="4302"/>
      <c r="BA1" s="4302"/>
      <c r="BB1" s="4302"/>
      <c r="BC1" s="4302"/>
      <c r="BD1" s="4302"/>
      <c r="BE1" s="4302"/>
      <c r="BF1" s="4302"/>
      <c r="BG1" s="4302"/>
      <c r="BH1" s="4302"/>
      <c r="BI1" s="4302"/>
      <c r="BJ1" s="4302"/>
      <c r="BK1" s="4302"/>
      <c r="BL1" s="4302"/>
      <c r="BM1" s="4303"/>
      <c r="BN1" s="708" t="s">
        <v>0</v>
      </c>
      <c r="BO1" s="708" t="s">
        <v>425</v>
      </c>
    </row>
    <row r="2" spans="1:67" ht="19.5" customHeight="1" x14ac:dyDescent="0.2">
      <c r="A2" s="4302"/>
      <c r="B2" s="4302"/>
      <c r="C2" s="4302"/>
      <c r="D2" s="4302"/>
      <c r="E2" s="4302"/>
      <c r="F2" s="4302"/>
      <c r="G2" s="4302"/>
      <c r="H2" s="4302"/>
      <c r="I2" s="4302"/>
      <c r="J2" s="4302"/>
      <c r="K2" s="4302"/>
      <c r="L2" s="4302"/>
      <c r="M2" s="4302"/>
      <c r="N2" s="4302"/>
      <c r="O2" s="4302"/>
      <c r="P2" s="4302"/>
      <c r="Q2" s="4302"/>
      <c r="R2" s="4302"/>
      <c r="S2" s="4302"/>
      <c r="T2" s="4302"/>
      <c r="U2" s="4302"/>
      <c r="V2" s="4302"/>
      <c r="W2" s="4302"/>
      <c r="X2" s="4302"/>
      <c r="Y2" s="4302"/>
      <c r="Z2" s="4302"/>
      <c r="AA2" s="4302"/>
      <c r="AB2" s="4302"/>
      <c r="AC2" s="4302"/>
      <c r="AD2" s="4302"/>
      <c r="AE2" s="4302"/>
      <c r="AF2" s="4302"/>
      <c r="AG2" s="4302"/>
      <c r="AH2" s="4302"/>
      <c r="AI2" s="4302"/>
      <c r="AJ2" s="4302"/>
      <c r="AK2" s="4302"/>
      <c r="AL2" s="4302"/>
      <c r="AM2" s="4302"/>
      <c r="AN2" s="4302"/>
      <c r="AO2" s="4302"/>
      <c r="AP2" s="4302"/>
      <c r="AQ2" s="4302"/>
      <c r="AR2" s="4302"/>
      <c r="AS2" s="4302"/>
      <c r="AT2" s="4302"/>
      <c r="AU2" s="4302"/>
      <c r="AV2" s="4302"/>
      <c r="AW2" s="4302"/>
      <c r="AX2" s="4302"/>
      <c r="AY2" s="4302"/>
      <c r="AZ2" s="4302"/>
      <c r="BA2" s="4302"/>
      <c r="BB2" s="4302"/>
      <c r="BC2" s="4302"/>
      <c r="BD2" s="4302"/>
      <c r="BE2" s="4302"/>
      <c r="BF2" s="4302"/>
      <c r="BG2" s="4302"/>
      <c r="BH2" s="4302"/>
      <c r="BI2" s="4302"/>
      <c r="BJ2" s="4302"/>
      <c r="BK2" s="4302"/>
      <c r="BL2" s="4302"/>
      <c r="BM2" s="4303"/>
      <c r="BN2" s="858" t="s">
        <v>2</v>
      </c>
      <c r="BO2" s="708" t="s">
        <v>96</v>
      </c>
    </row>
    <row r="3" spans="1:67" ht="20.25" customHeight="1" x14ac:dyDescent="0.2">
      <c r="A3" s="4302"/>
      <c r="B3" s="4302"/>
      <c r="C3" s="4302"/>
      <c r="D3" s="4302"/>
      <c r="E3" s="4302"/>
      <c r="F3" s="4302"/>
      <c r="G3" s="4302"/>
      <c r="H3" s="4302"/>
      <c r="I3" s="4302"/>
      <c r="J3" s="4302"/>
      <c r="K3" s="4302"/>
      <c r="L3" s="4302"/>
      <c r="M3" s="4302"/>
      <c r="N3" s="4302"/>
      <c r="O3" s="4302"/>
      <c r="P3" s="4302"/>
      <c r="Q3" s="4302"/>
      <c r="R3" s="4302"/>
      <c r="S3" s="4302"/>
      <c r="T3" s="4302"/>
      <c r="U3" s="4302"/>
      <c r="V3" s="4302"/>
      <c r="W3" s="4302"/>
      <c r="X3" s="4302"/>
      <c r="Y3" s="4302"/>
      <c r="Z3" s="4302"/>
      <c r="AA3" s="4302"/>
      <c r="AB3" s="4302"/>
      <c r="AC3" s="4302"/>
      <c r="AD3" s="4302"/>
      <c r="AE3" s="4302"/>
      <c r="AF3" s="4302"/>
      <c r="AG3" s="4302"/>
      <c r="AH3" s="4302"/>
      <c r="AI3" s="4302"/>
      <c r="AJ3" s="4302"/>
      <c r="AK3" s="4302"/>
      <c r="AL3" s="4302"/>
      <c r="AM3" s="4302"/>
      <c r="AN3" s="4302"/>
      <c r="AO3" s="4302"/>
      <c r="AP3" s="4302"/>
      <c r="AQ3" s="4302"/>
      <c r="AR3" s="4302"/>
      <c r="AS3" s="4302"/>
      <c r="AT3" s="4302"/>
      <c r="AU3" s="4302"/>
      <c r="AV3" s="4302"/>
      <c r="AW3" s="4302"/>
      <c r="AX3" s="4302"/>
      <c r="AY3" s="4302"/>
      <c r="AZ3" s="4302"/>
      <c r="BA3" s="4302"/>
      <c r="BB3" s="4302"/>
      <c r="BC3" s="4302"/>
      <c r="BD3" s="4302"/>
      <c r="BE3" s="4302"/>
      <c r="BF3" s="4302"/>
      <c r="BG3" s="4302"/>
      <c r="BH3" s="4302"/>
      <c r="BI3" s="4302"/>
      <c r="BJ3" s="4302"/>
      <c r="BK3" s="4302"/>
      <c r="BL3" s="4302"/>
      <c r="BM3" s="4303"/>
      <c r="BN3" s="708" t="s">
        <v>3</v>
      </c>
      <c r="BO3" s="1601" t="s">
        <v>4</v>
      </c>
    </row>
    <row r="4" spans="1:67" ht="20.25" customHeight="1" x14ac:dyDescent="0.2">
      <c r="A4" s="4479"/>
      <c r="B4" s="4479"/>
      <c r="C4" s="4479"/>
      <c r="D4" s="4479"/>
      <c r="E4" s="4479"/>
      <c r="F4" s="4479"/>
      <c r="G4" s="4479"/>
      <c r="H4" s="4479"/>
      <c r="I4" s="4479"/>
      <c r="J4" s="4479"/>
      <c r="K4" s="4479"/>
      <c r="L4" s="4479"/>
      <c r="M4" s="4479"/>
      <c r="N4" s="4479"/>
      <c r="O4" s="4479"/>
      <c r="P4" s="4479"/>
      <c r="Q4" s="4479"/>
      <c r="R4" s="4479"/>
      <c r="S4" s="4479"/>
      <c r="T4" s="4479"/>
      <c r="U4" s="4479"/>
      <c r="V4" s="4479"/>
      <c r="W4" s="4479"/>
      <c r="X4" s="4479"/>
      <c r="Y4" s="4479"/>
      <c r="Z4" s="4479"/>
      <c r="AA4" s="4479"/>
      <c r="AB4" s="4479"/>
      <c r="AC4" s="4479"/>
      <c r="AD4" s="4479"/>
      <c r="AE4" s="4479"/>
      <c r="AF4" s="4479"/>
      <c r="AG4" s="4479"/>
      <c r="AH4" s="4479"/>
      <c r="AI4" s="4479"/>
      <c r="AJ4" s="4479"/>
      <c r="AK4" s="4479"/>
      <c r="AL4" s="4479"/>
      <c r="AM4" s="4479"/>
      <c r="AN4" s="4479"/>
      <c r="AO4" s="4479"/>
      <c r="AP4" s="4479"/>
      <c r="AQ4" s="4479"/>
      <c r="AR4" s="4479"/>
      <c r="AS4" s="4479"/>
      <c r="AT4" s="4479"/>
      <c r="AU4" s="4479"/>
      <c r="AV4" s="4479"/>
      <c r="AW4" s="4479"/>
      <c r="AX4" s="4479"/>
      <c r="AY4" s="4479"/>
      <c r="AZ4" s="4479"/>
      <c r="BA4" s="4479"/>
      <c r="BB4" s="4479"/>
      <c r="BC4" s="4479"/>
      <c r="BD4" s="4479"/>
      <c r="BE4" s="4479"/>
      <c r="BF4" s="4479"/>
      <c r="BG4" s="4479"/>
      <c r="BH4" s="4479"/>
      <c r="BI4" s="4479"/>
      <c r="BJ4" s="4479"/>
      <c r="BK4" s="4479"/>
      <c r="BL4" s="4479"/>
      <c r="BM4" s="4480"/>
      <c r="BN4" s="1602" t="s">
        <v>5</v>
      </c>
      <c r="BO4" s="1603" t="s">
        <v>97</v>
      </c>
    </row>
    <row r="5" spans="1:67" ht="15" customHeight="1" x14ac:dyDescent="0.2">
      <c r="A5" s="2925" t="s">
        <v>7</v>
      </c>
      <c r="B5" s="4481"/>
      <c r="C5" s="4481"/>
      <c r="D5" s="4481"/>
      <c r="E5" s="4481"/>
      <c r="F5" s="4481"/>
      <c r="G5" s="4481"/>
      <c r="H5" s="4481"/>
      <c r="I5" s="4481"/>
      <c r="J5" s="4482"/>
      <c r="K5" s="1169"/>
      <c r="L5" s="3269" t="s">
        <v>8</v>
      </c>
      <c r="M5" s="3270"/>
      <c r="N5" s="3270"/>
      <c r="O5" s="3270"/>
      <c r="P5" s="3270"/>
      <c r="Q5" s="3270"/>
      <c r="R5" s="3270"/>
      <c r="S5" s="3270"/>
      <c r="T5" s="3270"/>
      <c r="U5" s="3270"/>
      <c r="V5" s="3270"/>
      <c r="W5" s="3270"/>
      <c r="X5" s="3270"/>
      <c r="Y5" s="3270"/>
      <c r="Z5" s="3270"/>
      <c r="AA5" s="3270"/>
      <c r="AB5" s="3270"/>
      <c r="AC5" s="3270"/>
      <c r="AD5" s="3270"/>
      <c r="AE5" s="3270"/>
      <c r="AF5" s="3270"/>
      <c r="AG5" s="3270"/>
      <c r="AH5" s="3270"/>
      <c r="AI5" s="3270"/>
      <c r="AJ5" s="3270"/>
      <c r="AK5" s="3270"/>
      <c r="AL5" s="3270"/>
      <c r="AM5" s="3270"/>
      <c r="AN5" s="3270"/>
      <c r="AO5" s="3270"/>
      <c r="AP5" s="3270"/>
      <c r="AQ5" s="3270"/>
      <c r="AR5" s="3270"/>
      <c r="AS5" s="3270"/>
      <c r="AT5" s="3270"/>
      <c r="AU5" s="3270"/>
      <c r="AV5" s="3270"/>
      <c r="AW5" s="3270"/>
      <c r="AX5" s="3270"/>
      <c r="AY5" s="3270"/>
      <c r="AZ5" s="3270"/>
      <c r="BA5" s="3270"/>
      <c r="BB5" s="3270"/>
      <c r="BC5" s="3270"/>
      <c r="BD5" s="3271"/>
      <c r="BE5" s="1150"/>
      <c r="BF5" s="1150"/>
      <c r="BG5" s="1150"/>
      <c r="BH5" s="1150"/>
      <c r="BI5" s="1150"/>
      <c r="BJ5" s="1150"/>
      <c r="BK5" s="4486"/>
      <c r="BL5" s="4487"/>
      <c r="BM5" s="4487"/>
      <c r="BN5" s="4487"/>
      <c r="BO5" s="4488"/>
    </row>
    <row r="6" spans="1:67" ht="15" customHeight="1" x14ac:dyDescent="0.2">
      <c r="A6" s="4483"/>
      <c r="B6" s="4484"/>
      <c r="C6" s="4484"/>
      <c r="D6" s="4484"/>
      <c r="E6" s="4484"/>
      <c r="F6" s="4484"/>
      <c r="G6" s="4484"/>
      <c r="H6" s="4484"/>
      <c r="I6" s="4484"/>
      <c r="J6" s="4485"/>
      <c r="K6" s="1170"/>
      <c r="L6" s="3269"/>
      <c r="M6" s="3270"/>
      <c r="N6" s="3270"/>
      <c r="O6" s="3270"/>
      <c r="P6" s="3270"/>
      <c r="Q6" s="3270"/>
      <c r="R6" s="3270"/>
      <c r="S6" s="3270"/>
      <c r="T6" s="3270"/>
      <c r="U6" s="3270"/>
      <c r="V6" s="3270"/>
      <c r="W6" s="3270"/>
      <c r="X6" s="3271"/>
      <c r="Y6" s="3269" t="s">
        <v>426</v>
      </c>
      <c r="Z6" s="3270"/>
      <c r="AA6" s="3270"/>
      <c r="AB6" s="3270"/>
      <c r="AC6" s="3270"/>
      <c r="AD6" s="3270"/>
      <c r="AE6" s="3270"/>
      <c r="AF6" s="3270"/>
      <c r="AG6" s="3270"/>
      <c r="AH6" s="3270"/>
      <c r="AI6" s="3270"/>
      <c r="AJ6" s="3270"/>
      <c r="AK6" s="3270"/>
      <c r="AL6" s="3270"/>
      <c r="AM6" s="3270"/>
      <c r="AN6" s="3270"/>
      <c r="AO6" s="3270"/>
      <c r="AP6" s="3270"/>
      <c r="AQ6" s="3270"/>
      <c r="AR6" s="3270"/>
      <c r="AS6" s="3270"/>
      <c r="AT6" s="3270"/>
      <c r="AU6" s="3270"/>
      <c r="AV6" s="3270"/>
      <c r="AW6" s="3270"/>
      <c r="AX6" s="3270"/>
      <c r="AY6" s="3270"/>
      <c r="AZ6" s="3270"/>
      <c r="BA6" s="3270"/>
      <c r="BB6" s="3270"/>
      <c r="BC6" s="3270"/>
      <c r="BD6" s="3271"/>
      <c r="BE6" s="1150"/>
      <c r="BF6" s="1150"/>
      <c r="BG6" s="1150"/>
      <c r="BH6" s="1150"/>
      <c r="BI6" s="1150"/>
      <c r="BJ6" s="1150"/>
      <c r="BK6" s="4489" t="s">
        <v>30</v>
      </c>
      <c r="BL6" s="4490"/>
      <c r="BM6" s="4489" t="s">
        <v>31</v>
      </c>
      <c r="BN6" s="4490"/>
      <c r="BO6" s="4495" t="s">
        <v>32</v>
      </c>
    </row>
    <row r="7" spans="1:67" ht="27.75" customHeight="1" x14ac:dyDescent="0.2">
      <c r="A7" s="4476" t="s">
        <v>9</v>
      </c>
      <c r="B7" s="4476" t="s">
        <v>427</v>
      </c>
      <c r="C7" s="4476" t="s">
        <v>9</v>
      </c>
      <c r="D7" s="4476" t="s">
        <v>428</v>
      </c>
      <c r="E7" s="4476" t="s">
        <v>9</v>
      </c>
      <c r="F7" s="4476" t="s">
        <v>429</v>
      </c>
      <c r="G7" s="4476" t="s">
        <v>9</v>
      </c>
      <c r="H7" s="4473" t="s">
        <v>430</v>
      </c>
      <c r="I7" s="4473" t="s">
        <v>14</v>
      </c>
      <c r="J7" s="4516" t="s">
        <v>15</v>
      </c>
      <c r="K7" s="4517"/>
      <c r="L7" s="4473" t="s">
        <v>16</v>
      </c>
      <c r="M7" s="4473" t="s">
        <v>431</v>
      </c>
      <c r="N7" s="4473" t="s">
        <v>8</v>
      </c>
      <c r="O7" s="4473" t="s">
        <v>18</v>
      </c>
      <c r="P7" s="4473" t="s">
        <v>432</v>
      </c>
      <c r="Q7" s="4473" t="s">
        <v>20</v>
      </c>
      <c r="R7" s="4473" t="s">
        <v>21</v>
      </c>
      <c r="S7" s="4473" t="s">
        <v>22</v>
      </c>
      <c r="T7" s="4510" t="s">
        <v>19</v>
      </c>
      <c r="U7" s="4511"/>
      <c r="V7" s="4512"/>
      <c r="W7" s="4473" t="s">
        <v>9</v>
      </c>
      <c r="X7" s="4473" t="s">
        <v>23</v>
      </c>
      <c r="Y7" s="2427" t="s">
        <v>24</v>
      </c>
      <c r="Z7" s="2428"/>
      <c r="AA7" s="2428"/>
      <c r="AB7" s="2751"/>
      <c r="AC7" s="2398" t="s">
        <v>25</v>
      </c>
      <c r="AD7" s="2399"/>
      <c r="AE7" s="2399"/>
      <c r="AF7" s="2399"/>
      <c r="AG7" s="2399"/>
      <c r="AH7" s="2399"/>
      <c r="AI7" s="2399"/>
      <c r="AJ7" s="2708"/>
      <c r="AK7" s="2400" t="s">
        <v>26</v>
      </c>
      <c r="AL7" s="2401"/>
      <c r="AM7" s="2401"/>
      <c r="AN7" s="2401"/>
      <c r="AO7" s="2401"/>
      <c r="AP7" s="2401"/>
      <c r="AQ7" s="2401"/>
      <c r="AR7" s="2401"/>
      <c r="AS7" s="2401"/>
      <c r="AT7" s="2401"/>
      <c r="AU7" s="2401"/>
      <c r="AV7" s="2752"/>
      <c r="AW7" s="2398" t="s">
        <v>27</v>
      </c>
      <c r="AX7" s="2399"/>
      <c r="AY7" s="2399"/>
      <c r="AZ7" s="2399"/>
      <c r="BA7" s="2399"/>
      <c r="BB7" s="2708"/>
      <c r="BC7" s="2398" t="s">
        <v>28</v>
      </c>
      <c r="BD7" s="2708"/>
      <c r="BE7" s="4498" t="s">
        <v>29</v>
      </c>
      <c r="BF7" s="4498"/>
      <c r="BG7" s="4498"/>
      <c r="BH7" s="4498"/>
      <c r="BI7" s="4498"/>
      <c r="BJ7" s="4498"/>
      <c r="BK7" s="4491"/>
      <c r="BL7" s="4492"/>
      <c r="BM7" s="4491"/>
      <c r="BN7" s="4492"/>
      <c r="BO7" s="4496"/>
    </row>
    <row r="8" spans="1:67" ht="108" customHeight="1" x14ac:dyDescent="0.2">
      <c r="A8" s="4477"/>
      <c r="B8" s="4477"/>
      <c r="C8" s="4477"/>
      <c r="D8" s="4477"/>
      <c r="E8" s="4477"/>
      <c r="F8" s="4477"/>
      <c r="G8" s="4477"/>
      <c r="H8" s="4474"/>
      <c r="I8" s="4474"/>
      <c r="J8" s="4518"/>
      <c r="K8" s="4519"/>
      <c r="L8" s="4474"/>
      <c r="M8" s="4474"/>
      <c r="N8" s="4474"/>
      <c r="O8" s="4474"/>
      <c r="P8" s="4474"/>
      <c r="Q8" s="4474"/>
      <c r="R8" s="4474"/>
      <c r="S8" s="4474"/>
      <c r="T8" s="4513"/>
      <c r="U8" s="4514"/>
      <c r="V8" s="4515"/>
      <c r="W8" s="4474"/>
      <c r="X8" s="4474"/>
      <c r="Y8" s="4499" t="s">
        <v>33</v>
      </c>
      <c r="Z8" s="4500"/>
      <c r="AA8" s="4501" t="s">
        <v>34</v>
      </c>
      <c r="AB8" s="4502"/>
      <c r="AC8" s="4499" t="s">
        <v>35</v>
      </c>
      <c r="AD8" s="4500"/>
      <c r="AE8" s="4499" t="s">
        <v>36</v>
      </c>
      <c r="AF8" s="4500"/>
      <c r="AG8" s="4499" t="s">
        <v>272</v>
      </c>
      <c r="AH8" s="4500"/>
      <c r="AI8" s="4499" t="s">
        <v>38</v>
      </c>
      <c r="AJ8" s="4500"/>
      <c r="AK8" s="4499" t="s">
        <v>39</v>
      </c>
      <c r="AL8" s="4500"/>
      <c r="AM8" s="4499" t="s">
        <v>40</v>
      </c>
      <c r="AN8" s="4500"/>
      <c r="AO8" s="4499" t="s">
        <v>41</v>
      </c>
      <c r="AP8" s="4500"/>
      <c r="AQ8" s="4499" t="s">
        <v>42</v>
      </c>
      <c r="AR8" s="4500"/>
      <c r="AS8" s="4499" t="s">
        <v>43</v>
      </c>
      <c r="AT8" s="4500"/>
      <c r="AU8" s="4499" t="s">
        <v>44</v>
      </c>
      <c r="AV8" s="4500"/>
      <c r="AW8" s="4499" t="s">
        <v>45</v>
      </c>
      <c r="AX8" s="4500"/>
      <c r="AY8" s="4499" t="s">
        <v>46</v>
      </c>
      <c r="AZ8" s="4500"/>
      <c r="BA8" s="4499" t="s">
        <v>47</v>
      </c>
      <c r="BB8" s="4500"/>
      <c r="BC8" s="4499" t="s">
        <v>28</v>
      </c>
      <c r="BD8" s="4500"/>
      <c r="BE8" s="4503" t="s">
        <v>48</v>
      </c>
      <c r="BF8" s="4509" t="s">
        <v>49</v>
      </c>
      <c r="BG8" s="4503" t="s">
        <v>50</v>
      </c>
      <c r="BH8" s="4504" t="s">
        <v>51</v>
      </c>
      <c r="BI8" s="4503" t="s">
        <v>52</v>
      </c>
      <c r="BJ8" s="4503" t="s">
        <v>53</v>
      </c>
      <c r="BK8" s="4493"/>
      <c r="BL8" s="4494"/>
      <c r="BM8" s="4491"/>
      <c r="BN8" s="4492"/>
      <c r="BO8" s="4496"/>
    </row>
    <row r="9" spans="1:67" ht="27.75" customHeight="1" x14ac:dyDescent="0.2">
      <c r="A9" s="4478"/>
      <c r="B9" s="4478"/>
      <c r="C9" s="4478"/>
      <c r="D9" s="4478"/>
      <c r="E9" s="4478"/>
      <c r="F9" s="4478"/>
      <c r="G9" s="4478"/>
      <c r="H9" s="4475"/>
      <c r="I9" s="4475"/>
      <c r="J9" s="417" t="s">
        <v>54</v>
      </c>
      <c r="K9" s="417" t="s">
        <v>55</v>
      </c>
      <c r="L9" s="4475"/>
      <c r="M9" s="4475"/>
      <c r="N9" s="4475"/>
      <c r="O9" s="4475"/>
      <c r="P9" s="4475"/>
      <c r="Q9" s="4475"/>
      <c r="R9" s="4475"/>
      <c r="S9" s="4475"/>
      <c r="T9" s="508" t="s">
        <v>56</v>
      </c>
      <c r="U9" s="508" t="s">
        <v>57</v>
      </c>
      <c r="V9" s="508" t="s">
        <v>58</v>
      </c>
      <c r="W9" s="4475"/>
      <c r="X9" s="4475"/>
      <c r="Y9" s="1604" t="s">
        <v>54</v>
      </c>
      <c r="Z9" s="1604" t="s">
        <v>55</v>
      </c>
      <c r="AA9" s="1604" t="s">
        <v>54</v>
      </c>
      <c r="AB9" s="1604" t="s">
        <v>55</v>
      </c>
      <c r="AC9" s="1604" t="s">
        <v>54</v>
      </c>
      <c r="AD9" s="1604" t="s">
        <v>55</v>
      </c>
      <c r="AE9" s="1604" t="s">
        <v>54</v>
      </c>
      <c r="AF9" s="1604" t="s">
        <v>55</v>
      </c>
      <c r="AG9" s="1604" t="s">
        <v>54</v>
      </c>
      <c r="AH9" s="1604" t="s">
        <v>55</v>
      </c>
      <c r="AI9" s="1604" t="s">
        <v>54</v>
      </c>
      <c r="AJ9" s="1604" t="s">
        <v>55</v>
      </c>
      <c r="AK9" s="1604" t="s">
        <v>54</v>
      </c>
      <c r="AL9" s="1604" t="s">
        <v>55</v>
      </c>
      <c r="AM9" s="1604" t="s">
        <v>54</v>
      </c>
      <c r="AN9" s="1604" t="s">
        <v>55</v>
      </c>
      <c r="AO9" s="1604" t="s">
        <v>54</v>
      </c>
      <c r="AP9" s="1604" t="s">
        <v>55</v>
      </c>
      <c r="AQ9" s="1604" t="s">
        <v>54</v>
      </c>
      <c r="AR9" s="1604" t="s">
        <v>55</v>
      </c>
      <c r="AS9" s="1604" t="s">
        <v>54</v>
      </c>
      <c r="AT9" s="1604" t="s">
        <v>55</v>
      </c>
      <c r="AU9" s="1604" t="s">
        <v>54</v>
      </c>
      <c r="AV9" s="1604" t="s">
        <v>55</v>
      </c>
      <c r="AW9" s="1604" t="s">
        <v>54</v>
      </c>
      <c r="AX9" s="1604" t="s">
        <v>55</v>
      </c>
      <c r="AY9" s="1604" t="s">
        <v>54</v>
      </c>
      <c r="AZ9" s="1604" t="s">
        <v>55</v>
      </c>
      <c r="BA9" s="1604" t="s">
        <v>54</v>
      </c>
      <c r="BB9" s="1604" t="s">
        <v>55</v>
      </c>
      <c r="BC9" s="1604" t="s">
        <v>54</v>
      </c>
      <c r="BD9" s="1604" t="s">
        <v>55</v>
      </c>
      <c r="BE9" s="4503"/>
      <c r="BF9" s="4509"/>
      <c r="BG9" s="4503"/>
      <c r="BH9" s="4504"/>
      <c r="BI9" s="4503"/>
      <c r="BJ9" s="4503"/>
      <c r="BK9" s="418" t="s">
        <v>433</v>
      </c>
      <c r="BL9" s="1173" t="s">
        <v>55</v>
      </c>
      <c r="BM9" s="418" t="s">
        <v>433</v>
      </c>
      <c r="BN9" s="418" t="s">
        <v>55</v>
      </c>
      <c r="BO9" s="4497"/>
    </row>
    <row r="10" spans="1:67" ht="15" x14ac:dyDescent="0.2">
      <c r="A10" s="419">
        <v>2</v>
      </c>
      <c r="B10" s="4505" t="s">
        <v>434</v>
      </c>
      <c r="C10" s="4506"/>
      <c r="D10" s="4506"/>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1"/>
      <c r="BL10" s="421"/>
      <c r="BM10" s="421"/>
      <c r="BN10" s="421"/>
      <c r="BO10" s="422"/>
    </row>
    <row r="11" spans="1:67" ht="15" customHeight="1" x14ac:dyDescent="0.2">
      <c r="A11" s="423"/>
      <c r="B11" s="424"/>
      <c r="C11" s="425">
        <v>4</v>
      </c>
      <c r="D11" s="4507" t="s">
        <v>435</v>
      </c>
      <c r="E11" s="4508"/>
      <c r="F11" s="4508"/>
      <c r="G11" s="4508"/>
      <c r="H11" s="4508"/>
      <c r="I11" s="4508"/>
      <c r="J11" s="4508"/>
      <c r="K11" s="4508"/>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7"/>
    </row>
    <row r="12" spans="1:67" ht="20.25" customHeight="1" x14ac:dyDescent="0.2">
      <c r="A12" s="428"/>
      <c r="B12" s="429"/>
      <c r="C12" s="424"/>
      <c r="D12" s="423"/>
      <c r="E12" s="1158">
        <v>14</v>
      </c>
      <c r="F12" s="4520" t="s">
        <v>436</v>
      </c>
      <c r="G12" s="4521"/>
      <c r="H12" s="4521"/>
      <c r="I12" s="4521"/>
      <c r="J12" s="4521"/>
      <c r="K12" s="4521"/>
      <c r="L12" s="4521"/>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1"/>
    </row>
    <row r="13" spans="1:67" ht="56.25" customHeight="1" x14ac:dyDescent="0.2">
      <c r="A13" s="432"/>
      <c r="B13" s="433"/>
      <c r="C13" s="432"/>
      <c r="D13" s="433"/>
      <c r="E13" s="4522"/>
      <c r="F13" s="4015"/>
      <c r="G13" s="4524">
        <v>54</v>
      </c>
      <c r="H13" s="3883" t="s">
        <v>437</v>
      </c>
      <c r="I13" s="3883" t="s">
        <v>342</v>
      </c>
      <c r="J13" s="4032">
        <v>130</v>
      </c>
      <c r="K13" s="4032">
        <v>0</v>
      </c>
      <c r="L13" s="4032" t="s">
        <v>438</v>
      </c>
      <c r="M13" s="4032" t="s">
        <v>439</v>
      </c>
      <c r="N13" s="3883" t="s">
        <v>440</v>
      </c>
      <c r="O13" s="4531">
        <f>+T13/P13</f>
        <v>1</v>
      </c>
      <c r="P13" s="4526">
        <f>+T13+T14</f>
        <v>218280000</v>
      </c>
      <c r="Q13" s="3883" t="s">
        <v>441</v>
      </c>
      <c r="R13" s="3883" t="s">
        <v>442</v>
      </c>
      <c r="S13" s="3929" t="s">
        <v>443</v>
      </c>
      <c r="T13" s="4526">
        <v>218280000</v>
      </c>
      <c r="U13" s="4526">
        <v>29088500</v>
      </c>
      <c r="V13" s="4526">
        <v>12434550</v>
      </c>
      <c r="W13" s="4528">
        <v>53</v>
      </c>
      <c r="X13" s="4529" t="s">
        <v>444</v>
      </c>
      <c r="Y13" s="4532">
        <v>252272</v>
      </c>
      <c r="Z13" s="4532">
        <f>+Y13*25%</f>
        <v>63068</v>
      </c>
      <c r="AA13" s="4532">
        <v>257368</v>
      </c>
      <c r="AB13" s="4532">
        <f>+AA13*25%</f>
        <v>64342</v>
      </c>
      <c r="AC13" s="4532">
        <v>76446</v>
      </c>
      <c r="AD13" s="4532">
        <f>+AC13*25%</f>
        <v>19111.5</v>
      </c>
      <c r="AE13" s="4532">
        <v>127410</v>
      </c>
      <c r="AF13" s="4532">
        <f>+AE13*25%</f>
        <v>31852.5</v>
      </c>
      <c r="AG13" s="4532">
        <v>178374</v>
      </c>
      <c r="AH13" s="4532">
        <f>+AG13*25%</f>
        <v>44593.5</v>
      </c>
      <c r="AI13" s="4532">
        <v>127410</v>
      </c>
      <c r="AJ13" s="4532">
        <f>+AI13*25%</f>
        <v>31852.5</v>
      </c>
      <c r="AK13" s="4532">
        <v>0</v>
      </c>
      <c r="AL13" s="4532"/>
      <c r="AM13" s="4532">
        <v>0</v>
      </c>
      <c r="AN13" s="4532"/>
      <c r="AO13" s="4532">
        <v>0</v>
      </c>
      <c r="AP13" s="4532"/>
      <c r="AQ13" s="4532">
        <v>0</v>
      </c>
      <c r="AR13" s="4532"/>
      <c r="AS13" s="4532">
        <v>0</v>
      </c>
      <c r="AT13" s="4532"/>
      <c r="AU13" s="4532">
        <v>0</v>
      </c>
      <c r="AV13" s="4532"/>
      <c r="AW13" s="4532">
        <v>0</v>
      </c>
      <c r="AX13" s="4532"/>
      <c r="AY13" s="4532">
        <v>0</v>
      </c>
      <c r="AZ13" s="4532"/>
      <c r="BA13" s="4532">
        <v>0</v>
      </c>
      <c r="BB13" s="4532"/>
      <c r="BC13" s="4532">
        <f>+Y13+AA13+AC13+AE13+AG13+AI13</f>
        <v>1019280</v>
      </c>
      <c r="BD13" s="4532">
        <f>+Z13+AB13+AD13+AF13+AH13+AJ13</f>
        <v>254820</v>
      </c>
      <c r="BE13" s="4541">
        <v>32</v>
      </c>
      <c r="BF13" s="4543">
        <f>SUM(U13:U23)</f>
        <v>415773404</v>
      </c>
      <c r="BG13" s="4543">
        <f>SUM(V13:V23)</f>
        <v>187485604</v>
      </c>
      <c r="BH13" s="4545">
        <f>+BG13/BF13</f>
        <v>0.45093217169802424</v>
      </c>
      <c r="BI13" s="4529" t="s">
        <v>444</v>
      </c>
      <c r="BJ13" s="4534" t="s">
        <v>445</v>
      </c>
      <c r="BK13" s="4536">
        <v>43832</v>
      </c>
      <c r="BL13" s="1176"/>
      <c r="BM13" s="4536">
        <v>44195</v>
      </c>
      <c r="BN13" s="1176"/>
      <c r="BO13" s="4538" t="s">
        <v>446</v>
      </c>
    </row>
    <row r="14" spans="1:67" ht="54.75" customHeight="1" x14ac:dyDescent="0.2">
      <c r="A14" s="432"/>
      <c r="B14" s="433"/>
      <c r="C14" s="432"/>
      <c r="D14" s="433"/>
      <c r="E14" s="4523"/>
      <c r="F14" s="4016"/>
      <c r="G14" s="4525"/>
      <c r="H14" s="3885"/>
      <c r="I14" s="3885"/>
      <c r="J14" s="2550"/>
      <c r="K14" s="2550"/>
      <c r="L14" s="2550"/>
      <c r="M14" s="2550"/>
      <c r="N14" s="3885"/>
      <c r="O14" s="2724"/>
      <c r="P14" s="4527"/>
      <c r="Q14" s="3885"/>
      <c r="R14" s="3885"/>
      <c r="S14" s="3930"/>
      <c r="T14" s="4527"/>
      <c r="U14" s="4527"/>
      <c r="V14" s="4527"/>
      <c r="W14" s="4528"/>
      <c r="X14" s="4530"/>
      <c r="Y14" s="4533"/>
      <c r="Z14" s="4533"/>
      <c r="AA14" s="4533"/>
      <c r="AB14" s="4533"/>
      <c r="AC14" s="4533"/>
      <c r="AD14" s="4533"/>
      <c r="AE14" s="4533"/>
      <c r="AF14" s="4533"/>
      <c r="AG14" s="4533"/>
      <c r="AH14" s="4533"/>
      <c r="AI14" s="4533"/>
      <c r="AJ14" s="4533"/>
      <c r="AK14" s="4533"/>
      <c r="AL14" s="4533"/>
      <c r="AM14" s="4533"/>
      <c r="AN14" s="4533"/>
      <c r="AO14" s="4533"/>
      <c r="AP14" s="4533"/>
      <c r="AQ14" s="4533"/>
      <c r="AR14" s="4533"/>
      <c r="AS14" s="4533"/>
      <c r="AT14" s="4533"/>
      <c r="AU14" s="4533"/>
      <c r="AV14" s="4533"/>
      <c r="AW14" s="4533"/>
      <c r="AX14" s="4533"/>
      <c r="AY14" s="4533"/>
      <c r="AZ14" s="4533"/>
      <c r="BA14" s="4533"/>
      <c r="BB14" s="4533"/>
      <c r="BC14" s="4533"/>
      <c r="BD14" s="4533"/>
      <c r="BE14" s="4541"/>
      <c r="BF14" s="4543"/>
      <c r="BG14" s="4543"/>
      <c r="BH14" s="4546"/>
      <c r="BI14" s="4530"/>
      <c r="BJ14" s="4535"/>
      <c r="BK14" s="4537"/>
      <c r="BL14" s="1177"/>
      <c r="BM14" s="4537"/>
      <c r="BN14" s="1177"/>
      <c r="BO14" s="4539"/>
    </row>
    <row r="15" spans="1:67" ht="15" customHeight="1" x14ac:dyDescent="0.2">
      <c r="A15" s="428"/>
      <c r="B15" s="429"/>
      <c r="C15" s="429"/>
      <c r="D15" s="428"/>
      <c r="E15" s="1158">
        <v>15</v>
      </c>
      <c r="F15" s="4520" t="s">
        <v>447</v>
      </c>
      <c r="G15" s="4521"/>
      <c r="H15" s="4521"/>
      <c r="I15" s="4521"/>
      <c r="J15" s="4521"/>
      <c r="K15" s="4521"/>
      <c r="L15" s="4540"/>
      <c r="M15" s="434"/>
      <c r="N15" s="435"/>
      <c r="O15" s="434"/>
      <c r="P15" s="436"/>
      <c r="Q15" s="435"/>
      <c r="R15" s="435"/>
      <c r="S15" s="434"/>
      <c r="T15" s="436"/>
      <c r="U15" s="436"/>
      <c r="V15" s="436"/>
      <c r="W15" s="434"/>
      <c r="X15" s="434"/>
      <c r="Y15" s="4533"/>
      <c r="Z15" s="4533"/>
      <c r="AA15" s="4533"/>
      <c r="AB15" s="4533"/>
      <c r="AC15" s="4533"/>
      <c r="AD15" s="4533"/>
      <c r="AE15" s="4533"/>
      <c r="AF15" s="4533"/>
      <c r="AG15" s="4533"/>
      <c r="AH15" s="4533"/>
      <c r="AI15" s="4533"/>
      <c r="AJ15" s="4533"/>
      <c r="AK15" s="4533"/>
      <c r="AL15" s="4533"/>
      <c r="AM15" s="4533"/>
      <c r="AN15" s="4533"/>
      <c r="AO15" s="4533"/>
      <c r="AP15" s="4533"/>
      <c r="AQ15" s="4533"/>
      <c r="AR15" s="4533"/>
      <c r="AS15" s="4533"/>
      <c r="AT15" s="4533"/>
      <c r="AU15" s="4533"/>
      <c r="AV15" s="4533"/>
      <c r="AW15" s="4533"/>
      <c r="AX15" s="4533"/>
      <c r="AY15" s="4533"/>
      <c r="AZ15" s="4533"/>
      <c r="BA15" s="4533"/>
      <c r="BB15" s="4533"/>
      <c r="BC15" s="4533"/>
      <c r="BD15" s="4533"/>
      <c r="BE15" s="4541"/>
      <c r="BF15" s="4543"/>
      <c r="BG15" s="4543"/>
      <c r="BH15" s="4546"/>
      <c r="BI15" s="434"/>
      <c r="BJ15" s="4535"/>
      <c r="BK15" s="437"/>
      <c r="BL15" s="437"/>
      <c r="BM15" s="437"/>
      <c r="BN15" s="437"/>
      <c r="BO15" s="438"/>
    </row>
    <row r="16" spans="1:67" ht="43.5" customHeight="1" x14ac:dyDescent="0.2">
      <c r="A16" s="428"/>
      <c r="B16" s="429"/>
      <c r="C16" s="429"/>
      <c r="D16" s="428"/>
      <c r="E16" s="4547"/>
      <c r="F16" s="4547"/>
      <c r="G16" s="4015">
        <v>59</v>
      </c>
      <c r="H16" s="3929" t="s">
        <v>390</v>
      </c>
      <c r="I16" s="3929" t="s">
        <v>391</v>
      </c>
      <c r="J16" s="4015">
        <v>12</v>
      </c>
      <c r="K16" s="4015">
        <v>0</v>
      </c>
      <c r="L16" s="4015" t="s">
        <v>438</v>
      </c>
      <c r="M16" s="4015" t="s">
        <v>439</v>
      </c>
      <c r="N16" s="3929" t="s">
        <v>440</v>
      </c>
      <c r="O16" s="4551">
        <f>+(T16+T17)/P16</f>
        <v>0.21825182940257473</v>
      </c>
      <c r="P16" s="4526">
        <f>SUM(T16:T23)</f>
        <v>1896740115</v>
      </c>
      <c r="Q16" s="3929" t="s">
        <v>441</v>
      </c>
      <c r="R16" s="3929" t="s">
        <v>448</v>
      </c>
      <c r="S16" s="3929" t="s">
        <v>449</v>
      </c>
      <c r="T16" s="4555">
        <v>413967000</v>
      </c>
      <c r="U16" s="4555">
        <v>94392000</v>
      </c>
      <c r="V16" s="4555">
        <v>45268000</v>
      </c>
      <c r="W16" s="4528" t="s">
        <v>285</v>
      </c>
      <c r="X16" s="4556" t="s">
        <v>450</v>
      </c>
      <c r="Y16" s="4533"/>
      <c r="Z16" s="4533"/>
      <c r="AA16" s="4533"/>
      <c r="AB16" s="4533"/>
      <c r="AC16" s="4533"/>
      <c r="AD16" s="4533"/>
      <c r="AE16" s="4533"/>
      <c r="AF16" s="4533"/>
      <c r="AG16" s="4533"/>
      <c r="AH16" s="4533"/>
      <c r="AI16" s="4533"/>
      <c r="AJ16" s="4533"/>
      <c r="AK16" s="4533"/>
      <c r="AL16" s="4533"/>
      <c r="AM16" s="4533"/>
      <c r="AN16" s="4533"/>
      <c r="AO16" s="4533"/>
      <c r="AP16" s="4533"/>
      <c r="AQ16" s="4533"/>
      <c r="AR16" s="4533"/>
      <c r="AS16" s="4533"/>
      <c r="AT16" s="4533"/>
      <c r="AU16" s="4533"/>
      <c r="AV16" s="4533"/>
      <c r="AW16" s="4533"/>
      <c r="AX16" s="4533"/>
      <c r="AY16" s="4533"/>
      <c r="AZ16" s="4533"/>
      <c r="BA16" s="4533"/>
      <c r="BB16" s="4533"/>
      <c r="BC16" s="4533"/>
      <c r="BD16" s="4533"/>
      <c r="BE16" s="4541"/>
      <c r="BF16" s="4543"/>
      <c r="BG16" s="4543"/>
      <c r="BH16" s="4546"/>
      <c r="BI16" s="4556" t="s">
        <v>450</v>
      </c>
      <c r="BJ16" s="4535"/>
      <c r="BK16" s="4536">
        <v>43832</v>
      </c>
      <c r="BL16" s="1176"/>
      <c r="BM16" s="4536">
        <v>44195</v>
      </c>
      <c r="BN16" s="1176"/>
      <c r="BO16" s="4538" t="s">
        <v>451</v>
      </c>
    </row>
    <row r="17" spans="1:67" ht="47.25" customHeight="1" x14ac:dyDescent="0.2">
      <c r="A17" s="439"/>
      <c r="B17" s="433"/>
      <c r="C17" s="432"/>
      <c r="D17" s="433"/>
      <c r="E17" s="4548"/>
      <c r="F17" s="4548"/>
      <c r="G17" s="4016"/>
      <c r="H17" s="3930"/>
      <c r="I17" s="3930"/>
      <c r="J17" s="4016"/>
      <c r="K17" s="4016"/>
      <c r="L17" s="4016"/>
      <c r="M17" s="3319"/>
      <c r="N17" s="2690"/>
      <c r="O17" s="4552"/>
      <c r="P17" s="4557"/>
      <c r="Q17" s="2690"/>
      <c r="R17" s="2690"/>
      <c r="S17" s="3930"/>
      <c r="T17" s="4555"/>
      <c r="U17" s="4555"/>
      <c r="V17" s="4555"/>
      <c r="W17" s="4528"/>
      <c r="X17" s="4556"/>
      <c r="Y17" s="4533"/>
      <c r="Z17" s="4533"/>
      <c r="AA17" s="4533"/>
      <c r="AB17" s="4533"/>
      <c r="AC17" s="4533"/>
      <c r="AD17" s="4533"/>
      <c r="AE17" s="4533"/>
      <c r="AF17" s="4533"/>
      <c r="AG17" s="4533"/>
      <c r="AH17" s="4533"/>
      <c r="AI17" s="4533"/>
      <c r="AJ17" s="4533"/>
      <c r="AK17" s="4533"/>
      <c r="AL17" s="4533"/>
      <c r="AM17" s="4533"/>
      <c r="AN17" s="4533"/>
      <c r="AO17" s="4533"/>
      <c r="AP17" s="4533"/>
      <c r="AQ17" s="4533"/>
      <c r="AR17" s="4533"/>
      <c r="AS17" s="4533"/>
      <c r="AT17" s="4533"/>
      <c r="AU17" s="4533"/>
      <c r="AV17" s="4533"/>
      <c r="AW17" s="4533"/>
      <c r="AX17" s="4533"/>
      <c r="AY17" s="4533"/>
      <c r="AZ17" s="4533"/>
      <c r="BA17" s="4533"/>
      <c r="BB17" s="4533"/>
      <c r="BC17" s="4533"/>
      <c r="BD17" s="4533"/>
      <c r="BE17" s="4541"/>
      <c r="BF17" s="4543"/>
      <c r="BG17" s="4543"/>
      <c r="BH17" s="4546"/>
      <c r="BI17" s="4556"/>
      <c r="BJ17" s="4535"/>
      <c r="BK17" s="4549"/>
      <c r="BL17" s="1178"/>
      <c r="BM17" s="4549"/>
      <c r="BN17" s="1178"/>
      <c r="BO17" s="4550"/>
    </row>
    <row r="18" spans="1:67" ht="40.5" customHeight="1" x14ac:dyDescent="0.2">
      <c r="A18" s="439"/>
      <c r="B18" s="433"/>
      <c r="C18" s="432"/>
      <c r="D18" s="433"/>
      <c r="E18" s="4548"/>
      <c r="F18" s="4548"/>
      <c r="G18" s="4015">
        <v>57</v>
      </c>
      <c r="H18" s="3929" t="s">
        <v>371</v>
      </c>
      <c r="I18" s="3929" t="s">
        <v>372</v>
      </c>
      <c r="J18" s="4015">
        <v>12</v>
      </c>
      <c r="K18" s="4015">
        <v>0</v>
      </c>
      <c r="L18" s="4015" t="s">
        <v>438</v>
      </c>
      <c r="M18" s="3319"/>
      <c r="N18" s="2690"/>
      <c r="O18" s="4551">
        <f>(+T18+T19)/P16</f>
        <v>0.33333348886333858</v>
      </c>
      <c r="P18" s="4557"/>
      <c r="Q18" s="2690"/>
      <c r="R18" s="2690"/>
      <c r="S18" s="4553" t="s">
        <v>452</v>
      </c>
      <c r="T18" s="440">
        <v>413967000</v>
      </c>
      <c r="U18" s="440">
        <v>94392000</v>
      </c>
      <c r="V18" s="440">
        <v>45268000</v>
      </c>
      <c r="W18" s="441" t="s">
        <v>285</v>
      </c>
      <c r="X18" s="442" t="s">
        <v>450</v>
      </c>
      <c r="Y18" s="4533"/>
      <c r="Z18" s="4533"/>
      <c r="AA18" s="4533"/>
      <c r="AB18" s="4533"/>
      <c r="AC18" s="4533"/>
      <c r="AD18" s="4533"/>
      <c r="AE18" s="4533"/>
      <c r="AF18" s="4533"/>
      <c r="AG18" s="4533"/>
      <c r="AH18" s="4533"/>
      <c r="AI18" s="4533"/>
      <c r="AJ18" s="4533"/>
      <c r="AK18" s="4533"/>
      <c r="AL18" s="4533"/>
      <c r="AM18" s="4533"/>
      <c r="AN18" s="4533"/>
      <c r="AO18" s="4533"/>
      <c r="AP18" s="4533"/>
      <c r="AQ18" s="4533"/>
      <c r="AR18" s="4533"/>
      <c r="AS18" s="4533"/>
      <c r="AT18" s="4533"/>
      <c r="AU18" s="4533"/>
      <c r="AV18" s="4533"/>
      <c r="AW18" s="4533"/>
      <c r="AX18" s="4533"/>
      <c r="AY18" s="4533"/>
      <c r="AZ18" s="4533"/>
      <c r="BA18" s="4533"/>
      <c r="BB18" s="4533"/>
      <c r="BC18" s="4533"/>
      <c r="BD18" s="4533"/>
      <c r="BE18" s="4541"/>
      <c r="BF18" s="4543"/>
      <c r="BG18" s="4543"/>
      <c r="BH18" s="4546"/>
      <c r="BI18" s="442" t="s">
        <v>450</v>
      </c>
      <c r="BJ18" s="4535"/>
      <c r="BK18" s="4549"/>
      <c r="BL18" s="1178"/>
      <c r="BM18" s="4549"/>
      <c r="BN18" s="1178"/>
      <c r="BO18" s="4550"/>
    </row>
    <row r="19" spans="1:67" ht="48" customHeight="1" x14ac:dyDescent="0.2">
      <c r="A19" s="439"/>
      <c r="B19" s="433"/>
      <c r="C19" s="432"/>
      <c r="D19" s="433"/>
      <c r="E19" s="4548"/>
      <c r="F19" s="4548"/>
      <c r="G19" s="4016"/>
      <c r="H19" s="3930"/>
      <c r="I19" s="3930"/>
      <c r="J19" s="4016"/>
      <c r="K19" s="4016"/>
      <c r="L19" s="4016"/>
      <c r="M19" s="3319"/>
      <c r="N19" s="2690"/>
      <c r="O19" s="4552"/>
      <c r="P19" s="4557"/>
      <c r="Q19" s="2690"/>
      <c r="R19" s="2690"/>
      <c r="S19" s="4554"/>
      <c r="T19" s="440">
        <v>218280000</v>
      </c>
      <c r="U19" s="440">
        <v>29088500</v>
      </c>
      <c r="V19" s="440">
        <v>12434550</v>
      </c>
      <c r="W19" s="441" t="s">
        <v>453</v>
      </c>
      <c r="X19" s="442" t="s">
        <v>444</v>
      </c>
      <c r="Y19" s="4533"/>
      <c r="Z19" s="4533"/>
      <c r="AA19" s="4533"/>
      <c r="AB19" s="4533"/>
      <c r="AC19" s="4533"/>
      <c r="AD19" s="4533"/>
      <c r="AE19" s="4533"/>
      <c r="AF19" s="4533"/>
      <c r="AG19" s="4533"/>
      <c r="AH19" s="4533"/>
      <c r="AI19" s="4533"/>
      <c r="AJ19" s="4533"/>
      <c r="AK19" s="4533"/>
      <c r="AL19" s="4533"/>
      <c r="AM19" s="4533"/>
      <c r="AN19" s="4533"/>
      <c r="AO19" s="4533"/>
      <c r="AP19" s="4533"/>
      <c r="AQ19" s="4533"/>
      <c r="AR19" s="4533"/>
      <c r="AS19" s="4533"/>
      <c r="AT19" s="4533"/>
      <c r="AU19" s="4533"/>
      <c r="AV19" s="4533"/>
      <c r="AW19" s="4533"/>
      <c r="AX19" s="4533"/>
      <c r="AY19" s="4533"/>
      <c r="AZ19" s="4533"/>
      <c r="BA19" s="4533"/>
      <c r="BB19" s="4533"/>
      <c r="BC19" s="4533"/>
      <c r="BD19" s="4533"/>
      <c r="BE19" s="4541"/>
      <c r="BF19" s="4543"/>
      <c r="BG19" s="4543"/>
      <c r="BH19" s="4546"/>
      <c r="BI19" s="442" t="s">
        <v>444</v>
      </c>
      <c r="BJ19" s="4535"/>
      <c r="BK19" s="4549"/>
      <c r="BL19" s="1178"/>
      <c r="BM19" s="4549"/>
      <c r="BN19" s="1178"/>
      <c r="BO19" s="4550"/>
    </row>
    <row r="20" spans="1:67" ht="48.75" customHeight="1" x14ac:dyDescent="0.2">
      <c r="A20" s="439"/>
      <c r="B20" s="433"/>
      <c r="C20" s="432"/>
      <c r="D20" s="433"/>
      <c r="E20" s="4548"/>
      <c r="F20" s="4548"/>
      <c r="G20" s="4015">
        <v>60</v>
      </c>
      <c r="H20" s="3929" t="s">
        <v>454</v>
      </c>
      <c r="I20" s="3929" t="s">
        <v>455</v>
      </c>
      <c r="J20" s="4015">
        <v>12</v>
      </c>
      <c r="K20" s="4015">
        <v>0</v>
      </c>
      <c r="L20" s="4015" t="s">
        <v>438</v>
      </c>
      <c r="M20" s="3319"/>
      <c r="N20" s="2690"/>
      <c r="O20" s="4551">
        <f>(+T20+T21)/P16</f>
        <v>0.11508165946076382</v>
      </c>
      <c r="P20" s="4557"/>
      <c r="Q20" s="2690"/>
      <c r="R20" s="2690"/>
      <c r="S20" s="3929" t="s">
        <v>456</v>
      </c>
      <c r="T20" s="4526">
        <v>218280000</v>
      </c>
      <c r="U20" s="4526">
        <f>+'[6]MP PROMOTORA'!P20</f>
        <v>29088500</v>
      </c>
      <c r="V20" s="4526">
        <f>+'[6]MP PROMOTORA'!Q20</f>
        <v>12434550</v>
      </c>
      <c r="W20" s="4522" t="s">
        <v>453</v>
      </c>
      <c r="X20" s="4558" t="s">
        <v>444</v>
      </c>
      <c r="Y20" s="4533"/>
      <c r="Z20" s="4533"/>
      <c r="AA20" s="4533"/>
      <c r="AB20" s="4533"/>
      <c r="AC20" s="4533"/>
      <c r="AD20" s="4533"/>
      <c r="AE20" s="4533"/>
      <c r="AF20" s="4533"/>
      <c r="AG20" s="4533"/>
      <c r="AH20" s="4533"/>
      <c r="AI20" s="4533"/>
      <c r="AJ20" s="4533"/>
      <c r="AK20" s="4533"/>
      <c r="AL20" s="4533"/>
      <c r="AM20" s="4533"/>
      <c r="AN20" s="4533"/>
      <c r="AO20" s="4533"/>
      <c r="AP20" s="4533"/>
      <c r="AQ20" s="4533"/>
      <c r="AR20" s="4533"/>
      <c r="AS20" s="4533"/>
      <c r="AT20" s="4533"/>
      <c r="AU20" s="4533"/>
      <c r="AV20" s="4533"/>
      <c r="AW20" s="4533"/>
      <c r="AX20" s="4533"/>
      <c r="AY20" s="4533"/>
      <c r="AZ20" s="4533"/>
      <c r="BA20" s="4533"/>
      <c r="BB20" s="4533"/>
      <c r="BC20" s="4533"/>
      <c r="BD20" s="4533"/>
      <c r="BE20" s="4541"/>
      <c r="BF20" s="4543"/>
      <c r="BG20" s="4543"/>
      <c r="BH20" s="4546"/>
      <c r="BI20" s="4558" t="s">
        <v>444</v>
      </c>
      <c r="BJ20" s="4535"/>
      <c r="BK20" s="4549"/>
      <c r="BL20" s="1178"/>
      <c r="BM20" s="4549"/>
      <c r="BN20" s="1178"/>
      <c r="BO20" s="4550"/>
    </row>
    <row r="21" spans="1:67" ht="44.25" customHeight="1" x14ac:dyDescent="0.2">
      <c r="A21" s="439"/>
      <c r="B21" s="1167"/>
      <c r="C21" s="439"/>
      <c r="D21" s="1154"/>
      <c r="E21" s="4548"/>
      <c r="F21" s="4548"/>
      <c r="G21" s="4016"/>
      <c r="H21" s="3930"/>
      <c r="I21" s="3930"/>
      <c r="J21" s="4016"/>
      <c r="K21" s="4016"/>
      <c r="L21" s="4016"/>
      <c r="M21" s="3319"/>
      <c r="N21" s="2690"/>
      <c r="O21" s="4552"/>
      <c r="P21" s="4557"/>
      <c r="Q21" s="2690"/>
      <c r="R21" s="2690"/>
      <c r="S21" s="3930"/>
      <c r="T21" s="4527"/>
      <c r="U21" s="4527"/>
      <c r="V21" s="4527"/>
      <c r="W21" s="4523"/>
      <c r="X21" s="4559"/>
      <c r="Y21" s="4533"/>
      <c r="Z21" s="4533"/>
      <c r="AA21" s="4533"/>
      <c r="AB21" s="4533"/>
      <c r="AC21" s="4533"/>
      <c r="AD21" s="4533"/>
      <c r="AE21" s="4533"/>
      <c r="AF21" s="4533"/>
      <c r="AG21" s="4533"/>
      <c r="AH21" s="4533"/>
      <c r="AI21" s="4533"/>
      <c r="AJ21" s="4533"/>
      <c r="AK21" s="4533"/>
      <c r="AL21" s="4533"/>
      <c r="AM21" s="4533"/>
      <c r="AN21" s="4533"/>
      <c r="AO21" s="4533"/>
      <c r="AP21" s="4533"/>
      <c r="AQ21" s="4533"/>
      <c r="AR21" s="4533"/>
      <c r="AS21" s="4533"/>
      <c r="AT21" s="4533"/>
      <c r="AU21" s="4533"/>
      <c r="AV21" s="4533"/>
      <c r="AW21" s="4533"/>
      <c r="AX21" s="4533"/>
      <c r="AY21" s="4533"/>
      <c r="AZ21" s="4533"/>
      <c r="BA21" s="4533"/>
      <c r="BB21" s="4533"/>
      <c r="BC21" s="4533"/>
      <c r="BD21" s="4533"/>
      <c r="BE21" s="4541"/>
      <c r="BF21" s="4543"/>
      <c r="BG21" s="4543"/>
      <c r="BH21" s="4546"/>
      <c r="BI21" s="4559"/>
      <c r="BJ21" s="4535"/>
      <c r="BK21" s="4549"/>
      <c r="BL21" s="1178"/>
      <c r="BM21" s="4549"/>
      <c r="BN21" s="1178"/>
      <c r="BO21" s="4550"/>
    </row>
    <row r="22" spans="1:67" ht="37.5" customHeight="1" x14ac:dyDescent="0.2">
      <c r="A22" s="439"/>
      <c r="B22" s="1167"/>
      <c r="C22" s="439"/>
      <c r="D22" s="1154"/>
      <c r="E22" s="4548"/>
      <c r="F22" s="4548"/>
      <c r="G22" s="4015">
        <v>63</v>
      </c>
      <c r="H22" s="3929" t="s">
        <v>403</v>
      </c>
      <c r="I22" s="3929" t="s">
        <v>404</v>
      </c>
      <c r="J22" s="4015">
        <v>250</v>
      </c>
      <c r="K22" s="4015">
        <v>0</v>
      </c>
      <c r="L22" s="4015" t="s">
        <v>438</v>
      </c>
      <c r="M22" s="3319"/>
      <c r="N22" s="2690"/>
      <c r="O22" s="4551">
        <f>+(T22+T23)/P16</f>
        <v>0.3333330222733229</v>
      </c>
      <c r="P22" s="4557"/>
      <c r="Q22" s="2690"/>
      <c r="R22" s="2690"/>
      <c r="S22" s="3929" t="s">
        <v>457</v>
      </c>
      <c r="T22" s="440">
        <v>413966115</v>
      </c>
      <c r="U22" s="440">
        <v>45331904</v>
      </c>
      <c r="V22" s="440">
        <v>14377954</v>
      </c>
      <c r="W22" s="441" t="s">
        <v>285</v>
      </c>
      <c r="X22" s="442" t="s">
        <v>450</v>
      </c>
      <c r="Y22" s="4533"/>
      <c r="Z22" s="4533"/>
      <c r="AA22" s="4533"/>
      <c r="AB22" s="4533"/>
      <c r="AC22" s="4533"/>
      <c r="AD22" s="4533"/>
      <c r="AE22" s="4533"/>
      <c r="AF22" s="4533"/>
      <c r="AG22" s="4533"/>
      <c r="AH22" s="4533"/>
      <c r="AI22" s="4533"/>
      <c r="AJ22" s="4533"/>
      <c r="AK22" s="4533"/>
      <c r="AL22" s="4533"/>
      <c r="AM22" s="4533"/>
      <c r="AN22" s="4533"/>
      <c r="AO22" s="4533"/>
      <c r="AP22" s="4533"/>
      <c r="AQ22" s="4533"/>
      <c r="AR22" s="4533"/>
      <c r="AS22" s="4533"/>
      <c r="AT22" s="4533"/>
      <c r="AU22" s="4533"/>
      <c r="AV22" s="4533"/>
      <c r="AW22" s="4533"/>
      <c r="AX22" s="4533"/>
      <c r="AY22" s="4533"/>
      <c r="AZ22" s="4533"/>
      <c r="BA22" s="4533"/>
      <c r="BB22" s="4533"/>
      <c r="BC22" s="4533"/>
      <c r="BD22" s="4533"/>
      <c r="BE22" s="4541"/>
      <c r="BF22" s="4543"/>
      <c r="BG22" s="4543"/>
      <c r="BH22" s="4546"/>
      <c r="BI22" s="442" t="s">
        <v>450</v>
      </c>
      <c r="BJ22" s="4535"/>
      <c r="BK22" s="4549"/>
      <c r="BL22" s="1178"/>
      <c r="BM22" s="4549"/>
      <c r="BN22" s="1178"/>
      <c r="BO22" s="4550"/>
    </row>
    <row r="23" spans="1:67" ht="48.75" customHeight="1" thickBot="1" x14ac:dyDescent="0.25">
      <c r="A23" s="439"/>
      <c r="B23" s="1167"/>
      <c r="C23" s="439"/>
      <c r="D23" s="1154"/>
      <c r="E23" s="4548"/>
      <c r="F23" s="4548"/>
      <c r="G23" s="3319"/>
      <c r="H23" s="2690"/>
      <c r="I23" s="2690"/>
      <c r="J23" s="3319"/>
      <c r="K23" s="3319"/>
      <c r="L23" s="3319"/>
      <c r="M23" s="3319"/>
      <c r="N23" s="2690"/>
      <c r="O23" s="2852"/>
      <c r="P23" s="4557"/>
      <c r="Q23" s="2690"/>
      <c r="R23" s="2690"/>
      <c r="S23" s="2690"/>
      <c r="T23" s="1175">
        <v>218280000</v>
      </c>
      <c r="U23" s="1175">
        <v>94392000</v>
      </c>
      <c r="V23" s="1175">
        <v>45268000</v>
      </c>
      <c r="W23" s="1174" t="s">
        <v>453</v>
      </c>
      <c r="X23" s="1179" t="s">
        <v>444</v>
      </c>
      <c r="Y23" s="4533"/>
      <c r="Z23" s="4533"/>
      <c r="AA23" s="4533"/>
      <c r="AB23" s="4533"/>
      <c r="AC23" s="4533"/>
      <c r="AD23" s="4533"/>
      <c r="AE23" s="4533"/>
      <c r="AF23" s="4533"/>
      <c r="AG23" s="4533"/>
      <c r="AH23" s="4533"/>
      <c r="AI23" s="4533"/>
      <c r="AJ23" s="4533"/>
      <c r="AK23" s="4533"/>
      <c r="AL23" s="4533"/>
      <c r="AM23" s="4533"/>
      <c r="AN23" s="4533"/>
      <c r="AO23" s="4533"/>
      <c r="AP23" s="4533"/>
      <c r="AQ23" s="4533"/>
      <c r="AR23" s="4533"/>
      <c r="AS23" s="4533"/>
      <c r="AT23" s="4533"/>
      <c r="AU23" s="4533"/>
      <c r="AV23" s="4533"/>
      <c r="AW23" s="4533"/>
      <c r="AX23" s="4533"/>
      <c r="AY23" s="4533"/>
      <c r="AZ23" s="4533"/>
      <c r="BA23" s="4533"/>
      <c r="BB23" s="4533"/>
      <c r="BC23" s="4533"/>
      <c r="BD23" s="4533"/>
      <c r="BE23" s="4542"/>
      <c r="BF23" s="4544"/>
      <c r="BG23" s="4544"/>
      <c r="BH23" s="4546"/>
      <c r="BI23" s="1179" t="s">
        <v>444</v>
      </c>
      <c r="BJ23" s="4535"/>
      <c r="BK23" s="4549"/>
      <c r="BL23" s="1178"/>
      <c r="BM23" s="4549"/>
      <c r="BN23" s="1178"/>
      <c r="BO23" s="4550"/>
    </row>
    <row r="24" spans="1:67" ht="33" customHeight="1" thickBot="1" x14ac:dyDescent="0.25">
      <c r="A24" s="443"/>
      <c r="B24" s="444"/>
      <c r="C24" s="444"/>
      <c r="D24" s="444"/>
      <c r="E24" s="445"/>
      <c r="F24" s="444"/>
      <c r="G24" s="445"/>
      <c r="H24" s="444"/>
      <c r="I24" s="444"/>
      <c r="J24" s="444"/>
      <c r="K24" s="444"/>
      <c r="L24" s="444"/>
      <c r="M24" s="444"/>
      <c r="N24" s="444"/>
      <c r="O24" s="359"/>
      <c r="P24" s="446"/>
      <c r="Q24" s="444"/>
      <c r="R24" s="444"/>
      <c r="S24" s="447"/>
      <c r="T24" s="448">
        <f>SUM(T13:T23)</f>
        <v>2115020115</v>
      </c>
      <c r="U24" s="449">
        <f t="shared" ref="U24:V24" si="0">SUM(U13:U23)</f>
        <v>415773404</v>
      </c>
      <c r="V24" s="450">
        <f t="shared" si="0"/>
        <v>187485604</v>
      </c>
      <c r="W24" s="451"/>
      <c r="X24" s="452"/>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4"/>
      <c r="AZ24" s="444"/>
      <c r="BA24" s="444"/>
      <c r="BB24" s="444"/>
      <c r="BC24" s="444"/>
      <c r="BD24" s="444"/>
      <c r="BE24" s="453"/>
      <c r="BF24" s="454">
        <f>+BF13+BF16</f>
        <v>415773404</v>
      </c>
      <c r="BG24" s="454">
        <f>+BG13+BG16</f>
        <v>187485604</v>
      </c>
      <c r="BH24" s="443"/>
      <c r="BI24" s="444"/>
      <c r="BJ24" s="444"/>
      <c r="BK24" s="455"/>
      <c r="BL24" s="455"/>
      <c r="BM24" s="456"/>
      <c r="BN24" s="456"/>
      <c r="BO24" s="457"/>
    </row>
    <row r="25" spans="1:67" x14ac:dyDescent="0.2">
      <c r="E25" s="459"/>
      <c r="G25" s="459"/>
      <c r="O25" s="460"/>
      <c r="S25" s="461"/>
      <c r="T25" s="462"/>
      <c r="U25" s="462"/>
      <c r="V25" s="462"/>
      <c r="W25" s="461"/>
      <c r="X25" s="461"/>
      <c r="BK25" s="463"/>
      <c r="BL25" s="463"/>
      <c r="BM25" s="464"/>
      <c r="BN25" s="464"/>
    </row>
    <row r="26" spans="1:67" x14ac:dyDescent="0.2">
      <c r="E26" s="459"/>
      <c r="G26" s="459"/>
      <c r="O26" s="460"/>
      <c r="S26" s="461"/>
      <c r="T26" s="461"/>
      <c r="U26" s="461"/>
      <c r="V26" s="461"/>
      <c r="W26" s="461"/>
      <c r="X26" s="461"/>
      <c r="BK26" s="463"/>
      <c r="BL26" s="463"/>
      <c r="BM26" s="464"/>
      <c r="BN26" s="464"/>
    </row>
    <row r="27" spans="1:67" x14ac:dyDescent="0.2">
      <c r="E27" s="459"/>
      <c r="G27" s="459"/>
      <c r="O27" s="460"/>
      <c r="S27" s="461"/>
      <c r="T27" s="461"/>
      <c r="U27" s="461"/>
      <c r="V27" s="461"/>
      <c r="W27" s="461"/>
      <c r="X27" s="461"/>
      <c r="BK27" s="463"/>
      <c r="BL27" s="463"/>
      <c r="BM27" s="464"/>
      <c r="BN27" s="464"/>
    </row>
    <row r="28" spans="1:67" x14ac:dyDescent="0.2">
      <c r="E28" s="459"/>
      <c r="G28" s="459"/>
      <c r="O28" s="460"/>
      <c r="S28" s="461"/>
      <c r="T28" s="461"/>
      <c r="U28" s="461"/>
      <c r="V28" s="461"/>
      <c r="W28" s="461"/>
      <c r="X28" s="461"/>
      <c r="BK28" s="463"/>
      <c r="BL28" s="463"/>
      <c r="BM28" s="464"/>
      <c r="BN28" s="464"/>
    </row>
    <row r="29" spans="1:67" x14ac:dyDescent="0.2">
      <c r="E29" s="459"/>
      <c r="G29" s="459"/>
      <c r="O29" s="460"/>
      <c r="S29" s="461"/>
      <c r="T29" s="461"/>
      <c r="U29" s="461"/>
      <c r="V29" s="461"/>
      <c r="W29" s="461"/>
      <c r="X29" s="461"/>
      <c r="BK29" s="463"/>
      <c r="BL29" s="463"/>
      <c r="BM29" s="464"/>
      <c r="BN29" s="464"/>
    </row>
    <row r="30" spans="1:67" x14ac:dyDescent="0.2">
      <c r="E30" s="459"/>
      <c r="G30" s="459"/>
      <c r="O30" s="460"/>
      <c r="S30" s="461"/>
      <c r="T30" s="461"/>
      <c r="U30" s="461"/>
      <c r="V30" s="461"/>
      <c r="W30" s="461"/>
      <c r="X30" s="461"/>
      <c r="BK30" s="463"/>
      <c r="BL30" s="463"/>
      <c r="BM30" s="464"/>
      <c r="BN30" s="464"/>
    </row>
    <row r="31" spans="1:67" x14ac:dyDescent="0.2">
      <c r="E31" s="459"/>
      <c r="G31" s="459"/>
      <c r="O31" s="460"/>
      <c r="S31" s="461"/>
      <c r="T31" s="461"/>
      <c r="U31" s="461"/>
      <c r="V31" s="461"/>
      <c r="W31" s="461"/>
      <c r="X31" s="461"/>
      <c r="BK31" s="463"/>
      <c r="BL31" s="463"/>
      <c r="BM31" s="464"/>
      <c r="BN31" s="464"/>
    </row>
    <row r="32" spans="1:67" x14ac:dyDescent="0.2">
      <c r="E32" s="459"/>
      <c r="G32" s="459"/>
      <c r="O32" s="460"/>
      <c r="S32" s="461"/>
      <c r="T32" s="461"/>
      <c r="U32" s="461"/>
      <c r="V32" s="461"/>
      <c r="W32" s="461"/>
      <c r="X32" s="461"/>
      <c r="BK32" s="463"/>
      <c r="BL32" s="463"/>
      <c r="BM32" s="464"/>
      <c r="BN32" s="464"/>
    </row>
    <row r="33" spans="1:66" x14ac:dyDescent="0.2">
      <c r="E33" s="459"/>
      <c r="G33" s="459"/>
      <c r="O33" s="460"/>
      <c r="S33" s="461"/>
      <c r="T33" s="461"/>
      <c r="U33" s="461"/>
      <c r="V33" s="461"/>
      <c r="W33" s="461"/>
      <c r="X33" s="461"/>
      <c r="BK33" s="463"/>
      <c r="BL33" s="463"/>
      <c r="BM33" s="464"/>
      <c r="BN33" s="464"/>
    </row>
    <row r="34" spans="1:66" x14ac:dyDescent="0.2">
      <c r="E34" s="459"/>
      <c r="G34" s="459"/>
      <c r="O34" s="460"/>
      <c r="S34" s="461"/>
      <c r="T34" s="461"/>
      <c r="U34" s="461"/>
      <c r="V34" s="461"/>
      <c r="W34" s="461"/>
      <c r="X34" s="461"/>
      <c r="BK34" s="463"/>
      <c r="BL34" s="463"/>
      <c r="BM34" s="464"/>
      <c r="BN34" s="464"/>
    </row>
    <row r="35" spans="1:66" ht="27" x14ac:dyDescent="0.35">
      <c r="A35" s="1605" t="s">
        <v>458</v>
      </c>
      <c r="B35" s="1606"/>
      <c r="C35" s="1607"/>
      <c r="D35" s="1607"/>
      <c r="E35" s="1608"/>
      <c r="F35" s="1609"/>
      <c r="G35" s="1610"/>
      <c r="O35" s="460"/>
      <c r="S35" s="461"/>
      <c r="T35" s="461"/>
      <c r="U35" s="461"/>
      <c r="V35" s="461"/>
      <c r="W35" s="461"/>
      <c r="X35" s="461"/>
      <c r="BK35" s="463"/>
      <c r="BL35" s="463"/>
      <c r="BM35" s="464"/>
      <c r="BN35" s="464"/>
    </row>
    <row r="36" spans="1:66" ht="27" x14ac:dyDescent="0.35">
      <c r="A36" s="1611" t="s">
        <v>459</v>
      </c>
      <c r="B36" s="1606"/>
      <c r="C36" s="1607"/>
      <c r="D36" s="1607"/>
      <c r="E36" s="1608"/>
      <c r="F36" s="1609"/>
      <c r="G36" s="1610"/>
      <c r="O36" s="460"/>
      <c r="S36" s="461"/>
      <c r="T36" s="461"/>
      <c r="U36" s="461"/>
      <c r="V36" s="461"/>
      <c r="W36" s="461"/>
      <c r="X36" s="461"/>
      <c r="BK36" s="463"/>
      <c r="BL36" s="463"/>
      <c r="BM36" s="464"/>
      <c r="BN36" s="464"/>
    </row>
    <row r="37" spans="1:66" ht="15" x14ac:dyDescent="0.2">
      <c r="A37" s="1606"/>
      <c r="B37" s="1606"/>
      <c r="C37" s="1607"/>
      <c r="D37" s="1607"/>
      <c r="E37" s="1608"/>
      <c r="F37" s="1609"/>
      <c r="G37" s="1610"/>
      <c r="O37" s="460"/>
      <c r="S37" s="461"/>
      <c r="T37" s="461"/>
      <c r="U37" s="461"/>
      <c r="V37" s="461"/>
      <c r="W37" s="461"/>
      <c r="X37" s="461"/>
      <c r="BK37" s="463"/>
      <c r="BL37" s="463"/>
      <c r="BM37" s="464"/>
      <c r="BN37" s="464"/>
    </row>
    <row r="38" spans="1:66" ht="35.25" x14ac:dyDescent="0.5">
      <c r="A38" s="1612"/>
      <c r="B38" s="1613"/>
      <c r="C38" s="1614"/>
      <c r="D38" s="1614"/>
      <c r="E38" s="1615"/>
      <c r="F38" s="1616"/>
      <c r="G38" s="1617"/>
      <c r="N38" s="460"/>
      <c r="R38" s="461"/>
      <c r="S38" s="461"/>
      <c r="T38" s="461"/>
      <c r="U38" s="461"/>
      <c r="V38" s="461"/>
      <c r="AS38" s="1618"/>
      <c r="AT38" s="1618"/>
      <c r="AU38" s="1619"/>
      <c r="AV38" s="1619"/>
      <c r="AW38" s="1620"/>
      <c r="AX38" s="1620"/>
    </row>
    <row r="39" spans="1:66" ht="27" x14ac:dyDescent="0.35">
      <c r="A39" s="1611" t="s">
        <v>460</v>
      </c>
      <c r="B39" s="1613"/>
      <c r="C39" s="1614"/>
      <c r="D39" s="1614"/>
      <c r="E39" s="1615"/>
      <c r="G39" s="1617"/>
      <c r="I39" s="1611" t="s">
        <v>461</v>
      </c>
      <c r="M39" s="460"/>
      <c r="N39" s="460"/>
      <c r="R39" s="461"/>
      <c r="S39" s="461"/>
      <c r="T39" s="461"/>
      <c r="U39" s="461"/>
      <c r="V39" s="461"/>
      <c r="AS39" s="1618"/>
      <c r="AT39" s="1618"/>
      <c r="AU39" s="1619"/>
      <c r="AV39" s="1619"/>
      <c r="AW39" s="1620"/>
      <c r="AX39" s="1620"/>
    </row>
    <row r="40" spans="1:66" ht="27" x14ac:dyDescent="0.35">
      <c r="A40" s="1611" t="s">
        <v>462</v>
      </c>
      <c r="B40" s="1613"/>
      <c r="C40" s="1614"/>
      <c r="D40" s="1614"/>
      <c r="E40" s="1615"/>
      <c r="G40" s="1617"/>
      <c r="I40" s="1611" t="s">
        <v>463</v>
      </c>
      <c r="M40" s="460"/>
      <c r="N40" s="460"/>
      <c r="R40" s="461"/>
      <c r="S40" s="461"/>
      <c r="T40" s="461"/>
      <c r="U40" s="461"/>
      <c r="V40" s="461"/>
      <c r="AS40" s="1618"/>
      <c r="AT40" s="1618"/>
      <c r="AU40" s="1619"/>
      <c r="AV40" s="1619"/>
      <c r="AW40" s="1620"/>
      <c r="AX40" s="1620"/>
    </row>
    <row r="41" spans="1:66" x14ac:dyDescent="0.2">
      <c r="E41" s="459"/>
      <c r="G41" s="459"/>
      <c r="N41" s="460"/>
      <c r="R41" s="461"/>
      <c r="S41" s="461"/>
      <c r="T41" s="461"/>
      <c r="U41" s="461"/>
      <c r="V41" s="461"/>
      <c r="AS41" s="1618"/>
      <c r="AT41" s="1618"/>
      <c r="AU41" s="1619"/>
      <c r="AV41" s="1619"/>
      <c r="AW41" s="1620"/>
      <c r="AX41" s="1620"/>
    </row>
    <row r="42" spans="1:66" x14ac:dyDescent="0.2">
      <c r="E42" s="459"/>
      <c r="G42" s="459"/>
      <c r="N42" s="460"/>
      <c r="R42" s="461"/>
      <c r="S42" s="461"/>
      <c r="T42" s="461"/>
      <c r="U42" s="461"/>
      <c r="V42" s="461"/>
      <c r="AS42" s="1618"/>
      <c r="AT42" s="1618"/>
      <c r="AU42" s="1619"/>
      <c r="AV42" s="1619"/>
      <c r="AW42" s="1620"/>
      <c r="AX42" s="1620"/>
    </row>
    <row r="43" spans="1:66" x14ac:dyDescent="0.2">
      <c r="A43" s="1621"/>
      <c r="E43" s="459"/>
      <c r="G43" s="459"/>
      <c r="N43" s="460"/>
      <c r="R43" s="461"/>
      <c r="S43" s="461"/>
      <c r="T43" s="461"/>
      <c r="U43" s="461"/>
      <c r="V43" s="461"/>
      <c r="AS43" s="1618"/>
      <c r="AT43" s="1618"/>
      <c r="AU43" s="1619"/>
      <c r="AV43" s="1619"/>
      <c r="AW43" s="1620"/>
      <c r="AX43" s="1620"/>
    </row>
    <row r="44" spans="1:66" x14ac:dyDescent="0.2">
      <c r="A44" s="1621"/>
      <c r="E44" s="459"/>
      <c r="G44" s="459"/>
      <c r="N44" s="460"/>
      <c r="R44" s="461"/>
      <c r="S44" s="461"/>
      <c r="T44" s="461"/>
      <c r="U44" s="461"/>
      <c r="V44" s="461"/>
      <c r="AS44" s="1618"/>
      <c r="AT44" s="1618"/>
      <c r="AU44" s="1619"/>
      <c r="AV44" s="1619"/>
      <c r="AW44" s="1620"/>
      <c r="AX44" s="1620"/>
    </row>
  </sheetData>
  <sheetProtection algorithmName="SHA-512" hashValue="hKyXJVLWIz41r9KXZ6Y0n/ABRij4gUUfs+tNh3/Jo2iLk7yZeVXGHXxLlT4KMeVFHmEOzaGS+ZqOA43vdZa7mA==" saltValue="6jOUy0WhGqAOKW0pzk4TrA==" spinCount="100000" sheet="1" objects="1" scenarios="1"/>
  <mergeCells count="177">
    <mergeCell ref="X20:X21"/>
    <mergeCell ref="BI20:BI21"/>
    <mergeCell ref="O16:O17"/>
    <mergeCell ref="K22:K23"/>
    <mergeCell ref="L22:L23"/>
    <mergeCell ref="K20:K21"/>
    <mergeCell ref="L20:L21"/>
    <mergeCell ref="O20:O21"/>
    <mergeCell ref="U20:U21"/>
    <mergeCell ref="S22:S23"/>
    <mergeCell ref="S20:S21"/>
    <mergeCell ref="T20:T21"/>
    <mergeCell ref="AS13:AS23"/>
    <mergeCell ref="AT13:AT23"/>
    <mergeCell ref="AU13:AU23"/>
    <mergeCell ref="AV13:AV23"/>
    <mergeCell ref="AK13:AK23"/>
    <mergeCell ref="AL13:AL23"/>
    <mergeCell ref="AM13:AM23"/>
    <mergeCell ref="AN13:AN23"/>
    <mergeCell ref="AO13:AO23"/>
    <mergeCell ref="AP13:AP23"/>
    <mergeCell ref="AE13:AE23"/>
    <mergeCell ref="AF13:AF23"/>
    <mergeCell ref="BM16:BM23"/>
    <mergeCell ref="BO16:BO23"/>
    <mergeCell ref="G18:G19"/>
    <mergeCell ref="H18:H19"/>
    <mergeCell ref="I18:I19"/>
    <mergeCell ref="J18:J19"/>
    <mergeCell ref="K18:K19"/>
    <mergeCell ref="L18:L19"/>
    <mergeCell ref="O18:O19"/>
    <mergeCell ref="S18:S19"/>
    <mergeCell ref="U16:U17"/>
    <mergeCell ref="V16:V17"/>
    <mergeCell ref="W16:W17"/>
    <mergeCell ref="X16:X17"/>
    <mergeCell ref="BI16:BI17"/>
    <mergeCell ref="BK16:BK23"/>
    <mergeCell ref="V20:V21"/>
    <mergeCell ref="W20:W21"/>
    <mergeCell ref="P16:P23"/>
    <mergeCell ref="Q16:Q23"/>
    <mergeCell ref="R16:R23"/>
    <mergeCell ref="S16:S17"/>
    <mergeCell ref="T16:T17"/>
    <mergeCell ref="O22:O23"/>
    <mergeCell ref="E16:E23"/>
    <mergeCell ref="F16:F23"/>
    <mergeCell ref="G16:G17"/>
    <mergeCell ref="H16:H17"/>
    <mergeCell ref="I16:I17"/>
    <mergeCell ref="J16:J17"/>
    <mergeCell ref="G20:G21"/>
    <mergeCell ref="H20:H21"/>
    <mergeCell ref="I20:I21"/>
    <mergeCell ref="J20:J21"/>
    <mergeCell ref="I22:I23"/>
    <mergeCell ref="J22:J23"/>
    <mergeCell ref="G22:G23"/>
    <mergeCell ref="H22:H23"/>
    <mergeCell ref="BI13:BI14"/>
    <mergeCell ref="BJ13:BJ23"/>
    <mergeCell ref="BK13:BK14"/>
    <mergeCell ref="BM13:BM14"/>
    <mergeCell ref="BO13:BO14"/>
    <mergeCell ref="F15:L15"/>
    <mergeCell ref="K16:K17"/>
    <mergeCell ref="L16:L17"/>
    <mergeCell ref="M16:M23"/>
    <mergeCell ref="N16:N23"/>
    <mergeCell ref="BC13:BC23"/>
    <mergeCell ref="BD13:BD23"/>
    <mergeCell ref="BE13:BE23"/>
    <mergeCell ref="BF13:BF23"/>
    <mergeCell ref="BG13:BG23"/>
    <mergeCell ref="BH13:BH23"/>
    <mergeCell ref="AW13:AW23"/>
    <mergeCell ref="AX13:AX23"/>
    <mergeCell ref="AY13:AY23"/>
    <mergeCell ref="AZ13:AZ23"/>
    <mergeCell ref="BA13:BA23"/>
    <mergeCell ref="BB13:BB23"/>
    <mergeCell ref="AQ13:AQ23"/>
    <mergeCell ref="AR13:AR23"/>
    <mergeCell ref="AG13:AG23"/>
    <mergeCell ref="AH13:AH23"/>
    <mergeCell ref="AI13:AI23"/>
    <mergeCell ref="AJ13:AJ23"/>
    <mergeCell ref="Y13:Y23"/>
    <mergeCell ref="Z13:Z23"/>
    <mergeCell ref="AA13:AA23"/>
    <mergeCell ref="AB13:AB23"/>
    <mergeCell ref="AC13:AC23"/>
    <mergeCell ref="AD13:AD23"/>
    <mergeCell ref="S13:S14"/>
    <mergeCell ref="T13:T14"/>
    <mergeCell ref="U13:U14"/>
    <mergeCell ref="V13:V14"/>
    <mergeCell ref="W13:W14"/>
    <mergeCell ref="X13:X14"/>
    <mergeCell ref="M13:M14"/>
    <mergeCell ref="N13:N14"/>
    <mergeCell ref="O13:O14"/>
    <mergeCell ref="P13:P14"/>
    <mergeCell ref="Q13:Q14"/>
    <mergeCell ref="R13:R14"/>
    <mergeCell ref="F12:L12"/>
    <mergeCell ref="E13:E14"/>
    <mergeCell ref="F13:F14"/>
    <mergeCell ref="G13:G14"/>
    <mergeCell ref="H13:H14"/>
    <mergeCell ref="I13:I14"/>
    <mergeCell ref="J13:J14"/>
    <mergeCell ref="K13:K14"/>
    <mergeCell ref="L13:L14"/>
    <mergeCell ref="BG8:BG9"/>
    <mergeCell ref="BH8:BH9"/>
    <mergeCell ref="BI8:BI9"/>
    <mergeCell ref="BJ8:BJ9"/>
    <mergeCell ref="B10:D10"/>
    <mergeCell ref="D11:K11"/>
    <mergeCell ref="AW8:AX8"/>
    <mergeCell ref="AY8:AZ8"/>
    <mergeCell ref="BA8:BB8"/>
    <mergeCell ref="BC8:BD8"/>
    <mergeCell ref="BE8:BE9"/>
    <mergeCell ref="BF8:BF9"/>
    <mergeCell ref="W7:W9"/>
    <mergeCell ref="X7:X9"/>
    <mergeCell ref="O7:O9"/>
    <mergeCell ref="P7:P9"/>
    <mergeCell ref="Q7:Q9"/>
    <mergeCell ref="R7:R9"/>
    <mergeCell ref="S7:S9"/>
    <mergeCell ref="T7:V8"/>
    <mergeCell ref="H7:H9"/>
    <mergeCell ref="I7:I9"/>
    <mergeCell ref="J7:K8"/>
    <mergeCell ref="L7:L9"/>
    <mergeCell ref="AG8:AH8"/>
    <mergeCell ref="AI8:AJ8"/>
    <mergeCell ref="AK8:AL8"/>
    <mergeCell ref="AM8:AN8"/>
    <mergeCell ref="Y7:AB7"/>
    <mergeCell ref="AC7:AJ7"/>
    <mergeCell ref="AK7:AV7"/>
    <mergeCell ref="AW7:BB7"/>
    <mergeCell ref="AO8:AP8"/>
    <mergeCell ref="AQ8:AR8"/>
    <mergeCell ref="AS8:AT8"/>
    <mergeCell ref="AU8:AV8"/>
    <mergeCell ref="M7:M9"/>
    <mergeCell ref="N7:N9"/>
    <mergeCell ref="B7:B9"/>
    <mergeCell ref="C7:C9"/>
    <mergeCell ref="D7:D9"/>
    <mergeCell ref="E7:E9"/>
    <mergeCell ref="F7:F9"/>
    <mergeCell ref="G7:G9"/>
    <mergeCell ref="A1:BM4"/>
    <mergeCell ref="A5:J6"/>
    <mergeCell ref="L5:BD5"/>
    <mergeCell ref="BK5:BO5"/>
    <mergeCell ref="L6:X6"/>
    <mergeCell ref="Y6:BD6"/>
    <mergeCell ref="BK6:BL8"/>
    <mergeCell ref="BM6:BN8"/>
    <mergeCell ref="BO6:BO9"/>
    <mergeCell ref="A7:A9"/>
    <mergeCell ref="BC7:BD7"/>
    <mergeCell ref="BE7:BJ7"/>
    <mergeCell ref="Y8:Z8"/>
    <mergeCell ref="AA8:AB8"/>
    <mergeCell ref="AC8:AD8"/>
    <mergeCell ref="AE8:AF8"/>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28"/>
  <sheetViews>
    <sheetView showGridLines="0" zoomScale="70" zoomScaleNormal="70" workbookViewId="0">
      <selection activeCell="E7" sqref="E7:E15"/>
    </sheetView>
  </sheetViews>
  <sheetFormatPr baseColWidth="10" defaultColWidth="11.42578125" defaultRowHeight="14.25" x14ac:dyDescent="0.2"/>
  <cols>
    <col min="1" max="1" width="15.85546875" style="2" customWidth="1"/>
    <col min="2" max="2" width="8.42578125" style="2" customWidth="1"/>
    <col min="3" max="3" width="9" style="2" customWidth="1"/>
    <col min="4" max="4" width="11" style="2" customWidth="1"/>
    <col min="5" max="5" width="18.28515625" style="2" customWidth="1"/>
    <col min="6" max="6" width="13.5703125" style="2" customWidth="1"/>
    <col min="7" max="7" width="20" style="2" customWidth="1"/>
    <col min="8" max="8" width="1.28515625" style="2" customWidth="1"/>
    <col min="9" max="9" width="18.28515625" style="2" customWidth="1"/>
    <col min="10" max="10" width="22.28515625" style="2" customWidth="1"/>
    <col min="11" max="11" width="17.85546875" style="2" customWidth="1"/>
    <col min="12" max="13" width="11.85546875" style="2" hidden="1" customWidth="1"/>
    <col min="14" max="14" width="22.42578125" style="2" customWidth="1"/>
    <col min="15" max="15" width="10.7109375" style="2" customWidth="1"/>
    <col min="16" max="16" width="19.140625" style="2" customWidth="1"/>
    <col min="17" max="17" width="17" style="2" customWidth="1"/>
    <col min="18" max="18" width="20.5703125" style="2" customWidth="1"/>
    <col min="19" max="19" width="25" style="2" customWidth="1"/>
    <col min="20" max="20" width="22.85546875" style="2" customWidth="1"/>
    <col min="21" max="21" width="20.28515625" style="2" customWidth="1"/>
    <col min="22" max="22" width="23.85546875" style="2" customWidth="1"/>
    <col min="23" max="24" width="23.85546875" style="174" customWidth="1"/>
    <col min="25" max="25" width="10.7109375" style="2" customWidth="1"/>
    <col min="26" max="26" width="14.85546875" style="2" customWidth="1"/>
    <col min="27" max="56" width="9.42578125" style="2" customWidth="1"/>
    <col min="57" max="57" width="12.42578125" style="2" customWidth="1"/>
    <col min="58" max="58" width="9.42578125" style="2" customWidth="1"/>
    <col min="59" max="64" width="25.28515625" style="2" customWidth="1"/>
    <col min="65" max="68" width="14.42578125" style="2" customWidth="1"/>
    <col min="69" max="69" width="19.85546875" style="2" customWidth="1"/>
    <col min="70" max="82" width="14.85546875" style="2" customWidth="1"/>
    <col min="83" max="16384" width="11.42578125" style="2"/>
  </cols>
  <sheetData>
    <row r="1" spans="1:69" ht="15" customHeight="1" x14ac:dyDescent="0.25">
      <c r="A1" s="3483" t="s">
        <v>2114</v>
      </c>
      <c r="B1" s="3483"/>
      <c r="C1" s="3483"/>
      <c r="D1" s="3483"/>
      <c r="E1" s="3483"/>
      <c r="F1" s="3483"/>
      <c r="G1" s="3483"/>
      <c r="H1" s="3483"/>
      <c r="I1" s="3483"/>
      <c r="J1" s="3483"/>
      <c r="K1" s="3483"/>
      <c r="L1" s="3483"/>
      <c r="M1" s="3483"/>
      <c r="N1" s="3483"/>
      <c r="O1" s="3483"/>
      <c r="P1" s="3483"/>
      <c r="Q1" s="3483"/>
      <c r="R1" s="3483"/>
      <c r="S1" s="3483"/>
      <c r="T1" s="3483"/>
      <c r="U1" s="3483"/>
      <c r="V1" s="3483"/>
      <c r="W1" s="3483"/>
      <c r="X1" s="3483"/>
      <c r="Y1" s="3483"/>
      <c r="Z1" s="3483"/>
      <c r="AA1" s="3483"/>
      <c r="AB1" s="3483"/>
      <c r="AC1" s="3483"/>
      <c r="AD1" s="3483"/>
      <c r="AE1" s="3483"/>
      <c r="AF1" s="3483"/>
      <c r="AG1" s="3483"/>
      <c r="AH1" s="3483"/>
      <c r="AI1" s="3483"/>
      <c r="AJ1" s="3483"/>
      <c r="AK1" s="3483"/>
      <c r="AL1" s="3483"/>
      <c r="AM1" s="3483"/>
      <c r="AN1" s="3483"/>
      <c r="AO1" s="3483"/>
      <c r="AP1" s="3483"/>
      <c r="AQ1" s="3483"/>
      <c r="AR1" s="3483"/>
      <c r="AS1" s="3483"/>
      <c r="AT1" s="3483"/>
      <c r="AU1" s="3483"/>
      <c r="AV1" s="3483"/>
      <c r="AW1" s="3483"/>
      <c r="AX1" s="3483"/>
      <c r="AY1" s="3483"/>
      <c r="AZ1" s="3483"/>
      <c r="BA1" s="3483"/>
      <c r="BB1" s="3483"/>
      <c r="BC1" s="3483"/>
      <c r="BD1" s="3483"/>
      <c r="BE1" s="3483"/>
      <c r="BF1" s="3483"/>
      <c r="BG1" s="3483"/>
      <c r="BH1" s="3483"/>
      <c r="BI1" s="3483"/>
      <c r="BJ1" s="3483"/>
      <c r="BK1" s="3483"/>
      <c r="BL1" s="3483"/>
      <c r="BM1" s="3483"/>
      <c r="BN1" s="94"/>
      <c r="BP1" s="3" t="s">
        <v>0</v>
      </c>
      <c r="BQ1" s="3" t="s">
        <v>1</v>
      </c>
    </row>
    <row r="2" spans="1:69" ht="15" x14ac:dyDescent="0.25">
      <c r="A2" s="3483"/>
      <c r="B2" s="3483"/>
      <c r="C2" s="3483"/>
      <c r="D2" s="3483"/>
      <c r="E2" s="3483"/>
      <c r="F2" s="3483"/>
      <c r="G2" s="3483"/>
      <c r="H2" s="3483"/>
      <c r="I2" s="3483"/>
      <c r="J2" s="3483"/>
      <c r="K2" s="3483"/>
      <c r="L2" s="3483"/>
      <c r="M2" s="3483"/>
      <c r="N2" s="3483"/>
      <c r="O2" s="3483"/>
      <c r="P2" s="3483"/>
      <c r="Q2" s="3483"/>
      <c r="R2" s="3483"/>
      <c r="S2" s="3483"/>
      <c r="T2" s="3483"/>
      <c r="U2" s="3483"/>
      <c r="V2" s="3483"/>
      <c r="W2" s="3483"/>
      <c r="X2" s="3483"/>
      <c r="Y2" s="3483"/>
      <c r="Z2" s="3483"/>
      <c r="AA2" s="3483"/>
      <c r="AB2" s="3483"/>
      <c r="AC2" s="3483"/>
      <c r="AD2" s="3483"/>
      <c r="AE2" s="3483"/>
      <c r="AF2" s="3483"/>
      <c r="AG2" s="3483"/>
      <c r="AH2" s="3483"/>
      <c r="AI2" s="3483"/>
      <c r="AJ2" s="3483"/>
      <c r="AK2" s="3483"/>
      <c r="AL2" s="3483"/>
      <c r="AM2" s="3483"/>
      <c r="AN2" s="3483"/>
      <c r="AO2" s="3483"/>
      <c r="AP2" s="3483"/>
      <c r="AQ2" s="3483"/>
      <c r="AR2" s="3483"/>
      <c r="AS2" s="3483"/>
      <c r="AT2" s="3483"/>
      <c r="AU2" s="3483"/>
      <c r="AV2" s="3483"/>
      <c r="AW2" s="3483"/>
      <c r="AX2" s="3483"/>
      <c r="AY2" s="3483"/>
      <c r="AZ2" s="3483"/>
      <c r="BA2" s="3483"/>
      <c r="BB2" s="3483"/>
      <c r="BC2" s="3483"/>
      <c r="BD2" s="3483"/>
      <c r="BE2" s="3483"/>
      <c r="BF2" s="3483"/>
      <c r="BG2" s="3483"/>
      <c r="BH2" s="3483"/>
      <c r="BI2" s="3483"/>
      <c r="BJ2" s="3483"/>
      <c r="BK2" s="3483"/>
      <c r="BL2" s="3483"/>
      <c r="BM2" s="3483"/>
      <c r="BN2" s="94"/>
      <c r="BP2" s="4" t="s">
        <v>2</v>
      </c>
      <c r="BQ2" s="5">
        <v>6</v>
      </c>
    </row>
    <row r="3" spans="1:69" ht="15" x14ac:dyDescent="0.25">
      <c r="A3" s="3483"/>
      <c r="B3" s="3483"/>
      <c r="C3" s="3483"/>
      <c r="D3" s="3483"/>
      <c r="E3" s="3483"/>
      <c r="F3" s="3483"/>
      <c r="G3" s="3483"/>
      <c r="H3" s="3483"/>
      <c r="I3" s="3483"/>
      <c r="J3" s="3483"/>
      <c r="K3" s="3483"/>
      <c r="L3" s="3483"/>
      <c r="M3" s="3483"/>
      <c r="N3" s="3483"/>
      <c r="O3" s="3483"/>
      <c r="P3" s="3483"/>
      <c r="Q3" s="3483"/>
      <c r="R3" s="3483"/>
      <c r="S3" s="3483"/>
      <c r="T3" s="3483"/>
      <c r="U3" s="3483"/>
      <c r="V3" s="3483"/>
      <c r="W3" s="3483"/>
      <c r="X3" s="3483"/>
      <c r="Y3" s="3483"/>
      <c r="Z3" s="3483"/>
      <c r="AA3" s="3483"/>
      <c r="AB3" s="3483"/>
      <c r="AC3" s="3483"/>
      <c r="AD3" s="3483"/>
      <c r="AE3" s="3483"/>
      <c r="AF3" s="3483"/>
      <c r="AG3" s="3483"/>
      <c r="AH3" s="3483"/>
      <c r="AI3" s="3483"/>
      <c r="AJ3" s="3483"/>
      <c r="AK3" s="3483"/>
      <c r="AL3" s="3483"/>
      <c r="AM3" s="3483"/>
      <c r="AN3" s="3483"/>
      <c r="AO3" s="3483"/>
      <c r="AP3" s="3483"/>
      <c r="AQ3" s="3483"/>
      <c r="AR3" s="3483"/>
      <c r="AS3" s="3483"/>
      <c r="AT3" s="3483"/>
      <c r="AU3" s="3483"/>
      <c r="AV3" s="3483"/>
      <c r="AW3" s="3483"/>
      <c r="AX3" s="3483"/>
      <c r="AY3" s="3483"/>
      <c r="AZ3" s="3483"/>
      <c r="BA3" s="3483"/>
      <c r="BB3" s="3483"/>
      <c r="BC3" s="3483"/>
      <c r="BD3" s="3483"/>
      <c r="BE3" s="3483"/>
      <c r="BF3" s="3483"/>
      <c r="BG3" s="3483"/>
      <c r="BH3" s="3483"/>
      <c r="BI3" s="3483"/>
      <c r="BJ3" s="3483"/>
      <c r="BK3" s="3483"/>
      <c r="BL3" s="3483"/>
      <c r="BM3" s="3483"/>
      <c r="BN3" s="94"/>
      <c r="BP3" s="3" t="s">
        <v>3</v>
      </c>
      <c r="BQ3" s="6" t="s">
        <v>4</v>
      </c>
    </row>
    <row r="4" spans="1:69" s="8" customFormat="1" ht="21" customHeight="1" x14ac:dyDescent="0.2">
      <c r="A4" s="2739"/>
      <c r="B4" s="2739"/>
      <c r="C4" s="2739"/>
      <c r="D4" s="2739"/>
      <c r="E4" s="2739"/>
      <c r="F4" s="2739"/>
      <c r="G4" s="2739"/>
      <c r="H4" s="2739"/>
      <c r="I4" s="2739"/>
      <c r="J4" s="2739"/>
      <c r="K4" s="2739"/>
      <c r="L4" s="2739"/>
      <c r="M4" s="2739"/>
      <c r="N4" s="2739"/>
      <c r="O4" s="2739"/>
      <c r="P4" s="2739"/>
      <c r="Q4" s="2739"/>
      <c r="R4" s="2739"/>
      <c r="S4" s="2739"/>
      <c r="T4" s="2739"/>
      <c r="U4" s="2739"/>
      <c r="V4" s="2739"/>
      <c r="W4" s="2739"/>
      <c r="X4" s="2739"/>
      <c r="Y4" s="2739"/>
      <c r="Z4" s="2739"/>
      <c r="AA4" s="2739"/>
      <c r="AB4" s="2739"/>
      <c r="AC4" s="2739"/>
      <c r="AD4" s="2739"/>
      <c r="AE4" s="2739"/>
      <c r="AF4" s="2739"/>
      <c r="AG4" s="2739"/>
      <c r="AH4" s="2739"/>
      <c r="AI4" s="2739"/>
      <c r="AJ4" s="2739"/>
      <c r="AK4" s="2739"/>
      <c r="AL4" s="2739"/>
      <c r="AM4" s="2739"/>
      <c r="AN4" s="2739"/>
      <c r="AO4" s="2739"/>
      <c r="AP4" s="2739"/>
      <c r="AQ4" s="2739"/>
      <c r="AR4" s="2739"/>
      <c r="AS4" s="2739"/>
      <c r="AT4" s="2739"/>
      <c r="AU4" s="2739"/>
      <c r="AV4" s="2739"/>
      <c r="AW4" s="2739"/>
      <c r="AX4" s="2739"/>
      <c r="AY4" s="2739"/>
      <c r="AZ4" s="2739"/>
      <c r="BA4" s="2739"/>
      <c r="BB4" s="2739"/>
      <c r="BC4" s="2739"/>
      <c r="BD4" s="2739"/>
      <c r="BE4" s="2739"/>
      <c r="BF4" s="2739"/>
      <c r="BG4" s="2739"/>
      <c r="BH4" s="2739"/>
      <c r="BI4" s="2739"/>
      <c r="BJ4" s="2739"/>
      <c r="BK4" s="2739"/>
      <c r="BL4" s="2739"/>
      <c r="BM4" s="2739"/>
      <c r="BN4" s="95"/>
      <c r="BP4" s="9" t="s">
        <v>5</v>
      </c>
      <c r="BQ4" s="10" t="s">
        <v>6</v>
      </c>
    </row>
    <row r="5" spans="1:69" ht="15" x14ac:dyDescent="0.2">
      <c r="A5" s="2571" t="s">
        <v>7</v>
      </c>
      <c r="B5" s="2571"/>
      <c r="C5" s="2571"/>
      <c r="D5" s="2571"/>
      <c r="E5" s="2571"/>
      <c r="F5" s="2571"/>
      <c r="G5" s="2571"/>
      <c r="H5" s="2571"/>
      <c r="I5" s="2571"/>
      <c r="J5" s="2571"/>
      <c r="K5" s="2571"/>
      <c r="L5" s="2571"/>
      <c r="M5" s="96"/>
      <c r="N5" s="96"/>
      <c r="O5" s="96"/>
      <c r="P5" s="2571" t="s">
        <v>8</v>
      </c>
      <c r="Q5" s="2571"/>
      <c r="R5" s="2571"/>
      <c r="S5" s="2571"/>
      <c r="T5" s="2571"/>
      <c r="U5" s="2571"/>
      <c r="V5" s="2571"/>
      <c r="W5" s="2571"/>
      <c r="X5" s="2571"/>
      <c r="Y5" s="2571"/>
      <c r="Z5" s="2571"/>
      <c r="AA5" s="2571"/>
      <c r="AB5" s="2571"/>
      <c r="AC5" s="2571"/>
      <c r="AD5" s="2571"/>
      <c r="AE5" s="2571"/>
      <c r="AF5" s="2571"/>
      <c r="AG5" s="2571"/>
      <c r="AH5" s="2571"/>
      <c r="AI5" s="2571"/>
      <c r="AJ5" s="2571"/>
      <c r="AK5" s="2571"/>
      <c r="AL5" s="2571"/>
      <c r="AM5" s="2571"/>
      <c r="AN5" s="2571"/>
      <c r="AO5" s="2571"/>
      <c r="AP5" s="2571"/>
      <c r="AQ5" s="2571"/>
      <c r="AR5" s="2571"/>
      <c r="AS5" s="2571"/>
      <c r="AT5" s="2571"/>
      <c r="AU5" s="2571"/>
      <c r="AV5" s="2571"/>
      <c r="AW5" s="2571"/>
      <c r="AX5" s="2571"/>
      <c r="AY5" s="2571"/>
      <c r="AZ5" s="2571"/>
      <c r="BA5" s="2571"/>
      <c r="BB5" s="2571"/>
      <c r="BC5" s="2571"/>
      <c r="BD5" s="2571"/>
      <c r="BE5" s="2571"/>
      <c r="BF5" s="2571"/>
      <c r="BG5" s="2571"/>
      <c r="BH5" s="2571"/>
      <c r="BI5" s="2571"/>
      <c r="BJ5" s="2571"/>
      <c r="BK5" s="2571"/>
      <c r="BL5" s="2571"/>
      <c r="BM5" s="2571"/>
      <c r="BN5" s="2571"/>
      <c r="BO5" s="2571"/>
      <c r="BP5" s="2571"/>
      <c r="BQ5" s="2571"/>
    </row>
    <row r="6" spans="1:69" ht="14.45" customHeight="1" thickBot="1" x14ac:dyDescent="0.25">
      <c r="A6" s="2571"/>
      <c r="B6" s="2571"/>
      <c r="C6" s="2571"/>
      <c r="D6" s="2571"/>
      <c r="E6" s="2571"/>
      <c r="F6" s="2571"/>
      <c r="G6" s="2571"/>
      <c r="H6" s="2571"/>
      <c r="I6" s="2571"/>
      <c r="J6" s="2571"/>
      <c r="K6" s="2571"/>
      <c r="L6" s="2571"/>
      <c r="M6" s="96"/>
      <c r="N6" s="96"/>
      <c r="O6" s="97"/>
      <c r="P6" s="4098"/>
      <c r="Q6" s="4099"/>
      <c r="R6" s="4099"/>
      <c r="S6" s="4099"/>
      <c r="T6" s="4099"/>
      <c r="U6" s="4099"/>
      <c r="V6" s="4099"/>
      <c r="W6" s="4099"/>
      <c r="X6" s="4099"/>
      <c r="Y6" s="4099"/>
      <c r="Z6" s="3451"/>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4098"/>
      <c r="BN6" s="4099"/>
      <c r="BO6" s="4099"/>
      <c r="BP6" s="4099"/>
      <c r="BQ6" s="3451"/>
    </row>
    <row r="7" spans="1:69" s="14" customFormat="1" ht="22.5" customHeight="1" x14ac:dyDescent="0.2">
      <c r="A7" s="2568" t="s">
        <v>9</v>
      </c>
      <c r="B7" s="2568" t="s">
        <v>10</v>
      </c>
      <c r="C7" s="2568"/>
      <c r="D7" s="2568" t="s">
        <v>9</v>
      </c>
      <c r="E7" s="2568" t="s">
        <v>11</v>
      </c>
      <c r="F7" s="2568" t="s">
        <v>9</v>
      </c>
      <c r="G7" s="2568" t="s">
        <v>12</v>
      </c>
      <c r="H7" s="2568"/>
      <c r="I7" s="2568" t="s">
        <v>9</v>
      </c>
      <c r="J7" s="2568" t="s">
        <v>13</v>
      </c>
      <c r="K7" s="2568" t="s">
        <v>14</v>
      </c>
      <c r="L7" s="4563" t="s">
        <v>15</v>
      </c>
      <c r="M7" s="4565"/>
      <c r="N7" s="2568" t="s">
        <v>16</v>
      </c>
      <c r="O7" s="4335" t="s">
        <v>17</v>
      </c>
      <c r="P7" s="2568" t="s">
        <v>8</v>
      </c>
      <c r="Q7" s="2568" t="s">
        <v>18</v>
      </c>
      <c r="R7" s="2568" t="s">
        <v>19</v>
      </c>
      <c r="S7" s="2568" t="s">
        <v>20</v>
      </c>
      <c r="T7" s="2568" t="s">
        <v>21</v>
      </c>
      <c r="U7" s="2568" t="s">
        <v>22</v>
      </c>
      <c r="V7" s="4563" t="s">
        <v>19</v>
      </c>
      <c r="W7" s="4564"/>
      <c r="X7" s="4565"/>
      <c r="Y7" s="4335" t="s">
        <v>9</v>
      </c>
      <c r="Z7" s="2568" t="s">
        <v>23</v>
      </c>
      <c r="AA7" s="3284" t="s">
        <v>24</v>
      </c>
      <c r="AB7" s="3285"/>
      <c r="AC7" s="3285"/>
      <c r="AD7" s="3286"/>
      <c r="AE7" s="3287" t="s">
        <v>25</v>
      </c>
      <c r="AF7" s="3288"/>
      <c r="AG7" s="3288"/>
      <c r="AH7" s="3288"/>
      <c r="AI7" s="3288"/>
      <c r="AJ7" s="3288"/>
      <c r="AK7" s="3288"/>
      <c r="AL7" s="3289"/>
      <c r="AM7" s="3290" t="s">
        <v>26</v>
      </c>
      <c r="AN7" s="3291"/>
      <c r="AO7" s="3291"/>
      <c r="AP7" s="3291"/>
      <c r="AQ7" s="3291"/>
      <c r="AR7" s="3291"/>
      <c r="AS7" s="3291"/>
      <c r="AT7" s="3291"/>
      <c r="AU7" s="3291"/>
      <c r="AV7" s="3291"/>
      <c r="AW7" s="3291"/>
      <c r="AX7" s="3292"/>
      <c r="AY7" s="3287" t="s">
        <v>27</v>
      </c>
      <c r="AZ7" s="3288"/>
      <c r="BA7" s="3288"/>
      <c r="BB7" s="3288"/>
      <c r="BC7" s="3288"/>
      <c r="BD7" s="3289"/>
      <c r="BE7" s="3287" t="s">
        <v>28</v>
      </c>
      <c r="BF7" s="3289"/>
      <c r="BG7" s="4320" t="s">
        <v>29</v>
      </c>
      <c r="BH7" s="4321"/>
      <c r="BI7" s="4321"/>
      <c r="BJ7" s="4321"/>
      <c r="BK7" s="4321"/>
      <c r="BL7" s="4322"/>
      <c r="BM7" s="4560" t="s">
        <v>30</v>
      </c>
      <c r="BN7" s="4561"/>
      <c r="BO7" s="4560" t="s">
        <v>31</v>
      </c>
      <c r="BP7" s="4561"/>
      <c r="BQ7" s="2573" t="s">
        <v>32</v>
      </c>
    </row>
    <row r="8" spans="1:69" s="14" customFormat="1" ht="134.25" customHeight="1" x14ac:dyDescent="0.2">
      <c r="A8" s="2568"/>
      <c r="B8" s="2568"/>
      <c r="C8" s="2568"/>
      <c r="D8" s="2568"/>
      <c r="E8" s="2568"/>
      <c r="F8" s="2568"/>
      <c r="G8" s="2568"/>
      <c r="H8" s="2568"/>
      <c r="I8" s="2568"/>
      <c r="J8" s="2568"/>
      <c r="K8" s="2568"/>
      <c r="L8" s="4312"/>
      <c r="M8" s="4313"/>
      <c r="N8" s="2568"/>
      <c r="O8" s="4336"/>
      <c r="P8" s="2568"/>
      <c r="Q8" s="2568"/>
      <c r="R8" s="2568"/>
      <c r="S8" s="2568"/>
      <c r="T8" s="2568"/>
      <c r="U8" s="2568"/>
      <c r="V8" s="4332"/>
      <c r="W8" s="4333"/>
      <c r="X8" s="4334"/>
      <c r="Y8" s="4336"/>
      <c r="Z8" s="2568"/>
      <c r="AA8" s="2574" t="s">
        <v>33</v>
      </c>
      <c r="AB8" s="2574"/>
      <c r="AC8" s="2575" t="s">
        <v>34</v>
      </c>
      <c r="AD8" s="2575"/>
      <c r="AE8" s="2574" t="s">
        <v>35</v>
      </c>
      <c r="AF8" s="2574"/>
      <c r="AG8" s="2574" t="s">
        <v>36</v>
      </c>
      <c r="AH8" s="2574"/>
      <c r="AI8" s="2574" t="s">
        <v>37</v>
      </c>
      <c r="AJ8" s="2574"/>
      <c r="AK8" s="2574" t="s">
        <v>38</v>
      </c>
      <c r="AL8" s="2574"/>
      <c r="AM8" s="2574" t="s">
        <v>39</v>
      </c>
      <c r="AN8" s="2574"/>
      <c r="AO8" s="2574" t="s">
        <v>40</v>
      </c>
      <c r="AP8" s="2574"/>
      <c r="AQ8" s="2574" t="s">
        <v>41</v>
      </c>
      <c r="AR8" s="2574"/>
      <c r="AS8" s="2574" t="s">
        <v>42</v>
      </c>
      <c r="AT8" s="2574"/>
      <c r="AU8" s="2574" t="s">
        <v>43</v>
      </c>
      <c r="AV8" s="2574"/>
      <c r="AW8" s="2574" t="s">
        <v>44</v>
      </c>
      <c r="AX8" s="2574"/>
      <c r="AY8" s="2574" t="s">
        <v>45</v>
      </c>
      <c r="AZ8" s="2574"/>
      <c r="BA8" s="2574" t="s">
        <v>46</v>
      </c>
      <c r="BB8" s="2574"/>
      <c r="BC8" s="2574" t="s">
        <v>47</v>
      </c>
      <c r="BD8" s="2574"/>
      <c r="BE8" s="2574" t="s">
        <v>28</v>
      </c>
      <c r="BF8" s="2574"/>
      <c r="BG8" s="2392" t="s">
        <v>48</v>
      </c>
      <c r="BH8" s="2391" t="s">
        <v>49</v>
      </c>
      <c r="BI8" s="2392" t="s">
        <v>50</v>
      </c>
      <c r="BJ8" s="2393" t="s">
        <v>51</v>
      </c>
      <c r="BK8" s="2392" t="s">
        <v>52</v>
      </c>
      <c r="BL8" s="4318" t="s">
        <v>53</v>
      </c>
      <c r="BM8" s="4316"/>
      <c r="BN8" s="4317"/>
      <c r="BO8" s="4316"/>
      <c r="BP8" s="4317"/>
      <c r="BQ8" s="2573"/>
    </row>
    <row r="9" spans="1:69" s="19" customFormat="1" ht="43.5" customHeight="1" x14ac:dyDescent="0.2">
      <c r="A9" s="2568"/>
      <c r="B9" s="2568"/>
      <c r="C9" s="2568"/>
      <c r="D9" s="2568"/>
      <c r="E9" s="2568"/>
      <c r="F9" s="2568"/>
      <c r="G9" s="2568"/>
      <c r="H9" s="2568"/>
      <c r="I9" s="2568"/>
      <c r="J9" s="2568"/>
      <c r="K9" s="2568"/>
      <c r="L9" s="15" t="s">
        <v>54</v>
      </c>
      <c r="M9" s="16" t="s">
        <v>55</v>
      </c>
      <c r="N9" s="2568"/>
      <c r="O9" s="4337"/>
      <c r="P9" s="2568"/>
      <c r="Q9" s="2568"/>
      <c r="R9" s="2568"/>
      <c r="S9" s="2568"/>
      <c r="T9" s="2568"/>
      <c r="U9" s="2568"/>
      <c r="V9" s="15" t="s">
        <v>56</v>
      </c>
      <c r="W9" s="16" t="s">
        <v>57</v>
      </c>
      <c r="X9" s="16" t="s">
        <v>58</v>
      </c>
      <c r="Y9" s="4337"/>
      <c r="Z9" s="2568"/>
      <c r="AA9" s="15" t="s">
        <v>54</v>
      </c>
      <c r="AB9" s="16" t="s">
        <v>55</v>
      </c>
      <c r="AC9" s="15" t="s">
        <v>54</v>
      </c>
      <c r="AD9" s="16" t="s">
        <v>55</v>
      </c>
      <c r="AE9" s="15" t="s">
        <v>54</v>
      </c>
      <c r="AF9" s="16" t="s">
        <v>55</v>
      </c>
      <c r="AG9" s="15" t="s">
        <v>54</v>
      </c>
      <c r="AH9" s="16" t="s">
        <v>55</v>
      </c>
      <c r="AI9" s="15" t="s">
        <v>54</v>
      </c>
      <c r="AJ9" s="16" t="s">
        <v>55</v>
      </c>
      <c r="AK9" s="15" t="s">
        <v>54</v>
      </c>
      <c r="AL9" s="16" t="s">
        <v>55</v>
      </c>
      <c r="AM9" s="15" t="s">
        <v>54</v>
      </c>
      <c r="AN9" s="16" t="s">
        <v>55</v>
      </c>
      <c r="AO9" s="15" t="s">
        <v>54</v>
      </c>
      <c r="AP9" s="16" t="s">
        <v>55</v>
      </c>
      <c r="AQ9" s="15" t="s">
        <v>54</v>
      </c>
      <c r="AR9" s="16" t="s">
        <v>55</v>
      </c>
      <c r="AS9" s="15" t="s">
        <v>54</v>
      </c>
      <c r="AT9" s="16" t="s">
        <v>55</v>
      </c>
      <c r="AU9" s="15" t="s">
        <v>54</v>
      </c>
      <c r="AV9" s="16" t="s">
        <v>55</v>
      </c>
      <c r="AW9" s="15" t="s">
        <v>54</v>
      </c>
      <c r="AX9" s="16" t="s">
        <v>55</v>
      </c>
      <c r="AY9" s="15" t="s">
        <v>54</v>
      </c>
      <c r="AZ9" s="16" t="s">
        <v>55</v>
      </c>
      <c r="BA9" s="15" t="s">
        <v>54</v>
      </c>
      <c r="BB9" s="16" t="s">
        <v>55</v>
      </c>
      <c r="BC9" s="15" t="s">
        <v>54</v>
      </c>
      <c r="BD9" s="16" t="s">
        <v>55</v>
      </c>
      <c r="BE9" s="15" t="s">
        <v>54</v>
      </c>
      <c r="BF9" s="16" t="s">
        <v>55</v>
      </c>
      <c r="BG9" s="2392"/>
      <c r="BH9" s="2391"/>
      <c r="BI9" s="2392"/>
      <c r="BJ9" s="2393"/>
      <c r="BK9" s="2392"/>
      <c r="BL9" s="4319"/>
      <c r="BM9" s="17" t="s">
        <v>54</v>
      </c>
      <c r="BN9" s="18" t="s">
        <v>55</v>
      </c>
      <c r="BO9" s="17" t="s">
        <v>54</v>
      </c>
      <c r="BP9" s="18" t="s">
        <v>55</v>
      </c>
      <c r="BQ9" s="2573"/>
    </row>
    <row r="10" spans="1:69" ht="11.45" hidden="1" customHeight="1" x14ac:dyDescent="0.2">
      <c r="A10" s="2568"/>
      <c r="B10" s="2568"/>
      <c r="C10" s="2568"/>
      <c r="D10" s="2568"/>
      <c r="E10" s="2568"/>
      <c r="F10" s="2568"/>
      <c r="G10" s="2568"/>
      <c r="H10" s="2568"/>
      <c r="I10" s="2568"/>
      <c r="J10" s="2568"/>
      <c r="K10" s="2568"/>
      <c r="L10" s="20"/>
      <c r="M10" s="21"/>
      <c r="N10" s="2568"/>
      <c r="O10" s="93"/>
      <c r="P10" s="2568"/>
      <c r="Q10" s="2568"/>
      <c r="R10" s="2568"/>
      <c r="S10" s="2568"/>
      <c r="T10" s="2568"/>
      <c r="U10" s="2568"/>
      <c r="V10" s="388"/>
      <c r="W10" s="389"/>
      <c r="X10" s="23"/>
      <c r="Y10" s="93"/>
      <c r="Z10" s="2568"/>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24"/>
      <c r="BH10" s="24"/>
      <c r="BI10" s="24"/>
      <c r="BJ10" s="24"/>
      <c r="BK10" s="24"/>
      <c r="BL10" s="24"/>
      <c r="BM10" s="25"/>
      <c r="BN10" s="24"/>
      <c r="BO10" s="25"/>
      <c r="BP10" s="24"/>
      <c r="BQ10" s="2573"/>
    </row>
    <row r="11" spans="1:69" ht="28.15" hidden="1" customHeight="1" x14ac:dyDescent="0.2">
      <c r="A11" s="2568"/>
      <c r="B11" s="2568"/>
      <c r="C11" s="2568"/>
      <c r="D11" s="2568"/>
      <c r="E11" s="2568"/>
      <c r="F11" s="2568"/>
      <c r="G11" s="2568"/>
      <c r="H11" s="2568"/>
      <c r="I11" s="2568"/>
      <c r="J11" s="2568"/>
      <c r="K11" s="2568"/>
      <c r="L11" s="20"/>
      <c r="M11" s="21"/>
      <c r="N11" s="2568"/>
      <c r="O11" s="93"/>
      <c r="P11" s="2568"/>
      <c r="Q11" s="2568"/>
      <c r="R11" s="2568"/>
      <c r="S11" s="2568"/>
      <c r="T11" s="2568"/>
      <c r="U11" s="2568"/>
      <c r="V11" s="388"/>
      <c r="W11" s="389"/>
      <c r="X11" s="23"/>
      <c r="Y11" s="93"/>
      <c r="Z11" s="2568"/>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24"/>
      <c r="BH11" s="24"/>
      <c r="BI11" s="24"/>
      <c r="BJ11" s="24"/>
      <c r="BK11" s="24"/>
      <c r="BL11" s="24"/>
      <c r="BM11" s="25"/>
      <c r="BN11" s="24"/>
      <c r="BO11" s="25"/>
      <c r="BP11" s="24"/>
      <c r="BQ11" s="2573"/>
    </row>
    <row r="12" spans="1:69" ht="5.25" hidden="1" customHeight="1" x14ac:dyDescent="0.2">
      <c r="A12" s="2568"/>
      <c r="B12" s="2568"/>
      <c r="C12" s="2568"/>
      <c r="D12" s="2568"/>
      <c r="E12" s="2568"/>
      <c r="F12" s="2568"/>
      <c r="G12" s="2568"/>
      <c r="H12" s="2568"/>
      <c r="I12" s="2568"/>
      <c r="J12" s="2568"/>
      <c r="K12" s="2568"/>
      <c r="L12" s="20"/>
      <c r="M12" s="21"/>
      <c r="N12" s="2568"/>
      <c r="O12" s="93"/>
      <c r="P12" s="2568"/>
      <c r="Q12" s="2568"/>
      <c r="R12" s="2568"/>
      <c r="S12" s="2568"/>
      <c r="T12" s="2568"/>
      <c r="U12" s="2568"/>
      <c r="V12" s="388"/>
      <c r="W12" s="389"/>
      <c r="X12" s="23"/>
      <c r="Y12" s="93"/>
      <c r="Z12" s="2568"/>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24"/>
      <c r="BH12" s="24"/>
      <c r="BI12" s="24"/>
      <c r="BJ12" s="24"/>
      <c r="BK12" s="24"/>
      <c r="BL12" s="24"/>
      <c r="BM12" s="25"/>
      <c r="BN12" s="24"/>
      <c r="BO12" s="25"/>
      <c r="BP12" s="24"/>
      <c r="BQ12" s="2573"/>
    </row>
    <row r="13" spans="1:69" ht="6.6" hidden="1" customHeight="1" x14ac:dyDescent="0.2">
      <c r="A13" s="2568"/>
      <c r="B13" s="2568"/>
      <c r="C13" s="2568"/>
      <c r="D13" s="2568"/>
      <c r="E13" s="2568"/>
      <c r="F13" s="2568"/>
      <c r="G13" s="2568"/>
      <c r="H13" s="2568"/>
      <c r="I13" s="2568"/>
      <c r="J13" s="2568"/>
      <c r="K13" s="2568"/>
      <c r="L13" s="20"/>
      <c r="M13" s="21"/>
      <c r="N13" s="2568"/>
      <c r="O13" s="93"/>
      <c r="P13" s="2568"/>
      <c r="Q13" s="2568"/>
      <c r="R13" s="2568"/>
      <c r="S13" s="2568"/>
      <c r="T13" s="2568"/>
      <c r="U13" s="2568"/>
      <c r="V13" s="388"/>
      <c r="W13" s="389"/>
      <c r="X13" s="23"/>
      <c r="Y13" s="93"/>
      <c r="Z13" s="2568"/>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24"/>
      <c r="BH13" s="24"/>
      <c r="BI13" s="24"/>
      <c r="BJ13" s="24"/>
      <c r="BK13" s="24"/>
      <c r="BL13" s="24"/>
      <c r="BM13" s="25"/>
      <c r="BN13" s="24"/>
      <c r="BO13" s="25"/>
      <c r="BP13" s="24"/>
      <c r="BQ13" s="2573"/>
    </row>
    <row r="14" spans="1:69" ht="15" hidden="1" customHeight="1" x14ac:dyDescent="0.2">
      <c r="A14" s="2568"/>
      <c r="B14" s="2568"/>
      <c r="C14" s="2568"/>
      <c r="D14" s="2568"/>
      <c r="E14" s="2568"/>
      <c r="F14" s="2568"/>
      <c r="G14" s="2568"/>
      <c r="H14" s="2568"/>
      <c r="I14" s="2568"/>
      <c r="J14" s="2568"/>
      <c r="K14" s="2568"/>
      <c r="L14" s="20"/>
      <c r="M14" s="21"/>
      <c r="N14" s="2568"/>
      <c r="O14" s="93"/>
      <c r="P14" s="2568"/>
      <c r="Q14" s="2568"/>
      <c r="R14" s="2568"/>
      <c r="S14" s="2568"/>
      <c r="T14" s="2568"/>
      <c r="U14" s="2568"/>
      <c r="V14" s="388"/>
      <c r="W14" s="389"/>
      <c r="X14" s="23"/>
      <c r="Y14" s="93"/>
      <c r="Z14" s="2568"/>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24"/>
      <c r="BH14" s="24"/>
      <c r="BI14" s="24"/>
      <c r="BJ14" s="24"/>
      <c r="BK14" s="24"/>
      <c r="BL14" s="24"/>
      <c r="BM14" s="25"/>
      <c r="BN14" s="24"/>
      <c r="BO14" s="25"/>
      <c r="BP14" s="24"/>
      <c r="BQ14" s="2573"/>
    </row>
    <row r="15" spans="1:69" ht="0.75" customHeight="1" x14ac:dyDescent="0.2">
      <c r="A15" s="2568"/>
      <c r="B15" s="2568"/>
      <c r="C15" s="2568"/>
      <c r="D15" s="2568"/>
      <c r="E15" s="2568"/>
      <c r="F15" s="2568"/>
      <c r="G15" s="2568"/>
      <c r="H15" s="2568"/>
      <c r="I15" s="2568"/>
      <c r="J15" s="2568"/>
      <c r="K15" s="2568"/>
      <c r="L15" s="26"/>
      <c r="M15" s="27"/>
      <c r="N15" s="2568"/>
      <c r="O15" s="93"/>
      <c r="P15" s="2568"/>
      <c r="Q15" s="2568"/>
      <c r="R15" s="2568"/>
      <c r="S15" s="2568"/>
      <c r="T15" s="2568"/>
      <c r="U15" s="2568"/>
      <c r="V15" s="388"/>
      <c r="W15" s="389"/>
      <c r="X15" s="23"/>
      <c r="Y15" s="93"/>
      <c r="Z15" s="2568"/>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24"/>
      <c r="BH15" s="24"/>
      <c r="BI15" s="24"/>
      <c r="BJ15" s="24"/>
      <c r="BK15" s="24"/>
      <c r="BL15" s="24"/>
      <c r="BM15" s="25"/>
      <c r="BN15" s="24"/>
      <c r="BO15" s="25"/>
      <c r="BP15" s="24"/>
      <c r="BQ15" s="2573"/>
    </row>
    <row r="16" spans="1:69" ht="20.25" customHeight="1" x14ac:dyDescent="0.2">
      <c r="A16" s="28"/>
      <c r="B16" s="29"/>
      <c r="C16" s="104"/>
      <c r="D16" s="104"/>
      <c r="E16" s="104"/>
      <c r="F16" s="31"/>
      <c r="G16" s="31"/>
      <c r="H16" s="31"/>
      <c r="I16" s="31"/>
      <c r="J16" s="31"/>
      <c r="K16" s="31"/>
      <c r="L16" s="31"/>
      <c r="M16" s="31"/>
      <c r="N16" s="31"/>
      <c r="O16" s="31"/>
      <c r="P16" s="31"/>
      <c r="Q16" s="31"/>
      <c r="R16" s="31"/>
      <c r="S16" s="31"/>
      <c r="T16" s="31"/>
      <c r="U16" s="31"/>
      <c r="V16" s="31"/>
      <c r="W16" s="390"/>
      <c r="X16" s="390"/>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5"/>
    </row>
    <row r="17" spans="1:69" ht="23.25" customHeight="1" x14ac:dyDescent="0.2">
      <c r="A17" s="2580"/>
      <c r="B17" s="2599"/>
      <c r="C17" s="2599"/>
      <c r="D17" s="36"/>
      <c r="E17" s="114"/>
      <c r="F17" s="38"/>
      <c r="G17" s="39"/>
      <c r="H17" s="39"/>
      <c r="I17" s="39"/>
      <c r="J17" s="39"/>
      <c r="K17" s="39"/>
      <c r="L17" s="39"/>
      <c r="M17" s="39"/>
      <c r="N17" s="39"/>
      <c r="O17" s="39"/>
      <c r="P17" s="39"/>
      <c r="Q17" s="39"/>
      <c r="R17" s="39"/>
      <c r="S17" s="39"/>
      <c r="T17" s="39"/>
      <c r="U17" s="39"/>
      <c r="V17" s="39"/>
      <c r="W17" s="391"/>
      <c r="X17" s="391"/>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43"/>
    </row>
    <row r="18" spans="1:69" ht="25.5" customHeight="1" x14ac:dyDescent="0.2">
      <c r="A18" s="2581"/>
      <c r="B18" s="2599"/>
      <c r="C18" s="2599"/>
      <c r="D18" s="2599"/>
      <c r="E18" s="2599"/>
      <c r="F18" s="44"/>
      <c r="G18" s="45"/>
      <c r="H18" s="46"/>
      <c r="I18" s="47"/>
      <c r="J18" s="47"/>
      <c r="K18" s="47"/>
      <c r="L18" s="47"/>
      <c r="M18" s="47"/>
      <c r="N18" s="47"/>
      <c r="O18" s="47"/>
      <c r="P18" s="47"/>
      <c r="Q18" s="47"/>
      <c r="R18" s="47"/>
      <c r="S18" s="47"/>
      <c r="T18" s="47"/>
      <c r="U18" s="47"/>
      <c r="V18" s="47"/>
      <c r="W18" s="392"/>
      <c r="X18" s="392"/>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6"/>
    </row>
    <row r="19" spans="1:69" s="51" customFormat="1" ht="109.5" customHeight="1" x14ac:dyDescent="0.2">
      <c r="A19" s="2581"/>
      <c r="B19" s="2599"/>
      <c r="C19" s="2599"/>
      <c r="D19" s="2599"/>
      <c r="E19" s="2599"/>
      <c r="F19" s="2580"/>
      <c r="G19" s="2599"/>
      <c r="H19" s="2599"/>
      <c r="I19" s="393">
        <v>223</v>
      </c>
      <c r="J19" s="160" t="s">
        <v>409</v>
      </c>
      <c r="K19" s="393" t="s">
        <v>410</v>
      </c>
      <c r="L19" s="142">
        <v>1</v>
      </c>
      <c r="M19" s="142"/>
      <c r="N19" s="2447">
        <v>2301010423</v>
      </c>
      <c r="O19" s="2599" t="s">
        <v>411</v>
      </c>
      <c r="P19" s="2448" t="s">
        <v>412</v>
      </c>
      <c r="Q19" s="394">
        <v>0.81</v>
      </c>
      <c r="R19" s="4566">
        <v>107000000</v>
      </c>
      <c r="S19" s="3468" t="s">
        <v>413</v>
      </c>
      <c r="T19" s="3468" t="s">
        <v>414</v>
      </c>
      <c r="U19" s="396" t="s">
        <v>415</v>
      </c>
      <c r="V19" s="247">
        <v>87000000</v>
      </c>
      <c r="W19" s="61">
        <v>13872000</v>
      </c>
      <c r="X19" s="61">
        <v>4692000</v>
      </c>
      <c r="Y19" s="4349">
        <v>20</v>
      </c>
      <c r="Z19" s="2406" t="s">
        <v>416</v>
      </c>
      <c r="AA19" s="4568">
        <v>57163</v>
      </c>
      <c r="AB19" s="2406">
        <f>AA19*$M$19</f>
        <v>0</v>
      </c>
      <c r="AC19" s="4568">
        <v>57815</v>
      </c>
      <c r="AD19" s="2406">
        <f>AC19*$M$19</f>
        <v>0</v>
      </c>
      <c r="AE19" s="4568">
        <v>27805</v>
      </c>
      <c r="AF19" s="2433">
        <f>AE19*$M$19</f>
        <v>0</v>
      </c>
      <c r="AG19" s="4568">
        <v>8790</v>
      </c>
      <c r="AH19" s="2433">
        <f>AG19*$M$19</f>
        <v>0</v>
      </c>
      <c r="AI19" s="4568">
        <v>60583</v>
      </c>
      <c r="AJ19" s="2433">
        <f>AI19*$M$19</f>
        <v>0</v>
      </c>
      <c r="AK19" s="4568">
        <v>17800</v>
      </c>
      <c r="AL19" s="2433">
        <f>AK19*$M$19</f>
        <v>0</v>
      </c>
      <c r="AM19" s="4568">
        <v>283</v>
      </c>
      <c r="AN19" s="2433">
        <f>AM19*$M$19</f>
        <v>0</v>
      </c>
      <c r="AO19" s="4568">
        <v>1495</v>
      </c>
      <c r="AP19" s="2433">
        <f>AO19*$M$19</f>
        <v>0</v>
      </c>
      <c r="AQ19" s="4568">
        <v>7</v>
      </c>
      <c r="AR19" s="2433">
        <f>AQ19*$M$19</f>
        <v>0</v>
      </c>
      <c r="AS19" s="4568">
        <v>1</v>
      </c>
      <c r="AT19" s="2406">
        <v>0</v>
      </c>
      <c r="AU19" s="2406" t="s">
        <v>417</v>
      </c>
      <c r="AV19" s="2406">
        <v>0</v>
      </c>
      <c r="AW19" s="2406" t="s">
        <v>417</v>
      </c>
      <c r="AX19" s="2406">
        <v>0</v>
      </c>
      <c r="AY19" s="4568">
        <v>10501</v>
      </c>
      <c r="AZ19" s="2433">
        <f>AY19*$M$19</f>
        <v>0</v>
      </c>
      <c r="BA19" s="4568">
        <v>6251</v>
      </c>
      <c r="BB19" s="2433">
        <f>BA19*$M$19</f>
        <v>0</v>
      </c>
      <c r="BC19" s="4568">
        <v>237</v>
      </c>
      <c r="BD19" s="2433">
        <f>BC19*$M$19</f>
        <v>0</v>
      </c>
      <c r="BE19" s="4568">
        <f>AA19+AC19</f>
        <v>114978</v>
      </c>
      <c r="BF19" s="2433">
        <f>BE19*$M$19</f>
        <v>0</v>
      </c>
      <c r="BG19" s="2406">
        <v>2</v>
      </c>
      <c r="BH19" s="4574">
        <f>W21</f>
        <v>13872000</v>
      </c>
      <c r="BI19" s="4574">
        <f>X21</f>
        <v>4692000</v>
      </c>
      <c r="BJ19" s="4572">
        <f>+BI19/BH19</f>
        <v>0.33823529411764708</v>
      </c>
      <c r="BK19" s="2406" t="s">
        <v>418</v>
      </c>
      <c r="BL19" s="2406" t="s">
        <v>419</v>
      </c>
      <c r="BM19" s="2595">
        <v>43831</v>
      </c>
      <c r="BN19" s="2595">
        <v>43868</v>
      </c>
      <c r="BO19" s="2595">
        <v>44196</v>
      </c>
      <c r="BP19" s="2595" t="s">
        <v>420</v>
      </c>
      <c r="BQ19" s="2406" t="s">
        <v>421</v>
      </c>
    </row>
    <row r="20" spans="1:69" s="51" customFormat="1" ht="109.5" customHeight="1" thickBot="1" x14ac:dyDescent="0.25">
      <c r="A20" s="2581"/>
      <c r="B20" s="2580"/>
      <c r="C20" s="2580"/>
      <c r="D20" s="2580"/>
      <c r="E20" s="2580"/>
      <c r="F20" s="4562"/>
      <c r="G20" s="2599"/>
      <c r="H20" s="2599"/>
      <c r="I20" s="393">
        <v>224</v>
      </c>
      <c r="J20" s="160" t="s">
        <v>422</v>
      </c>
      <c r="K20" s="393" t="s">
        <v>423</v>
      </c>
      <c r="L20" s="142">
        <v>1</v>
      </c>
      <c r="M20" s="142"/>
      <c r="N20" s="2447"/>
      <c r="O20" s="2599"/>
      <c r="P20" s="2448"/>
      <c r="Q20" s="397">
        <v>0.19</v>
      </c>
      <c r="R20" s="4566"/>
      <c r="S20" s="3468"/>
      <c r="T20" s="3468"/>
      <c r="U20" s="396" t="s">
        <v>424</v>
      </c>
      <c r="V20" s="92">
        <v>20000000</v>
      </c>
      <c r="W20" s="91">
        <v>0</v>
      </c>
      <c r="X20" s="91">
        <v>0</v>
      </c>
      <c r="Y20" s="4368"/>
      <c r="Z20" s="4369"/>
      <c r="AA20" s="4569"/>
      <c r="AB20" s="4369"/>
      <c r="AC20" s="4569"/>
      <c r="AD20" s="4369"/>
      <c r="AE20" s="4569"/>
      <c r="AF20" s="4567"/>
      <c r="AG20" s="4569"/>
      <c r="AH20" s="4567"/>
      <c r="AI20" s="4569"/>
      <c r="AJ20" s="4567"/>
      <c r="AK20" s="4569"/>
      <c r="AL20" s="4567"/>
      <c r="AM20" s="4569"/>
      <c r="AN20" s="4567"/>
      <c r="AO20" s="4569"/>
      <c r="AP20" s="4567"/>
      <c r="AQ20" s="4569"/>
      <c r="AR20" s="4567"/>
      <c r="AS20" s="4569"/>
      <c r="AT20" s="4369"/>
      <c r="AU20" s="4369"/>
      <c r="AV20" s="4369"/>
      <c r="AW20" s="4369"/>
      <c r="AX20" s="4369"/>
      <c r="AY20" s="4569"/>
      <c r="AZ20" s="4567"/>
      <c r="BA20" s="4569"/>
      <c r="BB20" s="4567"/>
      <c r="BC20" s="4569"/>
      <c r="BD20" s="4567"/>
      <c r="BE20" s="4569"/>
      <c r="BF20" s="4567"/>
      <c r="BG20" s="4369"/>
      <c r="BH20" s="4369"/>
      <c r="BI20" s="4369"/>
      <c r="BJ20" s="4573"/>
      <c r="BK20" s="4369"/>
      <c r="BL20" s="4369"/>
      <c r="BM20" s="4570"/>
      <c r="BN20" s="4570"/>
      <c r="BO20" s="4570"/>
      <c r="BP20" s="4570"/>
      <c r="BQ20" s="4369"/>
    </row>
    <row r="21" spans="1:69" s="410" customFormat="1" ht="22.5" customHeight="1" thickBot="1" x14ac:dyDescent="0.3">
      <c r="A21" s="398"/>
      <c r="B21" s="399"/>
      <c r="C21" s="399"/>
      <c r="D21" s="399"/>
      <c r="E21" s="400"/>
      <c r="F21" s="3369" t="s">
        <v>93</v>
      </c>
      <c r="G21" s="3370"/>
      <c r="H21" s="3370"/>
      <c r="I21" s="3370"/>
      <c r="J21" s="3370"/>
      <c r="K21" s="3370"/>
      <c r="L21" s="4571"/>
      <c r="M21" s="4571"/>
      <c r="N21" s="3370"/>
      <c r="O21" s="3370"/>
      <c r="P21" s="3370"/>
      <c r="Q21" s="3371"/>
      <c r="R21" s="401"/>
      <c r="S21" s="402"/>
      <c r="T21" s="403"/>
      <c r="U21" s="404"/>
      <c r="V21" s="401">
        <f>SUM(V19:V20)</f>
        <v>107000000</v>
      </c>
      <c r="W21" s="401">
        <f t="shared" ref="W21:X21" si="0">SUM(W19:W20)</f>
        <v>13872000</v>
      </c>
      <c r="X21" s="401">
        <f t="shared" si="0"/>
        <v>4692000</v>
      </c>
      <c r="Y21" s="405"/>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6"/>
      <c r="AY21" s="406"/>
      <c r="AZ21" s="406"/>
      <c r="BA21" s="406"/>
      <c r="BB21" s="406"/>
      <c r="BC21" s="406"/>
      <c r="BD21" s="406"/>
      <c r="BE21" s="406"/>
      <c r="BF21" s="406"/>
      <c r="BG21" s="399"/>
      <c r="BH21" s="399"/>
      <c r="BI21" s="399"/>
      <c r="BJ21" s="399"/>
      <c r="BK21" s="399"/>
      <c r="BL21" s="398"/>
      <c r="BM21" s="407"/>
      <c r="BN21" s="407"/>
      <c r="BO21" s="408"/>
      <c r="BP21" s="408"/>
      <c r="BQ21" s="409"/>
    </row>
    <row r="22" spans="1:69" ht="14.25" customHeight="1" x14ac:dyDescent="0.2">
      <c r="R22" s="411"/>
      <c r="S22" s="51"/>
      <c r="T22" s="51"/>
      <c r="U22" s="51"/>
      <c r="V22" s="51"/>
      <c r="W22" s="412"/>
      <c r="X22" s="412"/>
      <c r="Y22" s="51"/>
    </row>
    <row r="23" spans="1:69" ht="27" customHeight="1" x14ac:dyDescent="0.25">
      <c r="R23" s="413"/>
      <c r="V23"/>
      <c r="W23" s="414"/>
    </row>
    <row r="24" spans="1:69" ht="54" customHeight="1" x14ac:dyDescent="0.2">
      <c r="V24" s="413"/>
    </row>
    <row r="25" spans="1:69" ht="93" customHeight="1" x14ac:dyDescent="0.2"/>
    <row r="27" spans="1:69" ht="14.25" customHeight="1" x14ac:dyDescent="0.25">
      <c r="L27" s="415"/>
      <c r="M27" s="415"/>
      <c r="N27" s="416"/>
      <c r="O27" s="416"/>
    </row>
    <row r="28" spans="1:69" ht="14.25" customHeight="1" x14ac:dyDescent="0.25">
      <c r="L28" s="212" t="s">
        <v>95</v>
      </c>
      <c r="M28" s="212"/>
      <c r="N28" s="212"/>
    </row>
  </sheetData>
  <sheetProtection algorithmName="SHA-512" hashValue="2zKCf9no4J+7D7z6LBRtKNOxGxhN/ie/0xnPnZl4svQQdQPxfhSEL5SoWTf7pWbGukfdHoT3/qCAfSMF6ULgEg==" saltValue="CzVy/bl4HqOY6IKR9FsllA==" spinCount="100000" sheet="1" objects="1" scenarios="1"/>
  <mergeCells count="115">
    <mergeCell ref="BP19:BP20"/>
    <mergeCell ref="BQ19:BQ20"/>
    <mergeCell ref="F21:Q21"/>
    <mergeCell ref="BJ19:BJ20"/>
    <mergeCell ref="BK19:BK20"/>
    <mergeCell ref="BL19:BL20"/>
    <mergeCell ref="BM19:BM20"/>
    <mergeCell ref="BN19:BN20"/>
    <mergeCell ref="BO19:BO20"/>
    <mergeCell ref="BD19:BD20"/>
    <mergeCell ref="BE19:BE20"/>
    <mergeCell ref="BF19:BF20"/>
    <mergeCell ref="BG19:BG20"/>
    <mergeCell ref="BH19:BH20"/>
    <mergeCell ref="BI19:BI20"/>
    <mergeCell ref="AX19:AX20"/>
    <mergeCell ref="AY19:AY20"/>
    <mergeCell ref="AZ19:AZ20"/>
    <mergeCell ref="BA19:BA20"/>
    <mergeCell ref="BB19:BB20"/>
    <mergeCell ref="BC19:BC20"/>
    <mergeCell ref="AR19:AR20"/>
    <mergeCell ref="AS19:AS20"/>
    <mergeCell ref="AT19:AT20"/>
    <mergeCell ref="AE19:AE20"/>
    <mergeCell ref="AU19:AU20"/>
    <mergeCell ref="AV19:AV20"/>
    <mergeCell ref="AW19:AW20"/>
    <mergeCell ref="AL19:AL20"/>
    <mergeCell ref="AM19:AM20"/>
    <mergeCell ref="AN19:AN20"/>
    <mergeCell ref="AO19:AO20"/>
    <mergeCell ref="AP19:AP20"/>
    <mergeCell ref="AQ19:AQ20"/>
    <mergeCell ref="O19:O20"/>
    <mergeCell ref="P19:P20"/>
    <mergeCell ref="R19:R20"/>
    <mergeCell ref="S19:S20"/>
    <mergeCell ref="T19:T20"/>
    <mergeCell ref="Y19:Y20"/>
    <mergeCell ref="BJ8:BJ9"/>
    <mergeCell ref="BK8:BK9"/>
    <mergeCell ref="BL8:BL9"/>
    <mergeCell ref="BE8:BF8"/>
    <mergeCell ref="BG8:BG9"/>
    <mergeCell ref="BH8:BH9"/>
    <mergeCell ref="BI8:BI9"/>
    <mergeCell ref="AF19:AF20"/>
    <mergeCell ref="AG19:AG20"/>
    <mergeCell ref="AH19:AH20"/>
    <mergeCell ref="AI19:AI20"/>
    <mergeCell ref="AJ19:AJ20"/>
    <mergeCell ref="AK19:AK20"/>
    <mergeCell ref="Z19:Z20"/>
    <mergeCell ref="AA19:AA20"/>
    <mergeCell ref="AB19:AB20"/>
    <mergeCell ref="AC19:AC20"/>
    <mergeCell ref="AD19:AD20"/>
    <mergeCell ref="A17:A20"/>
    <mergeCell ref="B17:C20"/>
    <mergeCell ref="D18:D20"/>
    <mergeCell ref="E18:E20"/>
    <mergeCell ref="F19:F20"/>
    <mergeCell ref="G19:H20"/>
    <mergeCell ref="N19:N20"/>
    <mergeCell ref="BA8:BB8"/>
    <mergeCell ref="BC8:BD8"/>
    <mergeCell ref="U7:U15"/>
    <mergeCell ref="V7:X8"/>
    <mergeCell ref="Y7:Y9"/>
    <mergeCell ref="Z7:Z15"/>
    <mergeCell ref="O7:O9"/>
    <mergeCell ref="P7:P15"/>
    <mergeCell ref="Q7:Q15"/>
    <mergeCell ref="R7:R15"/>
    <mergeCell ref="S7:S15"/>
    <mergeCell ref="T7:T15"/>
    <mergeCell ref="G7:H15"/>
    <mergeCell ref="I7:I15"/>
    <mergeCell ref="J7:J15"/>
    <mergeCell ref="K7:K15"/>
    <mergeCell ref="L7:M8"/>
    <mergeCell ref="BG7:BL7"/>
    <mergeCell ref="BM7:BN8"/>
    <mergeCell ref="BO7:BP8"/>
    <mergeCell ref="AS8:AT8"/>
    <mergeCell ref="AU8:AV8"/>
    <mergeCell ref="AW8:AX8"/>
    <mergeCell ref="AY8:AZ8"/>
    <mergeCell ref="AA7:AD7"/>
    <mergeCell ref="AE7:AL7"/>
    <mergeCell ref="N7:N15"/>
    <mergeCell ref="A1:BM4"/>
    <mergeCell ref="A5:L6"/>
    <mergeCell ref="P5:BQ5"/>
    <mergeCell ref="P6:Z6"/>
    <mergeCell ref="BM6:BQ6"/>
    <mergeCell ref="A7:A15"/>
    <mergeCell ref="B7:C15"/>
    <mergeCell ref="D7:D15"/>
    <mergeCell ref="E7:E15"/>
    <mergeCell ref="F7:F15"/>
    <mergeCell ref="BQ7:BQ15"/>
    <mergeCell ref="AA8:AB8"/>
    <mergeCell ref="AC8:AD8"/>
    <mergeCell ref="AE8:AF8"/>
    <mergeCell ref="AG8:AH8"/>
    <mergeCell ref="AI8:AJ8"/>
    <mergeCell ref="AK8:AL8"/>
    <mergeCell ref="AM8:AN8"/>
    <mergeCell ref="AO8:AP8"/>
    <mergeCell ref="AQ8:AR8"/>
    <mergeCell ref="AM7:AX7"/>
    <mergeCell ref="AY7:BD7"/>
    <mergeCell ref="BE7:BF7"/>
  </mergeCells>
  <pageMargins left="1.1023622047244095" right="0" top="0.74803149606299213" bottom="0.74803149606299213" header="0.31496062992125984" footer="0.31496062992125984"/>
  <pageSetup paperSize="258"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8"/>
  <sheetViews>
    <sheetView showGridLines="0" zoomScale="70" zoomScaleNormal="70" workbookViewId="0">
      <selection activeCell="J13" sqref="J13"/>
    </sheetView>
  </sheetViews>
  <sheetFormatPr baseColWidth="10" defaultColWidth="11.42578125" defaultRowHeight="14.25" x14ac:dyDescent="0.2"/>
  <cols>
    <col min="1" max="1" width="15.85546875" style="2" customWidth="1"/>
    <col min="2" max="2" width="8.42578125" style="2" customWidth="1"/>
    <col min="3" max="3" width="9" style="2" customWidth="1"/>
    <col min="4" max="4" width="11" style="2" customWidth="1"/>
    <col min="5" max="5" width="18.28515625" style="2" customWidth="1"/>
    <col min="6" max="6" width="13.5703125" style="2" customWidth="1"/>
    <col min="7" max="7" width="20" style="2" customWidth="1"/>
    <col min="8" max="8" width="9" style="2" customWidth="1"/>
    <col min="9" max="9" width="18.28515625" style="2" customWidth="1"/>
    <col min="10" max="10" width="27.42578125" style="2" customWidth="1"/>
    <col min="11" max="11" width="22.140625" style="2" customWidth="1"/>
    <col min="12" max="13" width="11.85546875" style="2" hidden="1" customWidth="1"/>
    <col min="14" max="14" width="31.85546875" style="2" customWidth="1"/>
    <col min="15" max="15" width="27.85546875" style="2" customWidth="1"/>
    <col min="16" max="16" width="32.85546875" style="2" customWidth="1"/>
    <col min="17" max="17" width="17" style="2" customWidth="1"/>
    <col min="18" max="18" width="26.5703125" style="2" customWidth="1"/>
    <col min="19" max="19" width="36.140625" style="2" customWidth="1"/>
    <col min="20" max="20" width="51.5703125" style="2" customWidth="1"/>
    <col min="21" max="21" width="27.5703125" style="2" customWidth="1"/>
    <col min="22" max="22" width="23.85546875" style="2" customWidth="1"/>
    <col min="23" max="24" width="23.85546875" style="174" customWidth="1"/>
    <col min="25" max="25" width="10.7109375" style="2" customWidth="1"/>
    <col min="26" max="26" width="18.140625" style="2" customWidth="1"/>
    <col min="27" max="27" width="11.7109375" style="2" customWidth="1"/>
    <col min="28" max="58" width="9.42578125" style="2" customWidth="1"/>
    <col min="59" max="64" width="25.28515625" style="2" customWidth="1"/>
    <col min="65" max="68" width="14.42578125" style="2" customWidth="1"/>
    <col min="69" max="69" width="19.85546875" style="2" customWidth="1"/>
    <col min="70" max="82" width="14.85546875" style="2" customWidth="1"/>
    <col min="83" max="16384" width="11.42578125" style="2"/>
  </cols>
  <sheetData>
    <row r="1" spans="1:256" ht="15" customHeight="1" x14ac:dyDescent="0.25">
      <c r="A1" s="2570" t="s">
        <v>720</v>
      </c>
      <c r="B1" s="2570"/>
      <c r="C1" s="2570"/>
      <c r="D1" s="2570"/>
      <c r="E1" s="2570"/>
      <c r="F1" s="2570"/>
      <c r="G1" s="2570"/>
      <c r="H1" s="2570"/>
      <c r="I1" s="2570"/>
      <c r="J1" s="2570"/>
      <c r="K1" s="2570"/>
      <c r="L1" s="2570"/>
      <c r="M1" s="2570"/>
      <c r="N1" s="2570"/>
      <c r="O1" s="2570"/>
      <c r="P1" s="2570"/>
      <c r="Q1" s="2570"/>
      <c r="R1" s="2570"/>
      <c r="S1" s="2570"/>
      <c r="T1" s="2570"/>
      <c r="U1" s="2570"/>
      <c r="V1" s="2570"/>
      <c r="W1" s="2570"/>
      <c r="X1" s="2570"/>
      <c r="Y1" s="2570"/>
      <c r="Z1" s="2570"/>
      <c r="AA1" s="2570"/>
      <c r="AB1" s="2570"/>
      <c r="AC1" s="2570"/>
      <c r="AD1" s="2570"/>
      <c r="AE1" s="2570"/>
      <c r="AF1" s="2570"/>
      <c r="AG1" s="2570"/>
      <c r="AH1" s="2570"/>
      <c r="AI1" s="2570"/>
      <c r="AJ1" s="2570"/>
      <c r="AK1" s="2570"/>
      <c r="AL1" s="2570"/>
      <c r="AM1" s="2570"/>
      <c r="AN1" s="2570"/>
      <c r="AO1" s="2570"/>
      <c r="AP1" s="2570"/>
      <c r="AQ1" s="2570"/>
      <c r="AR1" s="2570"/>
      <c r="AS1" s="2570"/>
      <c r="AT1" s="2570"/>
      <c r="AU1" s="2570"/>
      <c r="AV1" s="2570"/>
      <c r="AW1" s="2570"/>
      <c r="AX1" s="2570"/>
      <c r="AY1" s="2570"/>
      <c r="AZ1" s="2570"/>
      <c r="BA1" s="2570"/>
      <c r="BB1" s="2570"/>
      <c r="BC1" s="2570"/>
      <c r="BD1" s="2570"/>
      <c r="BE1" s="2570"/>
      <c r="BF1" s="2570"/>
      <c r="BG1" s="2570"/>
      <c r="BH1" s="2570"/>
      <c r="BI1" s="2570"/>
      <c r="BJ1" s="2570"/>
      <c r="BK1" s="2570"/>
      <c r="BL1" s="2570"/>
      <c r="BM1" s="2375"/>
      <c r="BN1" s="497"/>
      <c r="BO1" s="669"/>
      <c r="BP1" s="3" t="s">
        <v>0</v>
      </c>
      <c r="BQ1" s="3" t="s">
        <v>1</v>
      </c>
    </row>
    <row r="2" spans="1:256" ht="15" x14ac:dyDescent="0.25">
      <c r="A2" s="2570"/>
      <c r="B2" s="2570"/>
      <c r="C2" s="2570"/>
      <c r="D2" s="2570"/>
      <c r="E2" s="2570"/>
      <c r="F2" s="2570"/>
      <c r="G2" s="2570"/>
      <c r="H2" s="2570"/>
      <c r="I2" s="2570"/>
      <c r="J2" s="2570"/>
      <c r="K2" s="2570"/>
      <c r="L2" s="2570"/>
      <c r="M2" s="2570"/>
      <c r="N2" s="2570"/>
      <c r="O2" s="2570"/>
      <c r="P2" s="2570"/>
      <c r="Q2" s="2570"/>
      <c r="R2" s="2570"/>
      <c r="S2" s="2570"/>
      <c r="T2" s="2570"/>
      <c r="U2" s="2570"/>
      <c r="V2" s="2570"/>
      <c r="W2" s="2570"/>
      <c r="X2" s="2570"/>
      <c r="Y2" s="2570"/>
      <c r="Z2" s="2570"/>
      <c r="AA2" s="2570"/>
      <c r="AB2" s="2570"/>
      <c r="AC2" s="2570"/>
      <c r="AD2" s="2570"/>
      <c r="AE2" s="2570"/>
      <c r="AF2" s="2570"/>
      <c r="AG2" s="2570"/>
      <c r="AH2" s="2570"/>
      <c r="AI2" s="2570"/>
      <c r="AJ2" s="2570"/>
      <c r="AK2" s="2570"/>
      <c r="AL2" s="2570"/>
      <c r="AM2" s="2570"/>
      <c r="AN2" s="2570"/>
      <c r="AO2" s="2570"/>
      <c r="AP2" s="2570"/>
      <c r="AQ2" s="2570"/>
      <c r="AR2" s="2570"/>
      <c r="AS2" s="2570"/>
      <c r="AT2" s="2570"/>
      <c r="AU2" s="2570"/>
      <c r="AV2" s="2570"/>
      <c r="AW2" s="2570"/>
      <c r="AX2" s="2570"/>
      <c r="AY2" s="2570"/>
      <c r="AZ2" s="2570"/>
      <c r="BA2" s="2570"/>
      <c r="BB2" s="2570"/>
      <c r="BC2" s="2570"/>
      <c r="BD2" s="2570"/>
      <c r="BE2" s="2570"/>
      <c r="BF2" s="2570"/>
      <c r="BG2" s="2570"/>
      <c r="BH2" s="2570"/>
      <c r="BI2" s="2570"/>
      <c r="BJ2" s="2570"/>
      <c r="BK2" s="2570"/>
      <c r="BL2" s="2570"/>
      <c r="BM2" s="2375"/>
      <c r="BN2" s="497"/>
      <c r="BO2" s="669"/>
      <c r="BP2" s="4" t="s">
        <v>2</v>
      </c>
      <c r="BQ2" s="5">
        <v>6</v>
      </c>
    </row>
    <row r="3" spans="1:256" ht="15" x14ac:dyDescent="0.25">
      <c r="A3" s="2570"/>
      <c r="B3" s="2570"/>
      <c r="C3" s="2570"/>
      <c r="D3" s="2570"/>
      <c r="E3" s="2570"/>
      <c r="F3" s="2570"/>
      <c r="G3" s="2570"/>
      <c r="H3" s="2570"/>
      <c r="I3" s="2570"/>
      <c r="J3" s="2570"/>
      <c r="K3" s="2570"/>
      <c r="L3" s="2570"/>
      <c r="M3" s="2570"/>
      <c r="N3" s="2570"/>
      <c r="O3" s="2570"/>
      <c r="P3" s="2570"/>
      <c r="Q3" s="2570"/>
      <c r="R3" s="2570"/>
      <c r="S3" s="2570"/>
      <c r="T3" s="2570"/>
      <c r="U3" s="2570"/>
      <c r="V3" s="2570"/>
      <c r="W3" s="2570"/>
      <c r="X3" s="2570"/>
      <c r="Y3" s="2570"/>
      <c r="Z3" s="2570"/>
      <c r="AA3" s="2570"/>
      <c r="AB3" s="2570"/>
      <c r="AC3" s="2570"/>
      <c r="AD3" s="2570"/>
      <c r="AE3" s="2570"/>
      <c r="AF3" s="2570"/>
      <c r="AG3" s="2570"/>
      <c r="AH3" s="2570"/>
      <c r="AI3" s="2570"/>
      <c r="AJ3" s="2570"/>
      <c r="AK3" s="2570"/>
      <c r="AL3" s="2570"/>
      <c r="AM3" s="2570"/>
      <c r="AN3" s="2570"/>
      <c r="AO3" s="2570"/>
      <c r="AP3" s="2570"/>
      <c r="AQ3" s="2570"/>
      <c r="AR3" s="2570"/>
      <c r="AS3" s="2570"/>
      <c r="AT3" s="2570"/>
      <c r="AU3" s="2570"/>
      <c r="AV3" s="2570"/>
      <c r="AW3" s="2570"/>
      <c r="AX3" s="2570"/>
      <c r="AY3" s="2570"/>
      <c r="AZ3" s="2570"/>
      <c r="BA3" s="2570"/>
      <c r="BB3" s="2570"/>
      <c r="BC3" s="2570"/>
      <c r="BD3" s="2570"/>
      <c r="BE3" s="2570"/>
      <c r="BF3" s="2570"/>
      <c r="BG3" s="2570"/>
      <c r="BH3" s="2570"/>
      <c r="BI3" s="2570"/>
      <c r="BJ3" s="2570"/>
      <c r="BK3" s="2570"/>
      <c r="BL3" s="2570"/>
      <c r="BM3" s="2375"/>
      <c r="BN3" s="497"/>
      <c r="BO3" s="669"/>
      <c r="BP3" s="3" t="s">
        <v>3</v>
      </c>
      <c r="BQ3" s="6" t="s">
        <v>4</v>
      </c>
    </row>
    <row r="4" spans="1:256" s="8" customFormat="1" ht="21" customHeight="1" x14ac:dyDescent="0.2">
      <c r="A4" s="2570"/>
      <c r="B4" s="2570"/>
      <c r="C4" s="2570"/>
      <c r="D4" s="2570"/>
      <c r="E4" s="2570"/>
      <c r="F4" s="2570"/>
      <c r="G4" s="2570"/>
      <c r="H4" s="2570"/>
      <c r="I4" s="2570"/>
      <c r="J4" s="2570"/>
      <c r="K4" s="2570"/>
      <c r="L4" s="2570"/>
      <c r="M4" s="2570"/>
      <c r="N4" s="2570"/>
      <c r="O4" s="2570"/>
      <c r="P4" s="2570"/>
      <c r="Q4" s="2570"/>
      <c r="R4" s="2570"/>
      <c r="S4" s="2570"/>
      <c r="T4" s="2570"/>
      <c r="U4" s="2570"/>
      <c r="V4" s="2570"/>
      <c r="W4" s="2570"/>
      <c r="X4" s="2570"/>
      <c r="Y4" s="2570"/>
      <c r="Z4" s="2570"/>
      <c r="AA4" s="2570"/>
      <c r="AB4" s="2570"/>
      <c r="AC4" s="2570"/>
      <c r="AD4" s="2570"/>
      <c r="AE4" s="2570"/>
      <c r="AF4" s="2570"/>
      <c r="AG4" s="2570"/>
      <c r="AH4" s="2570"/>
      <c r="AI4" s="2570"/>
      <c r="AJ4" s="2570"/>
      <c r="AK4" s="2570"/>
      <c r="AL4" s="2570"/>
      <c r="AM4" s="2570"/>
      <c r="AN4" s="2570"/>
      <c r="AO4" s="2570"/>
      <c r="AP4" s="2570"/>
      <c r="AQ4" s="2570"/>
      <c r="AR4" s="2570"/>
      <c r="AS4" s="2570"/>
      <c r="AT4" s="2570"/>
      <c r="AU4" s="2570"/>
      <c r="AV4" s="2570"/>
      <c r="AW4" s="2570"/>
      <c r="AX4" s="2570"/>
      <c r="AY4" s="2570"/>
      <c r="AZ4" s="2570"/>
      <c r="BA4" s="2570"/>
      <c r="BB4" s="2570"/>
      <c r="BC4" s="2570"/>
      <c r="BD4" s="2570"/>
      <c r="BE4" s="2570"/>
      <c r="BF4" s="2570"/>
      <c r="BG4" s="2570"/>
      <c r="BH4" s="2570"/>
      <c r="BI4" s="2570"/>
      <c r="BJ4" s="2570"/>
      <c r="BK4" s="2570"/>
      <c r="BL4" s="2570"/>
      <c r="BM4" s="2375"/>
      <c r="BN4" s="465"/>
      <c r="BO4" s="670"/>
      <c r="BP4" s="9" t="s">
        <v>5</v>
      </c>
      <c r="BQ4" s="10" t="s">
        <v>6</v>
      </c>
    </row>
    <row r="5" spans="1:256" ht="15" x14ac:dyDescent="0.2">
      <c r="A5" s="2571" t="s">
        <v>7</v>
      </c>
      <c r="B5" s="2571"/>
      <c r="C5" s="2571"/>
      <c r="D5" s="2571"/>
      <c r="E5" s="2571"/>
      <c r="F5" s="2571"/>
      <c r="G5" s="2571"/>
      <c r="H5" s="2571"/>
      <c r="I5" s="2571"/>
      <c r="J5" s="2571"/>
      <c r="K5" s="2571"/>
      <c r="L5" s="2571"/>
      <c r="M5" s="466"/>
      <c r="N5" s="466"/>
      <c r="O5" s="466"/>
      <c r="P5" s="2571" t="s">
        <v>8</v>
      </c>
      <c r="Q5" s="2571"/>
      <c r="R5" s="2571"/>
      <c r="S5" s="2571"/>
      <c r="T5" s="2571"/>
      <c r="U5" s="2571"/>
      <c r="V5" s="2571"/>
      <c r="W5" s="2571"/>
      <c r="X5" s="2571"/>
      <c r="Y5" s="2571"/>
      <c r="Z5" s="2571"/>
      <c r="AA5" s="2571"/>
      <c r="AB5" s="2571"/>
      <c r="AC5" s="2571"/>
      <c r="AD5" s="2571"/>
      <c r="AE5" s="2571"/>
      <c r="AF5" s="2571"/>
      <c r="AG5" s="2571"/>
      <c r="AH5" s="2571"/>
      <c r="AI5" s="2571"/>
      <c r="AJ5" s="2571"/>
      <c r="AK5" s="2571"/>
      <c r="AL5" s="2571"/>
      <c r="AM5" s="2571"/>
      <c r="AN5" s="2571"/>
      <c r="AO5" s="2571"/>
      <c r="AP5" s="2571"/>
      <c r="AQ5" s="2571"/>
      <c r="AR5" s="2571"/>
      <c r="AS5" s="2571"/>
      <c r="AT5" s="2571"/>
      <c r="AU5" s="2571"/>
      <c r="AV5" s="2571"/>
      <c r="AW5" s="2571"/>
      <c r="AX5" s="2571"/>
      <c r="AY5" s="2571"/>
      <c r="AZ5" s="2571"/>
      <c r="BA5" s="2571"/>
      <c r="BB5" s="2571"/>
      <c r="BC5" s="2571"/>
      <c r="BD5" s="2571"/>
      <c r="BE5" s="2571"/>
      <c r="BF5" s="2571"/>
      <c r="BG5" s="2571"/>
      <c r="BH5" s="2571"/>
      <c r="BI5" s="2571"/>
      <c r="BJ5" s="2571"/>
      <c r="BK5" s="2571"/>
      <c r="BL5" s="2571"/>
      <c r="BM5" s="2571"/>
      <c r="BN5" s="2572"/>
      <c r="BO5" s="2572"/>
      <c r="BP5" s="2571"/>
      <c r="BQ5" s="2571"/>
    </row>
    <row r="6" spans="1:256" ht="14.45" customHeight="1" x14ac:dyDescent="0.2">
      <c r="A6" s="2571"/>
      <c r="B6" s="2571"/>
      <c r="C6" s="2571"/>
      <c r="D6" s="2571"/>
      <c r="E6" s="2571"/>
      <c r="F6" s="2571"/>
      <c r="G6" s="2571"/>
      <c r="H6" s="2571"/>
      <c r="I6" s="2571"/>
      <c r="J6" s="2571"/>
      <c r="K6" s="2571"/>
      <c r="L6" s="2571"/>
      <c r="M6" s="466"/>
      <c r="N6" s="466"/>
      <c r="O6" s="466"/>
      <c r="P6" s="2571"/>
      <c r="Q6" s="2571"/>
      <c r="R6" s="2571"/>
      <c r="S6" s="2571"/>
      <c r="T6" s="2571"/>
      <c r="U6" s="2571"/>
      <c r="V6" s="2571"/>
      <c r="W6" s="2571"/>
      <c r="X6" s="2571"/>
      <c r="Y6" s="2571"/>
      <c r="Z6" s="2571"/>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2571"/>
      <c r="BN6" s="2571"/>
      <c r="BO6" s="2571"/>
      <c r="BP6" s="2571"/>
      <c r="BQ6" s="2571"/>
    </row>
    <row r="7" spans="1:256" s="14" customFormat="1" ht="22.5" customHeight="1" x14ac:dyDescent="0.2">
      <c r="A7" s="2568" t="s">
        <v>9</v>
      </c>
      <c r="B7" s="2568" t="s">
        <v>10</v>
      </c>
      <c r="C7" s="2568"/>
      <c r="D7" s="2568" t="s">
        <v>9</v>
      </c>
      <c r="E7" s="2568" t="s">
        <v>11</v>
      </c>
      <c r="F7" s="2568" t="s">
        <v>9</v>
      </c>
      <c r="G7" s="2568" t="s">
        <v>12</v>
      </c>
      <c r="H7" s="2568"/>
      <c r="I7" s="2568" t="s">
        <v>9</v>
      </c>
      <c r="J7" s="2568" t="s">
        <v>13</v>
      </c>
      <c r="K7" s="2568" t="s">
        <v>14</v>
      </c>
      <c r="L7" s="2569" t="s">
        <v>15</v>
      </c>
      <c r="M7" s="2569"/>
      <c r="N7" s="2568" t="s">
        <v>16</v>
      </c>
      <c r="O7" s="2589" t="s">
        <v>17</v>
      </c>
      <c r="P7" s="2568" t="s">
        <v>8</v>
      </c>
      <c r="Q7" s="2568" t="s">
        <v>18</v>
      </c>
      <c r="R7" s="2568" t="s">
        <v>19</v>
      </c>
      <c r="S7" s="2568" t="s">
        <v>20</v>
      </c>
      <c r="T7" s="2568" t="s">
        <v>21</v>
      </c>
      <c r="U7" s="2568" t="s">
        <v>22</v>
      </c>
      <c r="V7" s="2569" t="s">
        <v>19</v>
      </c>
      <c r="W7" s="2569"/>
      <c r="X7" s="2569"/>
      <c r="Y7" s="2589" t="s">
        <v>9</v>
      </c>
      <c r="Z7" s="2568" t="s">
        <v>23</v>
      </c>
      <c r="AA7" s="2594" t="s">
        <v>24</v>
      </c>
      <c r="AB7" s="2594"/>
      <c r="AC7" s="2594"/>
      <c r="AD7" s="2594"/>
      <c r="AE7" s="2577" t="s">
        <v>25</v>
      </c>
      <c r="AF7" s="2577"/>
      <c r="AG7" s="2577"/>
      <c r="AH7" s="2577"/>
      <c r="AI7" s="2577"/>
      <c r="AJ7" s="2577"/>
      <c r="AK7" s="2577"/>
      <c r="AL7" s="2577"/>
      <c r="AM7" s="2576" t="s">
        <v>26</v>
      </c>
      <c r="AN7" s="2576"/>
      <c r="AO7" s="2576"/>
      <c r="AP7" s="2576"/>
      <c r="AQ7" s="2576"/>
      <c r="AR7" s="2576"/>
      <c r="AS7" s="2576"/>
      <c r="AT7" s="2576"/>
      <c r="AU7" s="2576"/>
      <c r="AV7" s="2576"/>
      <c r="AW7" s="2576"/>
      <c r="AX7" s="2576"/>
      <c r="AY7" s="2577" t="s">
        <v>27</v>
      </c>
      <c r="AZ7" s="2577"/>
      <c r="BA7" s="2577"/>
      <c r="BB7" s="2577"/>
      <c r="BC7" s="2577"/>
      <c r="BD7" s="2577"/>
      <c r="BE7" s="2577" t="s">
        <v>28</v>
      </c>
      <c r="BF7" s="2577"/>
      <c r="BG7" s="2578" t="s">
        <v>29</v>
      </c>
      <c r="BH7" s="2578"/>
      <c r="BI7" s="2578"/>
      <c r="BJ7" s="2578"/>
      <c r="BK7" s="2578"/>
      <c r="BL7" s="2578"/>
      <c r="BM7" s="2579" t="s">
        <v>30</v>
      </c>
      <c r="BN7" s="2579"/>
      <c r="BO7" s="2579" t="s">
        <v>31</v>
      </c>
      <c r="BP7" s="2579"/>
      <c r="BQ7" s="2573" t="s">
        <v>32</v>
      </c>
    </row>
    <row r="8" spans="1:256" s="14" customFormat="1" ht="134.25" customHeight="1" x14ac:dyDescent="0.2">
      <c r="A8" s="2568"/>
      <c r="B8" s="2568"/>
      <c r="C8" s="2568"/>
      <c r="D8" s="2568"/>
      <c r="E8" s="2568"/>
      <c r="F8" s="2568"/>
      <c r="G8" s="2568"/>
      <c r="H8" s="2568"/>
      <c r="I8" s="2568"/>
      <c r="J8" s="2568"/>
      <c r="K8" s="2568"/>
      <c r="L8" s="2569"/>
      <c r="M8" s="2569"/>
      <c r="N8" s="2568"/>
      <c r="O8" s="2589"/>
      <c r="P8" s="2568"/>
      <c r="Q8" s="2568"/>
      <c r="R8" s="2568"/>
      <c r="S8" s="2568"/>
      <c r="T8" s="2568"/>
      <c r="U8" s="2568"/>
      <c r="V8" s="2569"/>
      <c r="W8" s="2569"/>
      <c r="X8" s="2569"/>
      <c r="Y8" s="2589"/>
      <c r="Z8" s="2568"/>
      <c r="AA8" s="2574" t="s">
        <v>33</v>
      </c>
      <c r="AB8" s="2574"/>
      <c r="AC8" s="2575" t="s">
        <v>34</v>
      </c>
      <c r="AD8" s="2575"/>
      <c r="AE8" s="2574" t="s">
        <v>35</v>
      </c>
      <c r="AF8" s="2574"/>
      <c r="AG8" s="2574" t="s">
        <v>36</v>
      </c>
      <c r="AH8" s="2574"/>
      <c r="AI8" s="2574" t="s">
        <v>37</v>
      </c>
      <c r="AJ8" s="2574"/>
      <c r="AK8" s="2574" t="s">
        <v>38</v>
      </c>
      <c r="AL8" s="2574"/>
      <c r="AM8" s="2574" t="s">
        <v>39</v>
      </c>
      <c r="AN8" s="2574"/>
      <c r="AO8" s="2574" t="s">
        <v>40</v>
      </c>
      <c r="AP8" s="2574"/>
      <c r="AQ8" s="2574" t="s">
        <v>41</v>
      </c>
      <c r="AR8" s="2574"/>
      <c r="AS8" s="2574" t="s">
        <v>42</v>
      </c>
      <c r="AT8" s="2574"/>
      <c r="AU8" s="2574" t="s">
        <v>43</v>
      </c>
      <c r="AV8" s="2574"/>
      <c r="AW8" s="2574" t="s">
        <v>44</v>
      </c>
      <c r="AX8" s="2574"/>
      <c r="AY8" s="2574" t="s">
        <v>45</v>
      </c>
      <c r="AZ8" s="2574"/>
      <c r="BA8" s="2574" t="s">
        <v>46</v>
      </c>
      <c r="BB8" s="2574"/>
      <c r="BC8" s="2574" t="s">
        <v>47</v>
      </c>
      <c r="BD8" s="2574"/>
      <c r="BE8" s="2574" t="s">
        <v>28</v>
      </c>
      <c r="BF8" s="2574"/>
      <c r="BG8" s="2392" t="s">
        <v>48</v>
      </c>
      <c r="BH8" s="2391" t="s">
        <v>49</v>
      </c>
      <c r="BI8" s="2392" t="s">
        <v>50</v>
      </c>
      <c r="BJ8" s="2393" t="s">
        <v>51</v>
      </c>
      <c r="BK8" s="2392" t="s">
        <v>52</v>
      </c>
      <c r="BL8" s="2392" t="s">
        <v>53</v>
      </c>
      <c r="BM8" s="2579"/>
      <c r="BN8" s="2579"/>
      <c r="BO8" s="2579"/>
      <c r="BP8" s="2579"/>
      <c r="BQ8" s="2573"/>
    </row>
    <row r="9" spans="1:256" s="19" customFormat="1" ht="12.75" x14ac:dyDescent="0.2">
      <c r="A9" s="2568"/>
      <c r="B9" s="2568"/>
      <c r="C9" s="2568"/>
      <c r="D9" s="2568"/>
      <c r="E9" s="2568"/>
      <c r="F9" s="2568"/>
      <c r="G9" s="2568"/>
      <c r="H9" s="2568"/>
      <c r="I9" s="2568"/>
      <c r="J9" s="2568"/>
      <c r="K9" s="2568"/>
      <c r="L9" s="15" t="s">
        <v>54</v>
      </c>
      <c r="M9" s="16" t="s">
        <v>55</v>
      </c>
      <c r="N9" s="2568"/>
      <c r="O9" s="2589"/>
      <c r="P9" s="2568"/>
      <c r="Q9" s="2568"/>
      <c r="R9" s="2568"/>
      <c r="S9" s="2568"/>
      <c r="T9" s="2568"/>
      <c r="U9" s="2568"/>
      <c r="V9" s="15" t="s">
        <v>56</v>
      </c>
      <c r="W9" s="16" t="s">
        <v>57</v>
      </c>
      <c r="X9" s="16" t="s">
        <v>58</v>
      </c>
      <c r="Y9" s="2589"/>
      <c r="Z9" s="2568"/>
      <c r="AA9" s="15" t="s">
        <v>54</v>
      </c>
      <c r="AB9" s="16" t="s">
        <v>55</v>
      </c>
      <c r="AC9" s="15" t="s">
        <v>54</v>
      </c>
      <c r="AD9" s="16" t="s">
        <v>55</v>
      </c>
      <c r="AE9" s="15" t="s">
        <v>54</v>
      </c>
      <c r="AF9" s="16" t="s">
        <v>55</v>
      </c>
      <c r="AG9" s="15" t="s">
        <v>54</v>
      </c>
      <c r="AH9" s="16" t="s">
        <v>55</v>
      </c>
      <c r="AI9" s="15" t="s">
        <v>54</v>
      </c>
      <c r="AJ9" s="16" t="s">
        <v>55</v>
      </c>
      <c r="AK9" s="15" t="s">
        <v>54</v>
      </c>
      <c r="AL9" s="16" t="s">
        <v>55</v>
      </c>
      <c r="AM9" s="15" t="s">
        <v>54</v>
      </c>
      <c r="AN9" s="16" t="s">
        <v>55</v>
      </c>
      <c r="AO9" s="15" t="s">
        <v>54</v>
      </c>
      <c r="AP9" s="16" t="s">
        <v>55</v>
      </c>
      <c r="AQ9" s="15" t="s">
        <v>54</v>
      </c>
      <c r="AR9" s="16" t="s">
        <v>55</v>
      </c>
      <c r="AS9" s="15" t="s">
        <v>54</v>
      </c>
      <c r="AT9" s="16" t="s">
        <v>55</v>
      </c>
      <c r="AU9" s="15" t="s">
        <v>54</v>
      </c>
      <c r="AV9" s="16" t="s">
        <v>55</v>
      </c>
      <c r="AW9" s="15" t="s">
        <v>54</v>
      </c>
      <c r="AX9" s="16" t="s">
        <v>55</v>
      </c>
      <c r="AY9" s="15" t="s">
        <v>54</v>
      </c>
      <c r="AZ9" s="16" t="s">
        <v>55</v>
      </c>
      <c r="BA9" s="15" t="s">
        <v>54</v>
      </c>
      <c r="BB9" s="16" t="s">
        <v>55</v>
      </c>
      <c r="BC9" s="15" t="s">
        <v>54</v>
      </c>
      <c r="BD9" s="16" t="s">
        <v>55</v>
      </c>
      <c r="BE9" s="15" t="s">
        <v>54</v>
      </c>
      <c r="BF9" s="16" t="s">
        <v>55</v>
      </c>
      <c r="BG9" s="2392"/>
      <c r="BH9" s="2391"/>
      <c r="BI9" s="2392"/>
      <c r="BJ9" s="2393"/>
      <c r="BK9" s="2392"/>
      <c r="BL9" s="2392"/>
      <c r="BM9" s="17" t="s">
        <v>54</v>
      </c>
      <c r="BN9" s="18" t="s">
        <v>55</v>
      </c>
      <c r="BO9" s="17" t="s">
        <v>54</v>
      </c>
      <c r="BP9" s="18" t="s">
        <v>55</v>
      </c>
      <c r="BQ9" s="2573"/>
    </row>
    <row r="10" spans="1:256" ht="15" x14ac:dyDescent="0.2">
      <c r="A10" s="671">
        <v>5</v>
      </c>
      <c r="B10" s="672" t="s">
        <v>59</v>
      </c>
      <c r="C10" s="672"/>
      <c r="D10" s="673"/>
      <c r="E10" s="673"/>
      <c r="F10" s="672"/>
      <c r="G10" s="674"/>
      <c r="H10" s="675"/>
      <c r="I10" s="672"/>
      <c r="J10" s="672"/>
      <c r="K10" s="676"/>
      <c r="L10" s="676"/>
      <c r="M10" s="676"/>
      <c r="N10" s="676"/>
      <c r="O10" s="676"/>
      <c r="P10" s="676"/>
      <c r="Q10" s="676"/>
      <c r="R10" s="676"/>
      <c r="S10" s="676"/>
      <c r="T10" s="676"/>
      <c r="U10" s="676"/>
      <c r="V10" s="677"/>
      <c r="W10" s="677"/>
      <c r="X10" s="677"/>
      <c r="Y10" s="678"/>
      <c r="Z10" s="676"/>
      <c r="AA10" s="672"/>
      <c r="AB10" s="672"/>
      <c r="AC10" s="672"/>
      <c r="AD10" s="672"/>
      <c r="AE10" s="672"/>
      <c r="AF10" s="672"/>
      <c r="AG10" s="672"/>
      <c r="AH10" s="672"/>
      <c r="AI10" s="672"/>
      <c r="AJ10" s="672"/>
      <c r="AK10" s="672"/>
      <c r="AL10" s="672"/>
      <c r="AM10" s="672"/>
      <c r="AN10" s="672"/>
      <c r="AO10" s="672"/>
      <c r="AP10" s="672"/>
      <c r="AQ10" s="679"/>
      <c r="AR10" s="679"/>
      <c r="AS10" s="676"/>
      <c r="AT10" s="679"/>
      <c r="AU10" s="679"/>
      <c r="AV10" s="676"/>
      <c r="AW10" s="679"/>
      <c r="AX10" s="679"/>
      <c r="AY10" s="679"/>
      <c r="AZ10" s="679"/>
      <c r="BA10" s="679"/>
      <c r="BB10" s="679"/>
      <c r="BC10" s="679"/>
      <c r="BD10" s="679"/>
      <c r="BE10" s="679"/>
      <c r="BF10" s="679"/>
      <c r="BG10" s="679"/>
      <c r="BH10" s="679"/>
      <c r="BI10" s="679"/>
      <c r="BJ10" s="679"/>
      <c r="BK10" s="679"/>
      <c r="BL10" s="679"/>
      <c r="BM10" s="679"/>
      <c r="BN10" s="679"/>
      <c r="BO10" s="679"/>
      <c r="BP10" s="679"/>
      <c r="BQ10" s="676"/>
    </row>
    <row r="11" spans="1:256" ht="16.5" customHeight="1" x14ac:dyDescent="0.2">
      <c r="A11" s="2580"/>
      <c r="B11" s="2583"/>
      <c r="C11" s="2584"/>
      <c r="D11" s="680">
        <v>28</v>
      </c>
      <c r="E11" s="681" t="s">
        <v>721</v>
      </c>
      <c r="F11" s="681"/>
      <c r="G11" s="521"/>
      <c r="H11" s="682"/>
      <c r="I11" s="681"/>
      <c r="J11" s="681"/>
      <c r="K11" s="683"/>
      <c r="L11" s="683"/>
      <c r="M11" s="683"/>
      <c r="N11" s="683"/>
      <c r="O11" s="683"/>
      <c r="P11" s="683"/>
      <c r="Q11" s="683"/>
      <c r="R11" s="683"/>
      <c r="S11" s="683"/>
      <c r="T11" s="683"/>
      <c r="U11" s="683"/>
      <c r="V11" s="684"/>
      <c r="W11" s="684"/>
      <c r="X11" s="684"/>
      <c r="Y11" s="680"/>
      <c r="Z11" s="683"/>
      <c r="AA11" s="681"/>
      <c r="AB11" s="681"/>
      <c r="AC11" s="681"/>
      <c r="AD11" s="681"/>
      <c r="AE11" s="681"/>
      <c r="AF11" s="681"/>
      <c r="AG11" s="681"/>
      <c r="AH11" s="681"/>
      <c r="AI11" s="681"/>
      <c r="AJ11" s="681"/>
      <c r="AK11" s="681"/>
      <c r="AL11" s="681"/>
      <c r="AM11" s="681"/>
      <c r="AN11" s="681"/>
      <c r="AO11" s="681"/>
      <c r="AP11" s="681"/>
      <c r="AQ11" s="685"/>
      <c r="AR11" s="685"/>
      <c r="AS11" s="683"/>
      <c r="AT11" s="685"/>
      <c r="AU11" s="685"/>
      <c r="AV11" s="685"/>
      <c r="AW11" s="685"/>
      <c r="AX11" s="685"/>
      <c r="AY11" s="685"/>
      <c r="AZ11" s="685"/>
      <c r="BA11" s="685"/>
      <c r="BB11" s="685"/>
      <c r="BC11" s="685"/>
      <c r="BD11" s="685"/>
      <c r="BE11" s="685"/>
      <c r="BF11" s="685"/>
      <c r="BG11" s="685"/>
      <c r="BH11" s="685"/>
      <c r="BI11" s="685"/>
      <c r="BJ11" s="685"/>
      <c r="BK11" s="685"/>
      <c r="BL11" s="685"/>
      <c r="BM11" s="685"/>
      <c r="BN11" s="685"/>
      <c r="BO11" s="685"/>
      <c r="BP11" s="685"/>
      <c r="BQ11" s="683"/>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row>
    <row r="12" spans="1:256" ht="19.5" customHeight="1" x14ac:dyDescent="0.2">
      <c r="A12" s="2581"/>
      <c r="B12" s="2585"/>
      <c r="C12" s="2586"/>
      <c r="D12" s="2580"/>
      <c r="E12" s="2580"/>
      <c r="F12" s="529">
        <v>89</v>
      </c>
      <c r="G12" s="686" t="s">
        <v>61</v>
      </c>
      <c r="H12" s="687"/>
      <c r="I12" s="686"/>
      <c r="J12" s="686"/>
      <c r="K12" s="688"/>
      <c r="L12" s="688"/>
      <c r="M12" s="688"/>
      <c r="N12" s="688"/>
      <c r="O12" s="688"/>
      <c r="P12" s="688"/>
      <c r="Q12" s="688"/>
      <c r="R12" s="688"/>
      <c r="S12" s="688"/>
      <c r="T12" s="688"/>
      <c r="U12" s="688"/>
      <c r="V12" s="689"/>
      <c r="W12" s="689"/>
      <c r="X12" s="689"/>
      <c r="Y12" s="690"/>
      <c r="Z12" s="688"/>
      <c r="AA12" s="686"/>
      <c r="AB12" s="686"/>
      <c r="AC12" s="686"/>
      <c r="AD12" s="686"/>
      <c r="AE12" s="686"/>
      <c r="AF12" s="686"/>
      <c r="AG12" s="686"/>
      <c r="AH12" s="686"/>
      <c r="AI12" s="686"/>
      <c r="AJ12" s="686"/>
      <c r="AK12" s="686"/>
      <c r="AL12" s="686"/>
      <c r="AM12" s="686"/>
      <c r="AN12" s="686"/>
      <c r="AO12" s="686"/>
      <c r="AP12" s="686"/>
      <c r="AQ12" s="691"/>
      <c r="AR12" s="691"/>
      <c r="AS12" s="688"/>
      <c r="AT12" s="691"/>
      <c r="AU12" s="691"/>
      <c r="AV12" s="691"/>
      <c r="AW12" s="691"/>
      <c r="AX12" s="691"/>
      <c r="AY12" s="691"/>
      <c r="AZ12" s="691"/>
      <c r="BA12" s="691"/>
      <c r="BB12" s="691"/>
      <c r="BC12" s="691"/>
      <c r="BD12" s="691"/>
      <c r="BE12" s="691"/>
      <c r="BF12" s="691"/>
      <c r="BG12" s="691"/>
      <c r="BH12" s="691"/>
      <c r="BI12" s="691"/>
      <c r="BJ12" s="691"/>
      <c r="BK12" s="691"/>
      <c r="BL12" s="691"/>
      <c r="BM12" s="691"/>
      <c r="BN12" s="691"/>
      <c r="BO12" s="691"/>
      <c r="BP12" s="691"/>
      <c r="BQ12" s="688"/>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c r="IR12" s="99"/>
      <c r="IS12" s="99"/>
      <c r="IT12" s="99"/>
      <c r="IU12" s="99"/>
      <c r="IV12" s="99"/>
    </row>
    <row r="13" spans="1:256" s="51" customFormat="1" ht="96.75" customHeight="1" x14ac:dyDescent="0.2">
      <c r="A13" s="2581"/>
      <c r="B13" s="2585"/>
      <c r="C13" s="2586"/>
      <c r="D13" s="2581"/>
      <c r="E13" s="2581"/>
      <c r="F13" s="692"/>
      <c r="G13" s="2583"/>
      <c r="H13" s="2584"/>
      <c r="I13" s="473">
        <v>275</v>
      </c>
      <c r="J13" s="474" t="s">
        <v>722</v>
      </c>
      <c r="K13" s="472" t="s">
        <v>723</v>
      </c>
      <c r="L13" s="471">
        <v>4</v>
      </c>
      <c r="M13" s="471"/>
      <c r="N13" s="2436" t="s">
        <v>724</v>
      </c>
      <c r="O13" s="2436" t="s">
        <v>725</v>
      </c>
      <c r="P13" s="2437" t="s">
        <v>726</v>
      </c>
      <c r="Q13" s="493">
        <f>+V13/R13</f>
        <v>0.68738400394933352</v>
      </c>
      <c r="R13" s="2616">
        <v>1600270000</v>
      </c>
      <c r="S13" s="2448" t="s">
        <v>727</v>
      </c>
      <c r="T13" s="474" t="s">
        <v>728</v>
      </c>
      <c r="U13" s="693" t="s">
        <v>729</v>
      </c>
      <c r="V13" s="694">
        <v>1100000000</v>
      </c>
      <c r="W13" s="695">
        <v>483447537</v>
      </c>
      <c r="X13" s="695">
        <v>69050000</v>
      </c>
      <c r="Y13" s="696">
        <v>20</v>
      </c>
      <c r="Z13" s="474" t="s">
        <v>730</v>
      </c>
      <c r="AA13" s="2590">
        <v>295972</v>
      </c>
      <c r="AB13" s="2590">
        <v>295972</v>
      </c>
      <c r="AC13" s="2590">
        <v>285580</v>
      </c>
      <c r="AD13" s="2590">
        <v>285580</v>
      </c>
      <c r="AE13" s="2590">
        <v>135545</v>
      </c>
      <c r="AF13" s="2590">
        <v>0</v>
      </c>
      <c r="AG13" s="2590">
        <v>44254</v>
      </c>
      <c r="AH13" s="2590">
        <v>0</v>
      </c>
      <c r="AI13" s="2590">
        <v>309146</v>
      </c>
      <c r="AJ13" s="2590">
        <v>309146</v>
      </c>
      <c r="AK13" s="2590">
        <v>92607</v>
      </c>
      <c r="AL13" s="2590">
        <v>92607</v>
      </c>
      <c r="AM13" s="2590">
        <v>2145</v>
      </c>
      <c r="AN13" s="2590">
        <v>2145</v>
      </c>
      <c r="AO13" s="2590">
        <v>12718</v>
      </c>
      <c r="AP13" s="2590">
        <v>12718</v>
      </c>
      <c r="AQ13" s="2590">
        <v>26</v>
      </c>
      <c r="AR13" s="2590">
        <v>26</v>
      </c>
      <c r="AS13" s="2590">
        <v>37</v>
      </c>
      <c r="AT13" s="2590">
        <v>37</v>
      </c>
      <c r="AU13" s="2590">
        <v>0</v>
      </c>
      <c r="AV13" s="2590">
        <v>0</v>
      </c>
      <c r="AW13" s="2590">
        <v>0</v>
      </c>
      <c r="AX13" s="2590">
        <v>0</v>
      </c>
      <c r="AY13" s="2590">
        <v>44350</v>
      </c>
      <c r="AZ13" s="2590">
        <v>44350</v>
      </c>
      <c r="BA13" s="2590">
        <v>21944</v>
      </c>
      <c r="BB13" s="2590">
        <v>21944</v>
      </c>
      <c r="BC13" s="2590">
        <v>75687</v>
      </c>
      <c r="BD13" s="2590">
        <v>75687</v>
      </c>
      <c r="BE13" s="2590">
        <v>581552</v>
      </c>
      <c r="BF13" s="2590">
        <v>581552</v>
      </c>
      <c r="BG13" s="2608">
        <v>35</v>
      </c>
      <c r="BH13" s="2601">
        <v>646452535</v>
      </c>
      <c r="BI13" s="2601">
        <v>140950000</v>
      </c>
      <c r="BJ13" s="2602">
        <f>+BI13/BH13</f>
        <v>0.2180361161396018</v>
      </c>
      <c r="BK13" s="2406" t="s">
        <v>731</v>
      </c>
      <c r="BL13" s="2406" t="s">
        <v>732</v>
      </c>
      <c r="BM13" s="2605">
        <v>43832</v>
      </c>
      <c r="BN13" s="2595">
        <v>43857</v>
      </c>
      <c r="BO13" s="2598">
        <v>44196</v>
      </c>
      <c r="BP13" s="2595">
        <v>44038</v>
      </c>
      <c r="BQ13" s="2460" t="s">
        <v>733</v>
      </c>
    </row>
    <row r="14" spans="1:256" s="698" customFormat="1" ht="75" customHeight="1" x14ac:dyDescent="0.25">
      <c r="A14" s="2581"/>
      <c r="B14" s="2585"/>
      <c r="C14" s="2586"/>
      <c r="D14" s="2581"/>
      <c r="E14" s="2581"/>
      <c r="F14" s="697"/>
      <c r="G14" s="2585"/>
      <c r="H14" s="2586"/>
      <c r="I14" s="2447">
        <v>276</v>
      </c>
      <c r="J14" s="2448" t="s">
        <v>734</v>
      </c>
      <c r="K14" s="2437" t="s">
        <v>735</v>
      </c>
      <c r="L14" s="2436">
        <v>1</v>
      </c>
      <c r="M14" s="2599"/>
      <c r="N14" s="2436"/>
      <c r="O14" s="2436"/>
      <c r="P14" s="2437"/>
      <c r="Q14" s="2600">
        <f>+V14/R13</f>
        <v>0.15639235878945429</v>
      </c>
      <c r="R14" s="2616"/>
      <c r="S14" s="2448"/>
      <c r="T14" s="2448" t="s">
        <v>736</v>
      </c>
      <c r="U14" s="2448" t="s">
        <v>737</v>
      </c>
      <c r="V14" s="2591">
        <v>250270000</v>
      </c>
      <c r="W14" s="2592">
        <v>163004998</v>
      </c>
      <c r="X14" s="2592">
        <v>71900000</v>
      </c>
      <c r="Y14" s="2615">
        <v>20</v>
      </c>
      <c r="Z14" s="2448" t="s">
        <v>730</v>
      </c>
      <c r="AA14" s="2590"/>
      <c r="AB14" s="2590"/>
      <c r="AC14" s="2590"/>
      <c r="AD14" s="2590"/>
      <c r="AE14" s="2590"/>
      <c r="AF14" s="2590"/>
      <c r="AG14" s="2590"/>
      <c r="AH14" s="2590"/>
      <c r="AI14" s="2590"/>
      <c r="AJ14" s="2590"/>
      <c r="AK14" s="2590"/>
      <c r="AL14" s="2590"/>
      <c r="AM14" s="2590"/>
      <c r="AN14" s="2590"/>
      <c r="AO14" s="2590"/>
      <c r="AP14" s="2590"/>
      <c r="AQ14" s="2590"/>
      <c r="AR14" s="2590"/>
      <c r="AS14" s="2590"/>
      <c r="AT14" s="2590"/>
      <c r="AU14" s="2590"/>
      <c r="AV14" s="2590"/>
      <c r="AW14" s="2590"/>
      <c r="AX14" s="2590"/>
      <c r="AY14" s="2590"/>
      <c r="AZ14" s="2590"/>
      <c r="BA14" s="2590"/>
      <c r="BB14" s="2590"/>
      <c r="BC14" s="2590"/>
      <c r="BD14" s="2590"/>
      <c r="BE14" s="2590"/>
      <c r="BF14" s="2590"/>
      <c r="BG14" s="2609"/>
      <c r="BH14" s="2407"/>
      <c r="BI14" s="2407"/>
      <c r="BJ14" s="2603"/>
      <c r="BK14" s="2407"/>
      <c r="BL14" s="2407"/>
      <c r="BM14" s="2606"/>
      <c r="BN14" s="2596"/>
      <c r="BO14" s="2598"/>
      <c r="BP14" s="2596"/>
      <c r="BQ14" s="2460"/>
    </row>
    <row r="15" spans="1:256" s="51" customFormat="1" ht="75" customHeight="1" x14ac:dyDescent="0.2">
      <c r="A15" s="2581"/>
      <c r="B15" s="2585"/>
      <c r="C15" s="2586"/>
      <c r="D15" s="2581"/>
      <c r="E15" s="2581"/>
      <c r="F15" s="697"/>
      <c r="G15" s="2585"/>
      <c r="H15" s="2586"/>
      <c r="I15" s="2447"/>
      <c r="J15" s="2448"/>
      <c r="K15" s="2437"/>
      <c r="L15" s="2436"/>
      <c r="M15" s="2599"/>
      <c r="N15" s="2436"/>
      <c r="O15" s="2436"/>
      <c r="P15" s="2437"/>
      <c r="Q15" s="2600"/>
      <c r="R15" s="2616"/>
      <c r="S15" s="2448"/>
      <c r="T15" s="2448"/>
      <c r="U15" s="2448"/>
      <c r="V15" s="2591"/>
      <c r="W15" s="2593"/>
      <c r="X15" s="2593"/>
      <c r="Y15" s="2615"/>
      <c r="Z15" s="2448"/>
      <c r="AA15" s="2590"/>
      <c r="AB15" s="2590"/>
      <c r="AC15" s="2590"/>
      <c r="AD15" s="2590"/>
      <c r="AE15" s="2590"/>
      <c r="AF15" s="2590"/>
      <c r="AG15" s="2590"/>
      <c r="AH15" s="2590"/>
      <c r="AI15" s="2590"/>
      <c r="AJ15" s="2590"/>
      <c r="AK15" s="2590"/>
      <c r="AL15" s="2590"/>
      <c r="AM15" s="2590"/>
      <c r="AN15" s="2590"/>
      <c r="AO15" s="2590"/>
      <c r="AP15" s="2590"/>
      <c r="AQ15" s="2590"/>
      <c r="AR15" s="2590"/>
      <c r="AS15" s="2590"/>
      <c r="AT15" s="2590"/>
      <c r="AU15" s="2590"/>
      <c r="AV15" s="2590"/>
      <c r="AW15" s="2590"/>
      <c r="AX15" s="2590"/>
      <c r="AY15" s="2590"/>
      <c r="AZ15" s="2590"/>
      <c r="BA15" s="2590"/>
      <c r="BB15" s="2590"/>
      <c r="BC15" s="2590"/>
      <c r="BD15" s="2590"/>
      <c r="BE15" s="2590"/>
      <c r="BF15" s="2590"/>
      <c r="BG15" s="2609"/>
      <c r="BH15" s="2407"/>
      <c r="BI15" s="2407"/>
      <c r="BJ15" s="2603"/>
      <c r="BK15" s="2407"/>
      <c r="BL15" s="2407"/>
      <c r="BM15" s="2606"/>
      <c r="BN15" s="2596"/>
      <c r="BO15" s="2598"/>
      <c r="BP15" s="2596"/>
      <c r="BQ15" s="2460"/>
    </row>
    <row r="16" spans="1:256" s="51" customFormat="1" ht="75" customHeight="1" x14ac:dyDescent="0.2">
      <c r="A16" s="2581"/>
      <c r="B16" s="2585"/>
      <c r="C16" s="2586"/>
      <c r="D16" s="2581"/>
      <c r="E16" s="2581"/>
      <c r="F16" s="697"/>
      <c r="G16" s="2585"/>
      <c r="H16" s="2586"/>
      <c r="I16" s="2447">
        <v>277</v>
      </c>
      <c r="J16" s="2448" t="s">
        <v>738</v>
      </c>
      <c r="K16" s="2437" t="s">
        <v>739</v>
      </c>
      <c r="L16" s="2436">
        <v>1</v>
      </c>
      <c r="M16" s="2436"/>
      <c r="N16" s="2436"/>
      <c r="O16" s="2436"/>
      <c r="P16" s="2437"/>
      <c r="Q16" s="2600">
        <f>+V16/R13</f>
        <v>0.15622363726121216</v>
      </c>
      <c r="R16" s="2616"/>
      <c r="S16" s="2448"/>
      <c r="T16" s="2448" t="s">
        <v>740</v>
      </c>
      <c r="U16" s="2448" t="s">
        <v>741</v>
      </c>
      <c r="V16" s="2612">
        <v>250000000</v>
      </c>
      <c r="W16" s="2613">
        <v>0</v>
      </c>
      <c r="X16" s="2613">
        <v>0</v>
      </c>
      <c r="Y16" s="2614">
        <v>56</v>
      </c>
      <c r="Z16" s="2448" t="s">
        <v>742</v>
      </c>
      <c r="AA16" s="2590"/>
      <c r="AB16" s="2590"/>
      <c r="AC16" s="2590"/>
      <c r="AD16" s="2590"/>
      <c r="AE16" s="2590"/>
      <c r="AF16" s="2590"/>
      <c r="AG16" s="2590"/>
      <c r="AH16" s="2590"/>
      <c r="AI16" s="2590"/>
      <c r="AJ16" s="2590"/>
      <c r="AK16" s="2590"/>
      <c r="AL16" s="2590"/>
      <c r="AM16" s="2590"/>
      <c r="AN16" s="2590"/>
      <c r="AO16" s="2590"/>
      <c r="AP16" s="2590"/>
      <c r="AQ16" s="2590"/>
      <c r="AR16" s="2590"/>
      <c r="AS16" s="2590"/>
      <c r="AT16" s="2590"/>
      <c r="AU16" s="2590"/>
      <c r="AV16" s="2590"/>
      <c r="AW16" s="2590"/>
      <c r="AX16" s="2590"/>
      <c r="AY16" s="2590"/>
      <c r="AZ16" s="2590"/>
      <c r="BA16" s="2590"/>
      <c r="BB16" s="2590"/>
      <c r="BC16" s="2590"/>
      <c r="BD16" s="2590"/>
      <c r="BE16" s="2590"/>
      <c r="BF16" s="2590"/>
      <c r="BG16" s="2609"/>
      <c r="BH16" s="2407"/>
      <c r="BI16" s="2407"/>
      <c r="BJ16" s="2603"/>
      <c r="BK16" s="2407"/>
      <c r="BL16" s="2407"/>
      <c r="BM16" s="2606"/>
      <c r="BN16" s="2596"/>
      <c r="BO16" s="2598"/>
      <c r="BP16" s="2596"/>
      <c r="BQ16" s="2460"/>
    </row>
    <row r="17" spans="1:69" s="51" customFormat="1" ht="75" customHeight="1" x14ac:dyDescent="0.2">
      <c r="A17" s="2581"/>
      <c r="B17" s="2585"/>
      <c r="C17" s="2586"/>
      <c r="D17" s="2581"/>
      <c r="E17" s="2581"/>
      <c r="F17" s="697"/>
      <c r="G17" s="2585"/>
      <c r="H17" s="2586"/>
      <c r="I17" s="2447"/>
      <c r="J17" s="2448"/>
      <c r="K17" s="2437"/>
      <c r="L17" s="2436"/>
      <c r="M17" s="2436"/>
      <c r="N17" s="2436"/>
      <c r="O17" s="2436"/>
      <c r="P17" s="2437"/>
      <c r="Q17" s="2600"/>
      <c r="R17" s="2616"/>
      <c r="S17" s="2448"/>
      <c r="T17" s="2448"/>
      <c r="U17" s="2448"/>
      <c r="V17" s="2612"/>
      <c r="W17" s="2613"/>
      <c r="X17" s="2613"/>
      <c r="Y17" s="2614"/>
      <c r="Z17" s="2448"/>
      <c r="AA17" s="2590"/>
      <c r="AB17" s="2590"/>
      <c r="AC17" s="2590"/>
      <c r="AD17" s="2590"/>
      <c r="AE17" s="2590"/>
      <c r="AF17" s="2590"/>
      <c r="AG17" s="2590"/>
      <c r="AH17" s="2590"/>
      <c r="AI17" s="2590"/>
      <c r="AJ17" s="2590"/>
      <c r="AK17" s="2590"/>
      <c r="AL17" s="2590"/>
      <c r="AM17" s="2590"/>
      <c r="AN17" s="2590"/>
      <c r="AO17" s="2590"/>
      <c r="AP17" s="2590"/>
      <c r="AQ17" s="2590"/>
      <c r="AR17" s="2590"/>
      <c r="AS17" s="2590"/>
      <c r="AT17" s="2590"/>
      <c r="AU17" s="2590"/>
      <c r="AV17" s="2590"/>
      <c r="AW17" s="2590"/>
      <c r="AX17" s="2590"/>
      <c r="AY17" s="2590"/>
      <c r="AZ17" s="2590"/>
      <c r="BA17" s="2590"/>
      <c r="BB17" s="2590"/>
      <c r="BC17" s="2590"/>
      <c r="BD17" s="2590"/>
      <c r="BE17" s="2590"/>
      <c r="BF17" s="2590"/>
      <c r="BG17" s="2609"/>
      <c r="BH17" s="2407"/>
      <c r="BI17" s="2407"/>
      <c r="BJ17" s="2603"/>
      <c r="BK17" s="2407"/>
      <c r="BL17" s="2407"/>
      <c r="BM17" s="2606"/>
      <c r="BN17" s="2596"/>
      <c r="BO17" s="2598"/>
      <c r="BP17" s="2596"/>
      <c r="BQ17" s="2460"/>
    </row>
    <row r="18" spans="1:69" s="51" customFormat="1" ht="75" customHeight="1" x14ac:dyDescent="0.2">
      <c r="A18" s="2581"/>
      <c r="B18" s="2585"/>
      <c r="C18" s="2586"/>
      <c r="D18" s="2581"/>
      <c r="E18" s="2581"/>
      <c r="F18" s="697"/>
      <c r="G18" s="2585"/>
      <c r="H18" s="2586"/>
      <c r="I18" s="2447"/>
      <c r="J18" s="2448"/>
      <c r="K18" s="2437"/>
      <c r="L18" s="2436"/>
      <c r="M18" s="2436"/>
      <c r="N18" s="2436"/>
      <c r="O18" s="2436"/>
      <c r="P18" s="2437"/>
      <c r="Q18" s="2600"/>
      <c r="R18" s="2616"/>
      <c r="S18" s="2448"/>
      <c r="T18" s="2448"/>
      <c r="U18" s="2448"/>
      <c r="V18" s="2612"/>
      <c r="W18" s="2613"/>
      <c r="X18" s="2613"/>
      <c r="Y18" s="2614"/>
      <c r="Z18" s="2448"/>
      <c r="AA18" s="2590"/>
      <c r="AB18" s="2590"/>
      <c r="AC18" s="2590"/>
      <c r="AD18" s="2590"/>
      <c r="AE18" s="2590"/>
      <c r="AF18" s="2590"/>
      <c r="AG18" s="2590"/>
      <c r="AH18" s="2590"/>
      <c r="AI18" s="2590"/>
      <c r="AJ18" s="2590"/>
      <c r="AK18" s="2590"/>
      <c r="AL18" s="2590"/>
      <c r="AM18" s="2590"/>
      <c r="AN18" s="2590"/>
      <c r="AO18" s="2590"/>
      <c r="AP18" s="2590"/>
      <c r="AQ18" s="2590"/>
      <c r="AR18" s="2590"/>
      <c r="AS18" s="2590"/>
      <c r="AT18" s="2590"/>
      <c r="AU18" s="2590"/>
      <c r="AV18" s="2590"/>
      <c r="AW18" s="2590"/>
      <c r="AX18" s="2590"/>
      <c r="AY18" s="2590"/>
      <c r="AZ18" s="2590"/>
      <c r="BA18" s="2590"/>
      <c r="BB18" s="2590"/>
      <c r="BC18" s="2590"/>
      <c r="BD18" s="2590"/>
      <c r="BE18" s="2590"/>
      <c r="BF18" s="2590"/>
      <c r="BG18" s="2610"/>
      <c r="BH18" s="2481"/>
      <c r="BI18" s="2481"/>
      <c r="BJ18" s="2604"/>
      <c r="BK18" s="2481"/>
      <c r="BL18" s="2481"/>
      <c r="BM18" s="2607"/>
      <c r="BN18" s="2597"/>
      <c r="BO18" s="2598"/>
      <c r="BP18" s="2597"/>
      <c r="BQ18" s="2460"/>
    </row>
    <row r="19" spans="1:69" s="51" customFormat="1" ht="189.75" customHeight="1" x14ac:dyDescent="0.2">
      <c r="A19" s="2582"/>
      <c r="B19" s="2587"/>
      <c r="C19" s="2588"/>
      <c r="D19" s="2582"/>
      <c r="E19" s="2582"/>
      <c r="F19" s="699"/>
      <c r="G19" s="2587"/>
      <c r="H19" s="2588"/>
      <c r="I19" s="473">
        <v>279</v>
      </c>
      <c r="J19" s="474" t="s">
        <v>743</v>
      </c>
      <c r="K19" s="472" t="s">
        <v>744</v>
      </c>
      <c r="L19" s="471">
        <v>1</v>
      </c>
      <c r="M19" s="471"/>
      <c r="N19" s="471" t="s">
        <v>745</v>
      </c>
      <c r="O19" s="471" t="s">
        <v>746</v>
      </c>
      <c r="P19" s="472" t="s">
        <v>747</v>
      </c>
      <c r="Q19" s="493">
        <f>+V19/R19</f>
        <v>1</v>
      </c>
      <c r="R19" s="700">
        <v>270864000</v>
      </c>
      <c r="S19" s="474" t="s">
        <v>748</v>
      </c>
      <c r="T19" s="629" t="s">
        <v>749</v>
      </c>
      <c r="U19" s="474" t="s">
        <v>750</v>
      </c>
      <c r="V19" s="694">
        <v>270864000</v>
      </c>
      <c r="W19" s="695">
        <v>143466664</v>
      </c>
      <c r="X19" s="695">
        <v>59200000</v>
      </c>
      <c r="Y19" s="701" t="s">
        <v>187</v>
      </c>
      <c r="Z19" s="474" t="s">
        <v>751</v>
      </c>
      <c r="AA19" s="702">
        <v>295972</v>
      </c>
      <c r="AB19" s="702">
        <v>295972</v>
      </c>
      <c r="AC19" s="702">
        <v>285580</v>
      </c>
      <c r="AD19" s="702">
        <v>285580</v>
      </c>
      <c r="AE19" s="702">
        <v>135545</v>
      </c>
      <c r="AF19" s="702">
        <v>135545</v>
      </c>
      <c r="AG19" s="702">
        <v>44254</v>
      </c>
      <c r="AH19" s="702">
        <v>44254</v>
      </c>
      <c r="AI19" s="702">
        <v>309146</v>
      </c>
      <c r="AJ19" s="702">
        <v>309146</v>
      </c>
      <c r="AK19" s="702">
        <v>92607</v>
      </c>
      <c r="AL19" s="702">
        <v>92607</v>
      </c>
      <c r="AM19" s="702">
        <v>2145</v>
      </c>
      <c r="AN19" s="702">
        <v>2145</v>
      </c>
      <c r="AO19" s="702">
        <v>12718</v>
      </c>
      <c r="AP19" s="702">
        <v>12718</v>
      </c>
      <c r="AQ19" s="702">
        <v>26</v>
      </c>
      <c r="AR19" s="702">
        <v>26</v>
      </c>
      <c r="AS19" s="702">
        <v>37</v>
      </c>
      <c r="AT19" s="702">
        <v>37</v>
      </c>
      <c r="AU19" s="702">
        <v>0</v>
      </c>
      <c r="AV19" s="702">
        <v>0</v>
      </c>
      <c r="AW19" s="702">
        <v>0</v>
      </c>
      <c r="AX19" s="702">
        <v>0</v>
      </c>
      <c r="AY19" s="702">
        <v>44350</v>
      </c>
      <c r="AZ19" s="702">
        <v>44350</v>
      </c>
      <c r="BA19" s="702">
        <v>21944</v>
      </c>
      <c r="BB19" s="702">
        <v>21944</v>
      </c>
      <c r="BC19" s="702">
        <v>75687</v>
      </c>
      <c r="BD19" s="702">
        <v>75687</v>
      </c>
      <c r="BE19" s="702">
        <v>581552</v>
      </c>
      <c r="BF19" s="702">
        <v>581552</v>
      </c>
      <c r="BG19" s="471">
        <v>9</v>
      </c>
      <c r="BH19" s="703">
        <v>143466664</v>
      </c>
      <c r="BI19" s="703">
        <v>59200000</v>
      </c>
      <c r="BJ19" s="494">
        <f>+BI19/BH19</f>
        <v>0.41263941287433853</v>
      </c>
      <c r="BK19" s="471" t="s">
        <v>731</v>
      </c>
      <c r="BL19" s="471" t="s">
        <v>752</v>
      </c>
      <c r="BM19" s="704">
        <v>43832</v>
      </c>
      <c r="BN19" s="705">
        <v>43857</v>
      </c>
      <c r="BO19" s="706">
        <v>44196</v>
      </c>
      <c r="BP19" s="705">
        <v>44038</v>
      </c>
      <c r="BQ19" s="707" t="s">
        <v>753</v>
      </c>
    </row>
    <row r="20" spans="1:69" s="410" customFormat="1" ht="22.5" customHeight="1" x14ac:dyDescent="0.25">
      <c r="A20" s="9"/>
      <c r="B20" s="9"/>
      <c r="C20" s="9"/>
      <c r="D20" s="9"/>
      <c r="E20" s="708"/>
      <c r="F20" s="2611" t="s">
        <v>93</v>
      </c>
      <c r="G20" s="2611"/>
      <c r="H20" s="2611"/>
      <c r="I20" s="2611"/>
      <c r="J20" s="2611"/>
      <c r="K20" s="2611"/>
      <c r="L20" s="2611"/>
      <c r="M20" s="2611"/>
      <c r="N20" s="2611"/>
      <c r="O20" s="2611"/>
      <c r="P20" s="2611"/>
      <c r="Q20" s="2611"/>
      <c r="R20" s="709">
        <f>SUM(R13:R19)</f>
        <v>1871134000</v>
      </c>
      <c r="S20" s="710"/>
      <c r="T20" s="710"/>
      <c r="U20" s="711"/>
      <c r="V20" s="709">
        <f>SUM(V13:V19)</f>
        <v>1871134000</v>
      </c>
      <c r="W20" s="709">
        <f t="shared" ref="W20:X20" si="0">SUM(W13:W19)</f>
        <v>789919199</v>
      </c>
      <c r="X20" s="709">
        <f t="shared" si="0"/>
        <v>200150000</v>
      </c>
      <c r="Y20" s="709"/>
      <c r="Z20" s="712"/>
      <c r="AA20" s="712"/>
      <c r="AB20" s="712"/>
      <c r="AC20" s="712"/>
      <c r="AD20" s="712"/>
      <c r="AE20" s="712"/>
      <c r="AF20" s="712"/>
      <c r="AG20" s="712"/>
      <c r="AH20" s="712"/>
      <c r="AI20" s="712"/>
      <c r="AJ20" s="712"/>
      <c r="AK20" s="712"/>
      <c r="AL20" s="712"/>
      <c r="AM20" s="712"/>
      <c r="AN20" s="712"/>
      <c r="AO20" s="712"/>
      <c r="AP20" s="712"/>
      <c r="AQ20" s="712"/>
      <c r="AR20" s="712"/>
      <c r="AS20" s="712"/>
      <c r="AT20" s="712"/>
      <c r="AU20" s="712"/>
      <c r="AV20" s="712"/>
      <c r="AW20" s="712"/>
      <c r="AX20" s="712"/>
      <c r="AY20" s="712"/>
      <c r="AZ20" s="712"/>
      <c r="BA20" s="712"/>
      <c r="BB20" s="712"/>
      <c r="BC20" s="712"/>
      <c r="BD20" s="712"/>
      <c r="BE20" s="712"/>
      <c r="BF20" s="712"/>
      <c r="BG20" s="9"/>
      <c r="BH20" s="713">
        <f>SUM(BH13:BH19)</f>
        <v>789919199</v>
      </c>
      <c r="BI20" s="713">
        <f>SUM(BI13:BI19)</f>
        <v>200150000</v>
      </c>
      <c r="BJ20" s="9"/>
      <c r="BK20" s="9"/>
      <c r="BL20" s="9"/>
      <c r="BM20" s="714"/>
      <c r="BN20" s="714"/>
      <c r="BO20" s="715"/>
      <c r="BP20" s="715"/>
      <c r="BQ20" s="100"/>
    </row>
    <row r="21" spans="1:69" s="410" customFormat="1" ht="22.5" customHeight="1" x14ac:dyDescent="0.25">
      <c r="A21" s="716"/>
      <c r="B21" s="716"/>
      <c r="C21" s="716"/>
      <c r="D21" s="716"/>
      <c r="E21" s="717"/>
      <c r="F21" s="718"/>
      <c r="G21" s="718"/>
      <c r="H21" s="718"/>
      <c r="I21" s="718"/>
      <c r="J21" s="718"/>
      <c r="K21" s="718"/>
      <c r="L21" s="718"/>
      <c r="M21" s="718"/>
      <c r="N21" s="718"/>
      <c r="O21" s="718"/>
      <c r="P21" s="718"/>
      <c r="Q21" s="718"/>
      <c r="R21" s="719"/>
      <c r="S21" s="87"/>
      <c r="T21" s="87"/>
      <c r="U21" s="720"/>
      <c r="V21" s="719"/>
      <c r="W21" s="721"/>
      <c r="X21" s="721"/>
      <c r="Y21" s="719"/>
      <c r="Z21" s="722"/>
      <c r="AA21" s="722"/>
      <c r="AB21" s="722"/>
      <c r="AC21" s="722"/>
      <c r="AD21" s="722"/>
      <c r="AE21" s="722"/>
      <c r="AF21" s="722"/>
      <c r="AG21" s="722"/>
      <c r="AH21" s="722"/>
      <c r="AI21" s="722"/>
      <c r="AJ21" s="722"/>
      <c r="AK21" s="722"/>
      <c r="AL21" s="722"/>
      <c r="AM21" s="722"/>
      <c r="AN21" s="722"/>
      <c r="AO21" s="722"/>
      <c r="AP21" s="722"/>
      <c r="AQ21" s="722"/>
      <c r="AR21" s="722"/>
      <c r="AS21" s="722"/>
      <c r="AT21" s="722"/>
      <c r="AU21" s="722"/>
      <c r="AV21" s="722"/>
      <c r="AW21" s="722"/>
      <c r="AX21" s="722"/>
      <c r="AY21" s="722"/>
      <c r="AZ21" s="722"/>
      <c r="BA21" s="722"/>
      <c r="BB21" s="722"/>
      <c r="BC21" s="722"/>
      <c r="BD21" s="722"/>
      <c r="BE21" s="722"/>
      <c r="BF21" s="722"/>
      <c r="BG21" s="716"/>
      <c r="BH21" s="716"/>
      <c r="BI21" s="716"/>
      <c r="BJ21" s="716"/>
      <c r="BK21" s="716"/>
      <c r="BL21" s="716"/>
      <c r="BM21" s="723"/>
      <c r="BN21" s="723"/>
      <c r="BO21" s="724"/>
      <c r="BP21" s="724"/>
      <c r="BQ21" s="725"/>
    </row>
    <row r="22" spans="1:69" ht="14.25" customHeight="1" x14ac:dyDescent="0.2">
      <c r="R22" s="411"/>
      <c r="S22" s="51"/>
      <c r="T22" s="51"/>
      <c r="U22" s="51"/>
      <c r="V22" s="51"/>
      <c r="W22" s="412"/>
      <c r="X22" s="412"/>
      <c r="Y22" s="51"/>
    </row>
    <row r="23" spans="1:69" ht="27" customHeight="1" x14ac:dyDescent="0.25">
      <c r="R23" s="413"/>
      <c r="V23"/>
      <c r="W23" s="414"/>
    </row>
    <row r="24" spans="1:69" ht="54" customHeight="1" x14ac:dyDescent="0.2">
      <c r="V24" s="413"/>
    </row>
    <row r="25" spans="1:69" ht="93" customHeight="1" x14ac:dyDescent="0.2"/>
    <row r="27" spans="1:69" ht="14.25" customHeight="1" x14ac:dyDescent="0.25">
      <c r="L27" s="415"/>
      <c r="M27" s="415"/>
      <c r="N27" s="416"/>
      <c r="O27" s="416"/>
    </row>
    <row r="28" spans="1:69" ht="14.25" customHeight="1" x14ac:dyDescent="0.25">
      <c r="L28" s="212" t="s">
        <v>95</v>
      </c>
      <c r="M28" s="212"/>
      <c r="N28" s="212"/>
    </row>
  </sheetData>
  <sheetProtection algorithmName="SHA-512" hashValue="pnIvWpYfZp2dTPnasOiWAXh2figmbC5HhQ4F6iO0Uo7m7qolewyavn87lL5THSUox1D2K6VgvHLuxQ7yUe/8Kw==" saltValue="LcbapKnnHNibx+VuwM6PEA==" spinCount="100000" sheet="1" objects="1" scenarios="1"/>
  <mergeCells count="137">
    <mergeCell ref="F20:Q20"/>
    <mergeCell ref="U16:U18"/>
    <mergeCell ref="V16:V18"/>
    <mergeCell ref="W16:W18"/>
    <mergeCell ref="X16:X18"/>
    <mergeCell ref="Y16:Y18"/>
    <mergeCell ref="Z16:Z18"/>
    <mergeCell ref="X14:X15"/>
    <mergeCell ref="Y14:Y15"/>
    <mergeCell ref="Z14:Z15"/>
    <mergeCell ref="I16:I18"/>
    <mergeCell ref="J16:J18"/>
    <mergeCell ref="K16:K18"/>
    <mergeCell ref="L16:L18"/>
    <mergeCell ref="M16:M18"/>
    <mergeCell ref="Q16:Q18"/>
    <mergeCell ref="T16:T18"/>
    <mergeCell ref="P13:P18"/>
    <mergeCell ref="R13:R18"/>
    <mergeCell ref="S13:S18"/>
    <mergeCell ref="BN13:BN18"/>
    <mergeCell ref="BO13:BO18"/>
    <mergeCell ref="BP13:BP18"/>
    <mergeCell ref="BQ13:BQ18"/>
    <mergeCell ref="I14:I15"/>
    <mergeCell ref="J14:J15"/>
    <mergeCell ref="K14:K15"/>
    <mergeCell ref="L14:L15"/>
    <mergeCell ref="M14:M15"/>
    <mergeCell ref="Q14:Q15"/>
    <mergeCell ref="BH13:BH18"/>
    <mergeCell ref="BI13:BI18"/>
    <mergeCell ref="BJ13:BJ18"/>
    <mergeCell ref="BK13:BK18"/>
    <mergeCell ref="BL13:BL18"/>
    <mergeCell ref="BM13:BM18"/>
    <mergeCell ref="BB13:BB18"/>
    <mergeCell ref="BC13:BC18"/>
    <mergeCell ref="BD13:BD18"/>
    <mergeCell ref="BE13:BE18"/>
    <mergeCell ref="BF13:BF18"/>
    <mergeCell ref="BG13:BG18"/>
    <mergeCell ref="AV13:AV18"/>
    <mergeCell ref="AW13:AW18"/>
    <mergeCell ref="AX13:AX18"/>
    <mergeCell ref="AY13:AY18"/>
    <mergeCell ref="AZ13:AZ18"/>
    <mergeCell ref="BA13:BA18"/>
    <mergeCell ref="AP13:AP18"/>
    <mergeCell ref="AQ13:AQ18"/>
    <mergeCell ref="AR13:AR18"/>
    <mergeCell ref="AS13:AS18"/>
    <mergeCell ref="AT13:AT18"/>
    <mergeCell ref="AU13:AU18"/>
    <mergeCell ref="AJ13:AJ18"/>
    <mergeCell ref="AK13:AK18"/>
    <mergeCell ref="AL13:AL18"/>
    <mergeCell ref="AM13:AM18"/>
    <mergeCell ref="AN13:AN18"/>
    <mergeCell ref="AO13:AO18"/>
    <mergeCell ref="AD13:AD18"/>
    <mergeCell ref="AE13:AE18"/>
    <mergeCell ref="AF13:AF18"/>
    <mergeCell ref="AG13:AG18"/>
    <mergeCell ref="AH13:AH18"/>
    <mergeCell ref="AI13:AI18"/>
    <mergeCell ref="S7:S9"/>
    <mergeCell ref="T7:T9"/>
    <mergeCell ref="AA13:AA18"/>
    <mergeCell ref="AB13:AB18"/>
    <mergeCell ref="AC13:AC18"/>
    <mergeCell ref="T14:T15"/>
    <mergeCell ref="U14:U15"/>
    <mergeCell ref="V14:V15"/>
    <mergeCell ref="W14:W15"/>
    <mergeCell ref="AA7:AD7"/>
    <mergeCell ref="AE7:AL7"/>
    <mergeCell ref="BL8:BL9"/>
    <mergeCell ref="A11:A19"/>
    <mergeCell ref="B11:C19"/>
    <mergeCell ref="D12:D19"/>
    <mergeCell ref="E12:E19"/>
    <mergeCell ref="G13:H19"/>
    <mergeCell ref="N13:N18"/>
    <mergeCell ref="O13:O18"/>
    <mergeCell ref="BA8:BB8"/>
    <mergeCell ref="BC8:BD8"/>
    <mergeCell ref="BE8:BF8"/>
    <mergeCell ref="BG8:BG9"/>
    <mergeCell ref="BH8:BH9"/>
    <mergeCell ref="BI8:BI9"/>
    <mergeCell ref="U7:U9"/>
    <mergeCell ref="V7:X8"/>
    <mergeCell ref="Y7:Y9"/>
    <mergeCell ref="Z7:Z9"/>
    <mergeCell ref="O7:O9"/>
    <mergeCell ref="P7:P9"/>
    <mergeCell ref="Q7:Q9"/>
    <mergeCell ref="R7:R9"/>
    <mergeCell ref="AO8:AP8"/>
    <mergeCell ref="AQ8:AR8"/>
    <mergeCell ref="AM7:AX7"/>
    <mergeCell ref="AY7:BD7"/>
    <mergeCell ref="BE7:BF7"/>
    <mergeCell ref="BG7:BL7"/>
    <mergeCell ref="BM7:BN8"/>
    <mergeCell ref="BO7:BP8"/>
    <mergeCell ref="AS8:AT8"/>
    <mergeCell ref="AU8:AV8"/>
    <mergeCell ref="AW8:AX8"/>
    <mergeCell ref="AY8:AZ8"/>
    <mergeCell ref="BJ8:BJ9"/>
    <mergeCell ref="BK8:BK9"/>
    <mergeCell ref="G7:H9"/>
    <mergeCell ref="I7:I9"/>
    <mergeCell ref="J7:J9"/>
    <mergeCell ref="K7:K9"/>
    <mergeCell ref="L7:M8"/>
    <mergeCell ref="N7:N9"/>
    <mergeCell ref="A1:BM4"/>
    <mergeCell ref="A5:L6"/>
    <mergeCell ref="P5:BQ5"/>
    <mergeCell ref="P6:Z6"/>
    <mergeCell ref="BM6:BQ6"/>
    <mergeCell ref="A7:A9"/>
    <mergeCell ref="B7:C9"/>
    <mergeCell ref="D7:D9"/>
    <mergeCell ref="E7:E9"/>
    <mergeCell ref="F7:F9"/>
    <mergeCell ref="BQ7:BQ9"/>
    <mergeCell ref="AA8:AB8"/>
    <mergeCell ref="AC8:AD8"/>
    <mergeCell ref="AE8:AF8"/>
    <mergeCell ref="AG8:AH8"/>
    <mergeCell ref="AI8:AJ8"/>
    <mergeCell ref="AK8:AL8"/>
    <mergeCell ref="AM8:AN8"/>
  </mergeCells>
  <pageMargins left="1.1023622047244095" right="0" top="0.74803149606299213" bottom="0.74803149606299213" header="0.31496062992125984" footer="0.31496062992125984"/>
  <pageSetup paperSize="258"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J80"/>
  <sheetViews>
    <sheetView showGridLines="0" zoomScale="70" zoomScaleNormal="70" workbookViewId="0">
      <selection activeCell="M13" sqref="M13"/>
    </sheetView>
  </sheetViews>
  <sheetFormatPr baseColWidth="10" defaultColWidth="11.42578125" defaultRowHeight="14.25" x14ac:dyDescent="0.2"/>
  <cols>
    <col min="1" max="1" width="10.5703125" style="2" customWidth="1"/>
    <col min="2" max="2" width="8.42578125" style="2" customWidth="1"/>
    <col min="3" max="3" width="9" style="2" customWidth="1"/>
    <col min="4" max="4" width="11" style="2" customWidth="1"/>
    <col min="5" max="5" width="10.7109375" style="2" customWidth="1"/>
    <col min="6" max="6" width="9.42578125" style="2" customWidth="1"/>
    <col min="7" max="7" width="11.5703125" style="2" customWidth="1"/>
    <col min="8" max="8" width="24.42578125" style="2" customWidth="1"/>
    <col min="9" max="9" width="22.28515625" style="2" customWidth="1"/>
    <col min="10" max="10" width="24.5703125" style="2" customWidth="1"/>
    <col min="11" max="11" width="22.42578125" style="2" customWidth="1"/>
    <col min="12" max="12" width="16" style="2" hidden="1" customWidth="1"/>
    <col min="13" max="13" width="29" style="368" customWidth="1"/>
    <col min="14" max="14" width="24.42578125" style="368" customWidth="1"/>
    <col min="15" max="15" width="25.7109375" style="2" customWidth="1"/>
    <col min="16" max="16" width="17" style="2" customWidth="1"/>
    <col min="17" max="17" width="28.42578125" style="2" customWidth="1"/>
    <col min="18" max="18" width="36.140625" style="2" customWidth="1"/>
    <col min="19" max="19" width="50" style="2" customWidth="1"/>
    <col min="20" max="20" width="46" style="2" customWidth="1"/>
    <col min="21" max="21" width="30" style="2" customWidth="1"/>
    <col min="22" max="23" width="27.140625" style="2" customWidth="1"/>
    <col min="24" max="24" width="10.7109375" style="2" customWidth="1"/>
    <col min="25" max="25" width="14.85546875" style="2" customWidth="1"/>
    <col min="26" max="57" width="9.42578125" style="2" customWidth="1"/>
    <col min="58" max="58" width="16.85546875" style="2" customWidth="1"/>
    <col min="59" max="59" width="20.42578125" style="2" customWidth="1"/>
    <col min="60" max="60" width="18.140625" style="2" customWidth="1"/>
    <col min="61" max="62" width="16.85546875" style="2" customWidth="1"/>
    <col min="63" max="63" width="18.140625" style="2" customWidth="1"/>
    <col min="64" max="65" width="12.85546875" style="2" customWidth="1"/>
    <col min="66" max="67" width="13.42578125" style="2" customWidth="1"/>
    <col min="68" max="68" width="22.140625" style="2" customWidth="1"/>
    <col min="69" max="81" width="9.42578125" style="2" customWidth="1"/>
    <col min="82" max="87" width="25.28515625" style="2" customWidth="1"/>
    <col min="88" max="91" width="14.42578125" style="2" customWidth="1"/>
    <col min="92" max="92" width="19.85546875" style="2" customWidth="1"/>
    <col min="93" max="105" width="14.85546875" style="2" customWidth="1"/>
    <col min="106" max="16384" width="11.42578125" style="2"/>
  </cols>
  <sheetData>
    <row r="1" spans="1:88" ht="15.75" customHeight="1" x14ac:dyDescent="0.2">
      <c r="A1" s="2735" t="s">
        <v>2119</v>
      </c>
      <c r="B1" s="2736"/>
      <c r="C1" s="2736"/>
      <c r="D1" s="2736"/>
      <c r="E1" s="2736"/>
      <c r="F1" s="2736"/>
      <c r="G1" s="2736"/>
      <c r="H1" s="2736"/>
      <c r="I1" s="2736"/>
      <c r="J1" s="2736"/>
      <c r="K1" s="2736"/>
      <c r="L1" s="2736"/>
      <c r="M1" s="2736"/>
      <c r="N1" s="2736"/>
      <c r="O1" s="2736"/>
      <c r="P1" s="2736"/>
      <c r="Q1" s="2736"/>
      <c r="R1" s="2736"/>
      <c r="S1" s="2736"/>
      <c r="T1" s="2736"/>
      <c r="U1" s="2736"/>
      <c r="V1" s="2736"/>
      <c r="W1" s="2736"/>
      <c r="X1" s="2736"/>
      <c r="Y1" s="2736"/>
      <c r="Z1" s="2736"/>
      <c r="AA1" s="2736"/>
      <c r="AB1" s="2736"/>
      <c r="AC1" s="2736"/>
      <c r="AD1" s="2736"/>
      <c r="AE1" s="2736"/>
      <c r="AF1" s="2736"/>
      <c r="AG1" s="2736"/>
      <c r="AH1" s="2736"/>
      <c r="AI1" s="2736"/>
      <c r="AJ1" s="2736"/>
      <c r="AK1" s="2736"/>
      <c r="AL1" s="2736"/>
      <c r="AM1" s="2736"/>
      <c r="AN1" s="2736"/>
      <c r="AO1" s="2736"/>
      <c r="AP1" s="2736"/>
      <c r="AQ1" s="2736"/>
      <c r="AR1" s="2736"/>
      <c r="AS1" s="2736"/>
      <c r="AT1" s="2736"/>
      <c r="AU1" s="2736"/>
      <c r="AV1" s="2736"/>
      <c r="AW1" s="2736"/>
      <c r="AX1" s="2736"/>
      <c r="AY1" s="2736"/>
      <c r="AZ1" s="2736"/>
      <c r="BA1" s="2736"/>
      <c r="BB1" s="2736"/>
      <c r="BC1" s="2736"/>
      <c r="BD1" s="2736"/>
      <c r="BE1" s="2736"/>
      <c r="BF1" s="2736"/>
      <c r="BG1" s="2736"/>
      <c r="BH1" s="2736"/>
      <c r="BI1" s="2736"/>
      <c r="BJ1" s="2736"/>
      <c r="BK1" s="2736"/>
      <c r="BL1" s="2736"/>
      <c r="BM1" s="1"/>
      <c r="BO1" s="9" t="s">
        <v>0</v>
      </c>
      <c r="BP1" s="9" t="s">
        <v>1</v>
      </c>
      <c r="BQ1" s="99"/>
      <c r="BR1" s="99"/>
      <c r="BS1" s="99"/>
      <c r="BT1" s="99"/>
      <c r="BU1" s="99"/>
      <c r="BV1" s="99"/>
      <c r="BW1" s="99"/>
      <c r="BX1" s="99"/>
      <c r="BY1" s="99"/>
      <c r="BZ1" s="99"/>
      <c r="CA1" s="99"/>
      <c r="CB1" s="99"/>
      <c r="CC1" s="99"/>
      <c r="CD1" s="99"/>
      <c r="CE1" s="99"/>
      <c r="CF1" s="99"/>
      <c r="CG1" s="99"/>
      <c r="CH1" s="99"/>
      <c r="CI1" s="99"/>
      <c r="CJ1" s="99"/>
    </row>
    <row r="2" spans="1:88" ht="20.25" customHeight="1" x14ac:dyDescent="0.2">
      <c r="A2" s="2737"/>
      <c r="B2" s="2564"/>
      <c r="C2" s="2564"/>
      <c r="D2" s="2564"/>
      <c r="E2" s="2564"/>
      <c r="F2" s="2564"/>
      <c r="G2" s="2564"/>
      <c r="H2" s="2564"/>
      <c r="I2" s="2564"/>
      <c r="J2" s="2564"/>
      <c r="K2" s="2564"/>
      <c r="L2" s="2564"/>
      <c r="M2" s="2564"/>
      <c r="N2" s="2564"/>
      <c r="O2" s="2564"/>
      <c r="P2" s="2564"/>
      <c r="Q2" s="2564"/>
      <c r="R2" s="2564"/>
      <c r="S2" s="2564"/>
      <c r="T2" s="2564"/>
      <c r="U2" s="2564"/>
      <c r="V2" s="2564"/>
      <c r="W2" s="2564"/>
      <c r="X2" s="2564"/>
      <c r="Y2" s="2564"/>
      <c r="Z2" s="2564"/>
      <c r="AA2" s="2564"/>
      <c r="AB2" s="2564"/>
      <c r="AC2" s="2564"/>
      <c r="AD2" s="2564"/>
      <c r="AE2" s="2564"/>
      <c r="AF2" s="2564"/>
      <c r="AG2" s="2564"/>
      <c r="AH2" s="2564"/>
      <c r="AI2" s="2564"/>
      <c r="AJ2" s="2564"/>
      <c r="AK2" s="2564"/>
      <c r="AL2" s="2564"/>
      <c r="AM2" s="2564"/>
      <c r="AN2" s="2564"/>
      <c r="AO2" s="2564"/>
      <c r="AP2" s="2564"/>
      <c r="AQ2" s="2564"/>
      <c r="AR2" s="2564"/>
      <c r="AS2" s="2564"/>
      <c r="AT2" s="2564"/>
      <c r="AU2" s="2564"/>
      <c r="AV2" s="2564"/>
      <c r="AW2" s="2564"/>
      <c r="AX2" s="2564"/>
      <c r="AY2" s="2564"/>
      <c r="AZ2" s="2564"/>
      <c r="BA2" s="2564"/>
      <c r="BB2" s="2564"/>
      <c r="BC2" s="2564"/>
      <c r="BD2" s="2564"/>
      <c r="BE2" s="2564"/>
      <c r="BF2" s="2564"/>
      <c r="BG2" s="2564"/>
      <c r="BH2" s="2564"/>
      <c r="BI2" s="2564"/>
      <c r="BJ2" s="2564"/>
      <c r="BK2" s="2564"/>
      <c r="BL2" s="2564"/>
      <c r="BM2" s="213"/>
      <c r="BO2" s="100" t="s">
        <v>2</v>
      </c>
      <c r="BP2" s="9" t="s">
        <v>96</v>
      </c>
      <c r="BQ2" s="99"/>
      <c r="BR2" s="99"/>
      <c r="BS2" s="99"/>
      <c r="BT2" s="99"/>
      <c r="BU2" s="99"/>
      <c r="BV2" s="99"/>
      <c r="BW2" s="99"/>
      <c r="BX2" s="99"/>
      <c r="BY2" s="99"/>
      <c r="BZ2" s="99"/>
      <c r="CA2" s="99"/>
      <c r="CB2" s="99"/>
      <c r="CC2" s="99"/>
      <c r="CD2" s="99"/>
      <c r="CE2" s="99"/>
      <c r="CF2" s="99"/>
      <c r="CG2" s="99"/>
      <c r="CH2" s="99"/>
      <c r="CI2" s="99"/>
      <c r="CJ2" s="99"/>
    </row>
    <row r="3" spans="1:88" ht="18" customHeight="1" x14ac:dyDescent="0.2">
      <c r="A3" s="2737"/>
      <c r="B3" s="2564"/>
      <c r="C3" s="2564"/>
      <c r="D3" s="2564"/>
      <c r="E3" s="2564"/>
      <c r="F3" s="2564"/>
      <c r="G3" s="2564"/>
      <c r="H3" s="2564"/>
      <c r="I3" s="2564"/>
      <c r="J3" s="2564"/>
      <c r="K3" s="2564"/>
      <c r="L3" s="2564"/>
      <c r="M3" s="2564"/>
      <c r="N3" s="2564"/>
      <c r="O3" s="2564"/>
      <c r="P3" s="2564"/>
      <c r="Q3" s="2564"/>
      <c r="R3" s="2564"/>
      <c r="S3" s="2564"/>
      <c r="T3" s="2564"/>
      <c r="U3" s="2564"/>
      <c r="V3" s="2564"/>
      <c r="W3" s="2564"/>
      <c r="X3" s="2564"/>
      <c r="Y3" s="2564"/>
      <c r="Z3" s="2564"/>
      <c r="AA3" s="2564"/>
      <c r="AB3" s="2564"/>
      <c r="AC3" s="2564"/>
      <c r="AD3" s="2564"/>
      <c r="AE3" s="2564"/>
      <c r="AF3" s="2564"/>
      <c r="AG3" s="2564"/>
      <c r="AH3" s="2564"/>
      <c r="AI3" s="2564"/>
      <c r="AJ3" s="2564"/>
      <c r="AK3" s="2564"/>
      <c r="AL3" s="2564"/>
      <c r="AM3" s="2564"/>
      <c r="AN3" s="2564"/>
      <c r="AO3" s="2564"/>
      <c r="AP3" s="2564"/>
      <c r="AQ3" s="2564"/>
      <c r="AR3" s="2564"/>
      <c r="AS3" s="2564"/>
      <c r="AT3" s="2564"/>
      <c r="AU3" s="2564"/>
      <c r="AV3" s="2564"/>
      <c r="AW3" s="2564"/>
      <c r="AX3" s="2564"/>
      <c r="AY3" s="2564"/>
      <c r="AZ3" s="2564"/>
      <c r="BA3" s="2564"/>
      <c r="BB3" s="2564"/>
      <c r="BC3" s="2564"/>
      <c r="BD3" s="2564"/>
      <c r="BE3" s="2564"/>
      <c r="BF3" s="2564"/>
      <c r="BG3" s="2564"/>
      <c r="BH3" s="2564"/>
      <c r="BI3" s="2564"/>
      <c r="BJ3" s="2564"/>
      <c r="BK3" s="2564"/>
      <c r="BL3" s="2564"/>
      <c r="BM3" s="213"/>
      <c r="BO3" s="9" t="s">
        <v>3</v>
      </c>
      <c r="BP3" s="101" t="s">
        <v>4</v>
      </c>
      <c r="BQ3" s="99"/>
      <c r="BR3" s="99"/>
      <c r="BS3" s="99"/>
      <c r="BT3" s="99"/>
      <c r="BU3" s="99"/>
      <c r="BV3" s="99"/>
      <c r="BW3" s="99"/>
      <c r="BX3" s="99"/>
      <c r="BY3" s="99"/>
      <c r="BZ3" s="99"/>
      <c r="CA3" s="99"/>
      <c r="CB3" s="99"/>
      <c r="CC3" s="99"/>
      <c r="CD3" s="99"/>
      <c r="CE3" s="99"/>
      <c r="CF3" s="99"/>
      <c r="CG3" s="99"/>
      <c r="CH3" s="99"/>
      <c r="CI3" s="99"/>
      <c r="CJ3" s="99"/>
    </row>
    <row r="4" spans="1:88" ht="15" customHeight="1" x14ac:dyDescent="0.2">
      <c r="A4" s="2738"/>
      <c r="B4" s="2739"/>
      <c r="C4" s="2739"/>
      <c r="D4" s="2739"/>
      <c r="E4" s="2739"/>
      <c r="F4" s="2739"/>
      <c r="G4" s="2739"/>
      <c r="H4" s="2739"/>
      <c r="I4" s="2739"/>
      <c r="J4" s="2739"/>
      <c r="K4" s="2739"/>
      <c r="L4" s="2739"/>
      <c r="M4" s="2739"/>
      <c r="N4" s="2739"/>
      <c r="O4" s="2739"/>
      <c r="P4" s="2739"/>
      <c r="Q4" s="2739"/>
      <c r="R4" s="2739"/>
      <c r="S4" s="2739"/>
      <c r="T4" s="2739"/>
      <c r="U4" s="2739"/>
      <c r="V4" s="2739"/>
      <c r="W4" s="2739"/>
      <c r="X4" s="2739"/>
      <c r="Y4" s="2739"/>
      <c r="Z4" s="2739"/>
      <c r="AA4" s="2739"/>
      <c r="AB4" s="2739"/>
      <c r="AC4" s="2739"/>
      <c r="AD4" s="2739"/>
      <c r="AE4" s="2739"/>
      <c r="AF4" s="2739"/>
      <c r="AG4" s="2739"/>
      <c r="AH4" s="2739"/>
      <c r="AI4" s="2739"/>
      <c r="AJ4" s="2739"/>
      <c r="AK4" s="2739"/>
      <c r="AL4" s="2739"/>
      <c r="AM4" s="2739"/>
      <c r="AN4" s="2739"/>
      <c r="AO4" s="2739"/>
      <c r="AP4" s="2739"/>
      <c r="AQ4" s="2739"/>
      <c r="AR4" s="2739"/>
      <c r="AS4" s="2739"/>
      <c r="AT4" s="2739"/>
      <c r="AU4" s="2739"/>
      <c r="AV4" s="2739"/>
      <c r="AW4" s="2739"/>
      <c r="AX4" s="2739"/>
      <c r="AY4" s="2739"/>
      <c r="AZ4" s="2739"/>
      <c r="BA4" s="2739"/>
      <c r="BB4" s="2739"/>
      <c r="BC4" s="2739"/>
      <c r="BD4" s="2739"/>
      <c r="BE4" s="2739"/>
      <c r="BF4" s="2739"/>
      <c r="BG4" s="2739"/>
      <c r="BH4" s="2739"/>
      <c r="BI4" s="2739"/>
      <c r="BJ4" s="2739"/>
      <c r="BK4" s="2739"/>
      <c r="BL4" s="2739"/>
      <c r="BM4" s="7"/>
      <c r="BO4" s="9" t="s">
        <v>5</v>
      </c>
      <c r="BP4" s="102" t="s">
        <v>97</v>
      </c>
      <c r="BQ4" s="99"/>
      <c r="BR4" s="99"/>
      <c r="BS4" s="99"/>
      <c r="BT4" s="99"/>
      <c r="BU4" s="99"/>
      <c r="BV4" s="99"/>
      <c r="BW4" s="99"/>
      <c r="BX4" s="99"/>
      <c r="BY4" s="99"/>
      <c r="BZ4" s="99"/>
      <c r="CA4" s="99"/>
      <c r="CB4" s="99"/>
      <c r="CC4" s="99"/>
      <c r="CD4" s="99"/>
      <c r="CE4" s="99"/>
      <c r="CF4" s="99"/>
      <c r="CG4" s="99"/>
      <c r="CH4" s="99"/>
      <c r="CI4" s="99"/>
      <c r="CJ4" s="99"/>
    </row>
    <row r="5" spans="1:88" ht="22.5" customHeight="1" x14ac:dyDescent="0.2">
      <c r="A5" s="2374" t="s">
        <v>7</v>
      </c>
      <c r="B5" s="2374"/>
      <c r="C5" s="2374"/>
      <c r="D5" s="2374"/>
      <c r="E5" s="2374"/>
      <c r="F5" s="2374"/>
      <c r="G5" s="2374"/>
      <c r="H5" s="2374"/>
      <c r="I5" s="2374"/>
      <c r="J5" s="2374"/>
      <c r="K5" s="2374"/>
      <c r="L5" s="2374"/>
      <c r="M5" s="2571" t="s">
        <v>8</v>
      </c>
      <c r="N5" s="2571"/>
      <c r="O5" s="2571"/>
      <c r="P5" s="2571"/>
      <c r="Q5" s="2571"/>
      <c r="R5" s="2571"/>
      <c r="S5" s="2571"/>
      <c r="T5" s="2571"/>
      <c r="U5" s="2571"/>
      <c r="V5" s="2571"/>
      <c r="W5" s="2571"/>
      <c r="X5" s="2571"/>
      <c r="Y5" s="2571"/>
      <c r="Z5" s="2571"/>
      <c r="AA5" s="2571"/>
      <c r="AB5" s="2571"/>
      <c r="AC5" s="2571"/>
      <c r="AD5" s="2571"/>
      <c r="AE5" s="2571"/>
      <c r="AF5" s="2571"/>
      <c r="AG5" s="2571"/>
      <c r="AH5" s="2571"/>
      <c r="AI5" s="2571"/>
      <c r="AJ5" s="2571"/>
      <c r="AK5" s="2571"/>
      <c r="AL5" s="2571"/>
      <c r="AM5" s="2571"/>
      <c r="AN5" s="2571"/>
      <c r="AO5" s="2571"/>
      <c r="AP5" s="2571"/>
      <c r="AQ5" s="2571"/>
      <c r="AR5" s="2571"/>
      <c r="AS5" s="2571"/>
      <c r="AT5" s="2571"/>
      <c r="AU5" s="2571"/>
      <c r="AV5" s="2571"/>
      <c r="AW5" s="2571"/>
      <c r="AX5" s="2571"/>
      <c r="AY5" s="2571"/>
      <c r="AZ5" s="2571"/>
      <c r="BA5" s="2571"/>
      <c r="BB5" s="2571"/>
      <c r="BC5" s="2571"/>
      <c r="BD5" s="2571"/>
      <c r="BE5" s="2571"/>
      <c r="BF5" s="2571"/>
      <c r="BG5" s="2571"/>
      <c r="BH5" s="2571"/>
      <c r="BI5" s="2571"/>
      <c r="BJ5" s="2571"/>
      <c r="BK5" s="2571"/>
      <c r="BL5" s="2571"/>
      <c r="BM5" s="2571"/>
      <c r="BN5" s="2571"/>
      <c r="BO5" s="2571"/>
      <c r="BP5" s="2571"/>
      <c r="BQ5" s="99"/>
      <c r="BR5" s="99"/>
      <c r="BS5" s="99"/>
      <c r="BT5" s="99"/>
      <c r="BU5" s="99"/>
      <c r="BV5" s="99"/>
      <c r="BW5" s="99"/>
      <c r="BX5" s="99"/>
      <c r="BY5" s="99"/>
      <c r="BZ5" s="99"/>
      <c r="CA5" s="99"/>
      <c r="CB5" s="99"/>
      <c r="CC5" s="99"/>
      <c r="CD5" s="99"/>
      <c r="CE5" s="99"/>
      <c r="CF5" s="99"/>
      <c r="CG5" s="99"/>
      <c r="CH5" s="99"/>
      <c r="CI5" s="99"/>
      <c r="CJ5" s="99"/>
    </row>
    <row r="6" spans="1:88" ht="24" customHeight="1" x14ac:dyDescent="0.2">
      <c r="A6" s="2740"/>
      <c r="B6" s="2740"/>
      <c r="C6" s="2740"/>
      <c r="D6" s="2740"/>
      <c r="E6" s="2740"/>
      <c r="F6" s="2740"/>
      <c r="G6" s="2740"/>
      <c r="H6" s="2740"/>
      <c r="I6" s="2740"/>
      <c r="J6" s="2740"/>
      <c r="K6" s="2740"/>
      <c r="L6" s="2740"/>
      <c r="M6" s="214"/>
      <c r="N6" s="215"/>
      <c r="O6" s="216"/>
      <c r="P6" s="216"/>
      <c r="Q6" s="216"/>
      <c r="R6" s="217"/>
      <c r="S6" s="217"/>
      <c r="T6" s="217"/>
      <c r="U6" s="218"/>
      <c r="V6" s="218"/>
      <c r="W6" s="218"/>
      <c r="X6" s="217"/>
      <c r="Y6" s="217"/>
      <c r="Z6" s="2741" t="s">
        <v>270</v>
      </c>
      <c r="AA6" s="2740"/>
      <c r="AB6" s="2740"/>
      <c r="AC6" s="2740"/>
      <c r="AD6" s="2740"/>
      <c r="AE6" s="2740"/>
      <c r="AF6" s="2740"/>
      <c r="AG6" s="2740"/>
      <c r="AH6" s="2740"/>
      <c r="AI6" s="2740"/>
      <c r="AJ6" s="2740"/>
      <c r="AK6" s="2740"/>
      <c r="AL6" s="2740"/>
      <c r="AM6" s="2740"/>
      <c r="AN6" s="2740"/>
      <c r="AO6" s="2740"/>
      <c r="AP6" s="2740"/>
      <c r="AQ6" s="2740"/>
      <c r="AR6" s="2740"/>
      <c r="AS6" s="2740"/>
      <c r="AT6" s="2740"/>
      <c r="AU6" s="2740"/>
      <c r="AV6" s="2740"/>
      <c r="AW6" s="2740"/>
      <c r="AX6" s="2740"/>
      <c r="AY6" s="2740"/>
      <c r="AZ6" s="2740"/>
      <c r="BA6" s="2740"/>
      <c r="BB6" s="2742"/>
      <c r="BC6" s="219"/>
      <c r="BD6" s="219"/>
      <c r="BE6" s="219"/>
      <c r="BF6" s="219"/>
      <c r="BG6" s="219"/>
      <c r="BH6" s="219"/>
      <c r="BI6" s="219"/>
      <c r="BJ6" s="219"/>
      <c r="BK6" s="219"/>
      <c r="BL6" s="217"/>
      <c r="BM6" s="217"/>
      <c r="BN6" s="217"/>
      <c r="BO6" s="217"/>
      <c r="BP6" s="220"/>
      <c r="BQ6" s="99"/>
      <c r="BR6" s="99"/>
      <c r="BS6" s="99"/>
      <c r="BT6" s="99"/>
      <c r="BU6" s="99"/>
      <c r="BV6" s="99"/>
      <c r="BW6" s="99"/>
      <c r="BX6" s="99"/>
      <c r="BY6" s="99"/>
      <c r="BZ6" s="99"/>
      <c r="CA6" s="99"/>
      <c r="CB6" s="99"/>
      <c r="CC6" s="99"/>
      <c r="CD6" s="99"/>
      <c r="CE6" s="99"/>
      <c r="CF6" s="99"/>
      <c r="CG6" s="99"/>
      <c r="CH6" s="99"/>
      <c r="CI6" s="99"/>
      <c r="CJ6" s="99"/>
    </row>
    <row r="7" spans="1:88" ht="31.5" customHeight="1" x14ac:dyDescent="0.2">
      <c r="A7" s="2743" t="s">
        <v>9</v>
      </c>
      <c r="B7" s="2568" t="s">
        <v>10</v>
      </c>
      <c r="C7" s="2568"/>
      <c r="D7" s="2568" t="s">
        <v>9</v>
      </c>
      <c r="E7" s="2568" t="s">
        <v>11</v>
      </c>
      <c r="F7" s="2568"/>
      <c r="G7" s="2722" t="s">
        <v>9</v>
      </c>
      <c r="H7" s="2746" t="s">
        <v>12</v>
      </c>
      <c r="I7" s="2568" t="s">
        <v>9</v>
      </c>
      <c r="J7" s="2568" t="s">
        <v>271</v>
      </c>
      <c r="K7" s="2722" t="s">
        <v>14</v>
      </c>
      <c r="L7" s="2568" t="s">
        <v>15</v>
      </c>
      <c r="M7" s="2722" t="s">
        <v>16</v>
      </c>
      <c r="N7" s="2722" t="s">
        <v>98</v>
      </c>
      <c r="O7" s="2722" t="s">
        <v>8</v>
      </c>
      <c r="P7" s="2718" t="s">
        <v>18</v>
      </c>
      <c r="Q7" s="2720" t="s">
        <v>19</v>
      </c>
      <c r="R7" s="2722" t="s">
        <v>20</v>
      </c>
      <c r="S7" s="2568" t="s">
        <v>21</v>
      </c>
      <c r="T7" s="2568" t="s">
        <v>22</v>
      </c>
      <c r="U7" s="2749" t="s">
        <v>19</v>
      </c>
      <c r="V7" s="2749"/>
      <c r="W7" s="2749"/>
      <c r="X7" s="2750" t="s">
        <v>9</v>
      </c>
      <c r="Y7" s="2568" t="s">
        <v>23</v>
      </c>
      <c r="Z7" s="2427" t="s">
        <v>24</v>
      </c>
      <c r="AA7" s="2428"/>
      <c r="AB7" s="2428"/>
      <c r="AC7" s="2751"/>
      <c r="AD7" s="2398" t="s">
        <v>25</v>
      </c>
      <c r="AE7" s="2399"/>
      <c r="AF7" s="2399"/>
      <c r="AG7" s="2399"/>
      <c r="AH7" s="2399"/>
      <c r="AI7" s="2399"/>
      <c r="AJ7" s="2399"/>
      <c r="AK7" s="2708"/>
      <c r="AL7" s="2400" t="s">
        <v>26</v>
      </c>
      <c r="AM7" s="2401"/>
      <c r="AN7" s="2401"/>
      <c r="AO7" s="2401"/>
      <c r="AP7" s="2401"/>
      <c r="AQ7" s="2401"/>
      <c r="AR7" s="2401"/>
      <c r="AS7" s="2401"/>
      <c r="AT7" s="2401"/>
      <c r="AU7" s="2401"/>
      <c r="AV7" s="2401"/>
      <c r="AW7" s="2752"/>
      <c r="AX7" s="2398" t="s">
        <v>27</v>
      </c>
      <c r="AY7" s="2399"/>
      <c r="AZ7" s="2399"/>
      <c r="BA7" s="2399"/>
      <c r="BB7" s="2399"/>
      <c r="BC7" s="2708"/>
      <c r="BD7" s="2709" t="s">
        <v>28</v>
      </c>
      <c r="BE7" s="2710"/>
      <c r="BF7" s="2713" t="s">
        <v>29</v>
      </c>
      <c r="BG7" s="2714"/>
      <c r="BH7" s="2714"/>
      <c r="BI7" s="2714"/>
      <c r="BJ7" s="2714"/>
      <c r="BK7" s="2715"/>
      <c r="BL7" s="2753" t="s">
        <v>30</v>
      </c>
      <c r="BM7" s="2754"/>
      <c r="BN7" s="2753" t="s">
        <v>31</v>
      </c>
      <c r="BO7" s="2754"/>
      <c r="BP7" s="2757" t="s">
        <v>32</v>
      </c>
      <c r="BQ7" s="99"/>
      <c r="BR7" s="99"/>
      <c r="BS7" s="99"/>
      <c r="BT7" s="99"/>
      <c r="BU7" s="99"/>
      <c r="BV7" s="99"/>
      <c r="BW7" s="99"/>
      <c r="BX7" s="99"/>
      <c r="BY7" s="99"/>
      <c r="BZ7" s="99"/>
      <c r="CA7" s="99"/>
      <c r="CB7" s="99"/>
      <c r="CC7" s="99"/>
      <c r="CD7" s="99"/>
      <c r="CE7" s="99"/>
      <c r="CF7" s="99"/>
      <c r="CG7" s="99"/>
      <c r="CH7" s="99"/>
      <c r="CI7" s="99"/>
      <c r="CJ7" s="99"/>
    </row>
    <row r="8" spans="1:88" ht="105.75" customHeight="1" x14ac:dyDescent="0.2">
      <c r="A8" s="2744"/>
      <c r="B8" s="2568"/>
      <c r="C8" s="2568"/>
      <c r="D8" s="2568"/>
      <c r="E8" s="2568"/>
      <c r="F8" s="2568"/>
      <c r="G8" s="2389"/>
      <c r="H8" s="2747"/>
      <c r="I8" s="2568"/>
      <c r="J8" s="2568"/>
      <c r="K8" s="2389"/>
      <c r="L8" s="2568"/>
      <c r="M8" s="2389"/>
      <c r="N8" s="2389"/>
      <c r="O8" s="2389"/>
      <c r="P8" s="2421"/>
      <c r="Q8" s="2423"/>
      <c r="R8" s="2389"/>
      <c r="S8" s="2568"/>
      <c r="T8" s="2568"/>
      <c r="U8" s="2723" t="s">
        <v>56</v>
      </c>
      <c r="V8" s="2723" t="s">
        <v>57</v>
      </c>
      <c r="W8" s="2723" t="s">
        <v>58</v>
      </c>
      <c r="X8" s="2750"/>
      <c r="Y8" s="2568"/>
      <c r="Z8" s="2382" t="s">
        <v>33</v>
      </c>
      <c r="AA8" s="2383"/>
      <c r="AB8" s="2384" t="s">
        <v>34</v>
      </c>
      <c r="AC8" s="2385"/>
      <c r="AD8" s="2382" t="s">
        <v>35</v>
      </c>
      <c r="AE8" s="2383"/>
      <c r="AF8" s="2382" t="s">
        <v>36</v>
      </c>
      <c r="AG8" s="2383"/>
      <c r="AH8" s="2382" t="s">
        <v>272</v>
      </c>
      <c r="AI8" s="2383"/>
      <c r="AJ8" s="2382" t="s">
        <v>38</v>
      </c>
      <c r="AK8" s="2383"/>
      <c r="AL8" s="2382" t="s">
        <v>39</v>
      </c>
      <c r="AM8" s="2383"/>
      <c r="AN8" s="2382" t="s">
        <v>40</v>
      </c>
      <c r="AO8" s="2383"/>
      <c r="AP8" s="2382" t="s">
        <v>41</v>
      </c>
      <c r="AQ8" s="2383"/>
      <c r="AR8" s="2382" t="s">
        <v>42</v>
      </c>
      <c r="AS8" s="2383"/>
      <c r="AT8" s="2382" t="s">
        <v>43</v>
      </c>
      <c r="AU8" s="2383"/>
      <c r="AV8" s="2382" t="s">
        <v>44</v>
      </c>
      <c r="AW8" s="2383"/>
      <c r="AX8" s="2382" t="s">
        <v>45</v>
      </c>
      <c r="AY8" s="2383"/>
      <c r="AZ8" s="2382" t="s">
        <v>46</v>
      </c>
      <c r="BA8" s="2383"/>
      <c r="BB8" s="2382" t="s">
        <v>47</v>
      </c>
      <c r="BC8" s="2383"/>
      <c r="BD8" s="2711"/>
      <c r="BE8" s="2712"/>
      <c r="BF8" s="2758" t="s">
        <v>273</v>
      </c>
      <c r="BG8" s="2716" t="s">
        <v>49</v>
      </c>
      <c r="BH8" s="2703" t="s">
        <v>50</v>
      </c>
      <c r="BI8" s="2705" t="s">
        <v>51</v>
      </c>
      <c r="BJ8" s="2703" t="s">
        <v>52</v>
      </c>
      <c r="BK8" s="2703" t="s">
        <v>53</v>
      </c>
      <c r="BL8" s="2755"/>
      <c r="BM8" s="2756"/>
      <c r="BN8" s="2755"/>
      <c r="BO8" s="2756"/>
      <c r="BP8" s="2380"/>
      <c r="BQ8" s="99"/>
      <c r="BR8" s="99"/>
      <c r="BS8" s="99"/>
      <c r="BT8" s="99"/>
      <c r="BU8" s="99"/>
      <c r="BV8" s="99"/>
      <c r="BW8" s="99"/>
      <c r="BX8" s="99"/>
      <c r="BY8" s="99"/>
      <c r="BZ8" s="99"/>
      <c r="CA8" s="99"/>
      <c r="CB8" s="99"/>
      <c r="CC8" s="99"/>
      <c r="CD8" s="99"/>
      <c r="CE8" s="99"/>
      <c r="CF8" s="99"/>
      <c r="CG8" s="99"/>
      <c r="CH8" s="99"/>
      <c r="CI8" s="99"/>
      <c r="CJ8" s="99"/>
    </row>
    <row r="9" spans="1:88" ht="30.75" customHeight="1" x14ac:dyDescent="0.2">
      <c r="A9" s="2745"/>
      <c r="B9" s="2568"/>
      <c r="C9" s="2568"/>
      <c r="D9" s="2568"/>
      <c r="E9" s="2568"/>
      <c r="F9" s="2568"/>
      <c r="G9" s="2390"/>
      <c r="H9" s="2748"/>
      <c r="I9" s="2568"/>
      <c r="J9" s="2568"/>
      <c r="K9" s="2390"/>
      <c r="L9" s="22"/>
      <c r="M9" s="2390"/>
      <c r="N9" s="2390"/>
      <c r="O9" s="2390"/>
      <c r="P9" s="2719"/>
      <c r="Q9" s="2721"/>
      <c r="R9" s="2390"/>
      <c r="S9" s="2568"/>
      <c r="T9" s="2568"/>
      <c r="U9" s="2723"/>
      <c r="V9" s="2723"/>
      <c r="W9" s="2723"/>
      <c r="X9" s="2750"/>
      <c r="Y9" s="2568"/>
      <c r="Z9" s="221" t="s">
        <v>54</v>
      </c>
      <c r="AA9" s="221" t="s">
        <v>55</v>
      </c>
      <c r="AB9" s="221" t="s">
        <v>54</v>
      </c>
      <c r="AC9" s="221" t="s">
        <v>55</v>
      </c>
      <c r="AD9" s="221" t="s">
        <v>54</v>
      </c>
      <c r="AE9" s="221" t="s">
        <v>55</v>
      </c>
      <c r="AF9" s="221" t="s">
        <v>54</v>
      </c>
      <c r="AG9" s="221" t="s">
        <v>55</v>
      </c>
      <c r="AH9" s="221" t="s">
        <v>54</v>
      </c>
      <c r="AI9" s="221" t="s">
        <v>55</v>
      </c>
      <c r="AJ9" s="221" t="s">
        <v>54</v>
      </c>
      <c r="AK9" s="221" t="s">
        <v>55</v>
      </c>
      <c r="AL9" s="221" t="s">
        <v>54</v>
      </c>
      <c r="AM9" s="221" t="s">
        <v>55</v>
      </c>
      <c r="AN9" s="221" t="s">
        <v>54</v>
      </c>
      <c r="AO9" s="221" t="s">
        <v>55</v>
      </c>
      <c r="AP9" s="221" t="s">
        <v>54</v>
      </c>
      <c r="AQ9" s="221" t="s">
        <v>55</v>
      </c>
      <c r="AR9" s="221" t="s">
        <v>54</v>
      </c>
      <c r="AS9" s="221" t="s">
        <v>55</v>
      </c>
      <c r="AT9" s="221" t="s">
        <v>54</v>
      </c>
      <c r="AU9" s="221" t="s">
        <v>55</v>
      </c>
      <c r="AV9" s="221" t="s">
        <v>54</v>
      </c>
      <c r="AW9" s="221" t="s">
        <v>55</v>
      </c>
      <c r="AX9" s="221" t="s">
        <v>54</v>
      </c>
      <c r="AY9" s="221" t="s">
        <v>55</v>
      </c>
      <c r="AZ9" s="221" t="s">
        <v>54</v>
      </c>
      <c r="BA9" s="221" t="s">
        <v>55</v>
      </c>
      <c r="BB9" s="221" t="s">
        <v>54</v>
      </c>
      <c r="BC9" s="221" t="s">
        <v>55</v>
      </c>
      <c r="BD9" s="221" t="s">
        <v>54</v>
      </c>
      <c r="BE9" s="221" t="s">
        <v>55</v>
      </c>
      <c r="BF9" s="2759"/>
      <c r="BG9" s="2717"/>
      <c r="BH9" s="2704"/>
      <c r="BI9" s="2706"/>
      <c r="BJ9" s="2704"/>
      <c r="BK9" s="2704"/>
      <c r="BL9" s="222" t="s">
        <v>54</v>
      </c>
      <c r="BM9" s="222" t="s">
        <v>55</v>
      </c>
      <c r="BN9" s="222" t="s">
        <v>54</v>
      </c>
      <c r="BO9" s="222" t="s">
        <v>55</v>
      </c>
      <c r="BP9" s="221"/>
      <c r="BQ9" s="99"/>
      <c r="BR9" s="99"/>
      <c r="BS9" s="99"/>
      <c r="BT9" s="99"/>
      <c r="BU9" s="99"/>
      <c r="BV9" s="99"/>
      <c r="BW9" s="99"/>
      <c r="BX9" s="99"/>
      <c r="BY9" s="99"/>
      <c r="BZ9" s="99"/>
      <c r="CA9" s="99"/>
      <c r="CB9" s="99"/>
      <c r="CC9" s="99"/>
      <c r="CD9" s="99"/>
      <c r="CE9" s="99"/>
      <c r="CF9" s="99"/>
      <c r="CG9" s="99"/>
      <c r="CH9" s="99"/>
      <c r="CI9" s="99"/>
      <c r="CJ9" s="99"/>
    </row>
    <row r="10" spans="1:88" ht="24" customHeight="1" x14ac:dyDescent="0.2">
      <c r="A10" s="223">
        <v>1</v>
      </c>
      <c r="B10" s="110" t="s">
        <v>274</v>
      </c>
      <c r="C10" s="110"/>
      <c r="D10" s="110"/>
      <c r="E10" s="224"/>
      <c r="F10" s="224"/>
      <c r="G10" s="224"/>
      <c r="H10" s="224"/>
      <c r="I10" s="224"/>
      <c r="J10" s="225"/>
      <c r="K10" s="225"/>
      <c r="L10" s="225"/>
      <c r="M10" s="226"/>
      <c r="N10" s="226"/>
      <c r="O10" s="225"/>
      <c r="P10" s="225"/>
      <c r="Q10" s="225"/>
      <c r="R10" s="225"/>
      <c r="S10" s="225"/>
      <c r="T10" s="225"/>
      <c r="U10" s="227"/>
      <c r="V10" s="227"/>
      <c r="W10" s="227"/>
      <c r="X10" s="228"/>
      <c r="Y10" s="226"/>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2707"/>
      <c r="BG10" s="2707"/>
      <c r="BH10" s="109"/>
      <c r="BI10" s="109"/>
      <c r="BJ10" s="109"/>
      <c r="BK10" s="109"/>
      <c r="BL10" s="111"/>
      <c r="BM10" s="111"/>
      <c r="BN10" s="111"/>
      <c r="BO10" s="111"/>
      <c r="BP10" s="112"/>
      <c r="BQ10" s="99"/>
      <c r="BR10" s="99"/>
      <c r="BS10" s="99"/>
      <c r="BT10" s="99"/>
      <c r="BU10" s="99"/>
      <c r="BV10" s="99"/>
      <c r="BW10" s="99"/>
      <c r="BX10" s="99"/>
      <c r="BY10" s="99"/>
      <c r="BZ10" s="99"/>
      <c r="CA10" s="99"/>
      <c r="CB10" s="99"/>
      <c r="CC10" s="99"/>
      <c r="CD10" s="99"/>
      <c r="CE10" s="99"/>
      <c r="CF10" s="99"/>
      <c r="CG10" s="99"/>
      <c r="CH10" s="99"/>
      <c r="CI10" s="99"/>
      <c r="CJ10" s="99"/>
    </row>
    <row r="11" spans="1:88" s="235" customFormat="1" ht="24" customHeight="1" x14ac:dyDescent="0.2">
      <c r="A11" s="2726"/>
      <c r="B11" s="2726"/>
      <c r="C11" s="2726"/>
      <c r="D11" s="229">
        <v>1</v>
      </c>
      <c r="E11" s="37" t="s">
        <v>275</v>
      </c>
      <c r="F11" s="230"/>
      <c r="G11" s="230"/>
      <c r="H11" s="230"/>
      <c r="I11" s="230"/>
      <c r="J11" s="230"/>
      <c r="K11" s="230"/>
      <c r="L11" s="230"/>
      <c r="M11" s="230"/>
      <c r="N11" s="230"/>
      <c r="O11" s="230"/>
      <c r="P11" s="230"/>
      <c r="Q11" s="230"/>
      <c r="R11" s="230"/>
      <c r="S11" s="230"/>
      <c r="T11" s="230"/>
      <c r="U11" s="231"/>
      <c r="V11" s="231"/>
      <c r="W11" s="231"/>
      <c r="X11" s="232"/>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3"/>
      <c r="BM11" s="233"/>
      <c r="BN11" s="233"/>
      <c r="BO11" s="233"/>
      <c r="BP11" s="234"/>
    </row>
    <row r="12" spans="1:88" s="99" customFormat="1" ht="24" customHeight="1" x14ac:dyDescent="0.2">
      <c r="A12" s="2726"/>
      <c r="B12" s="2726"/>
      <c r="C12" s="2726"/>
      <c r="D12" s="236"/>
      <c r="E12" s="237"/>
      <c r="F12" s="238"/>
      <c r="G12" s="239">
        <v>2</v>
      </c>
      <c r="H12" s="240" t="s">
        <v>276</v>
      </c>
      <c r="I12" s="130"/>
      <c r="J12" s="130"/>
      <c r="K12" s="125"/>
      <c r="L12" s="125"/>
      <c r="M12" s="129"/>
      <c r="N12" s="129"/>
      <c r="O12" s="125"/>
      <c r="P12" s="125"/>
      <c r="Q12" s="125"/>
      <c r="R12" s="125"/>
      <c r="S12" s="125"/>
      <c r="T12" s="125"/>
      <c r="U12" s="125"/>
      <c r="V12" s="241"/>
      <c r="W12" s="241"/>
      <c r="X12" s="241"/>
      <c r="Y12" s="128"/>
      <c r="Z12" s="129"/>
      <c r="AA12" s="130"/>
      <c r="AB12" s="130"/>
      <c r="AC12" s="130"/>
      <c r="AD12" s="130"/>
      <c r="AE12" s="130"/>
      <c r="AF12" s="130"/>
      <c r="AG12" s="130"/>
      <c r="AH12" s="130"/>
      <c r="AI12" s="130"/>
      <c r="AJ12" s="130"/>
      <c r="AK12" s="130"/>
      <c r="AL12" s="130"/>
      <c r="AM12" s="130"/>
      <c r="AN12" s="130"/>
      <c r="AO12" s="130"/>
      <c r="AP12" s="130"/>
      <c r="AQ12" s="131"/>
      <c r="AR12" s="131"/>
      <c r="AS12" s="125"/>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242"/>
    </row>
    <row r="13" spans="1:88" s="51" customFormat="1" ht="77.25" customHeight="1" x14ac:dyDescent="0.2">
      <c r="A13" s="2726"/>
      <c r="B13" s="2726"/>
      <c r="C13" s="2726"/>
      <c r="D13" s="2727"/>
      <c r="E13" s="2728"/>
      <c r="F13" s="2729"/>
      <c r="G13" s="2733"/>
      <c r="H13" s="2481"/>
      <c r="I13" s="2481">
        <v>9</v>
      </c>
      <c r="J13" s="2476" t="s">
        <v>277</v>
      </c>
      <c r="K13" s="2475" t="s">
        <v>278</v>
      </c>
      <c r="L13" s="2407"/>
      <c r="M13" s="69" t="s">
        <v>279</v>
      </c>
      <c r="N13" s="2407" t="s">
        <v>280</v>
      </c>
      <c r="O13" s="2476" t="s">
        <v>281</v>
      </c>
      <c r="P13" s="2724">
        <f>(U13+U14)/Q13</f>
        <v>1</v>
      </c>
      <c r="Q13" s="2674">
        <f>SUM(U13:U14)</f>
        <v>80250000</v>
      </c>
      <c r="R13" s="2525" t="s">
        <v>282</v>
      </c>
      <c r="S13" s="243" t="s">
        <v>283</v>
      </c>
      <c r="T13" s="2525" t="s">
        <v>284</v>
      </c>
      <c r="U13" s="244">
        <v>76050000</v>
      </c>
      <c r="V13" s="244"/>
      <c r="W13" s="244"/>
      <c r="X13" s="245" t="s">
        <v>285</v>
      </c>
      <c r="Y13" s="69" t="s">
        <v>286</v>
      </c>
      <c r="Z13" s="2676">
        <v>295972</v>
      </c>
      <c r="AA13" s="246"/>
      <c r="AB13" s="2676">
        <v>285580</v>
      </c>
      <c r="AC13" s="246"/>
      <c r="AD13" s="2676">
        <v>135545</v>
      </c>
      <c r="AE13" s="246"/>
      <c r="AF13" s="2676">
        <v>44254</v>
      </c>
      <c r="AG13" s="246"/>
      <c r="AH13" s="2676">
        <v>309146</v>
      </c>
      <c r="AI13" s="246"/>
      <c r="AJ13" s="2676">
        <v>92607</v>
      </c>
      <c r="AK13" s="246"/>
      <c r="AL13" s="2676">
        <v>2145</v>
      </c>
      <c r="AM13" s="246"/>
      <c r="AN13" s="2676">
        <v>12718</v>
      </c>
      <c r="AO13" s="246"/>
      <c r="AP13" s="2676">
        <v>26</v>
      </c>
      <c r="AQ13" s="246"/>
      <c r="AR13" s="2676">
        <v>37</v>
      </c>
      <c r="AS13" s="246"/>
      <c r="AT13" s="2676">
        <v>0</v>
      </c>
      <c r="AU13" s="246"/>
      <c r="AV13" s="2676">
        <v>0</v>
      </c>
      <c r="AW13" s="246"/>
      <c r="AX13" s="2676">
        <v>44350</v>
      </c>
      <c r="AY13" s="246"/>
      <c r="AZ13" s="2676">
        <v>21944</v>
      </c>
      <c r="BA13" s="246"/>
      <c r="BB13" s="2676">
        <v>75687</v>
      </c>
      <c r="BC13" s="246"/>
      <c r="BD13" s="2676">
        <f>SUM(AD13:AJ13)</f>
        <v>581552</v>
      </c>
      <c r="BE13" s="246"/>
      <c r="BF13" s="246"/>
      <c r="BG13" s="246"/>
      <c r="BH13" s="246"/>
      <c r="BI13" s="246"/>
      <c r="BJ13" s="246"/>
      <c r="BK13" s="246"/>
      <c r="BL13" s="2679">
        <v>43832</v>
      </c>
      <c r="BM13" s="2675"/>
      <c r="BN13" s="2679">
        <v>44196</v>
      </c>
      <c r="BO13" s="2675"/>
      <c r="BP13" s="2701" t="s">
        <v>287</v>
      </c>
    </row>
    <row r="14" spans="1:88" s="51" customFormat="1" ht="131.25" customHeight="1" x14ac:dyDescent="0.2">
      <c r="A14" s="2726"/>
      <c r="B14" s="2726"/>
      <c r="C14" s="2726"/>
      <c r="D14" s="2727"/>
      <c r="E14" s="2728"/>
      <c r="F14" s="2729"/>
      <c r="G14" s="2734"/>
      <c r="H14" s="2436"/>
      <c r="I14" s="2436"/>
      <c r="J14" s="2552"/>
      <c r="K14" s="2476"/>
      <c r="L14" s="2481"/>
      <c r="M14" s="63" t="s">
        <v>288</v>
      </c>
      <c r="N14" s="2481"/>
      <c r="O14" s="2552"/>
      <c r="P14" s="2725"/>
      <c r="Q14" s="2696"/>
      <c r="R14" s="2437"/>
      <c r="S14" s="248" t="s">
        <v>289</v>
      </c>
      <c r="T14" s="2437"/>
      <c r="U14" s="249">
        <v>4200000</v>
      </c>
      <c r="V14" s="249"/>
      <c r="W14" s="249"/>
      <c r="X14" s="250">
        <v>27</v>
      </c>
      <c r="Y14" s="63" t="s">
        <v>290</v>
      </c>
      <c r="Z14" s="2678"/>
      <c r="AA14" s="251"/>
      <c r="AB14" s="2678"/>
      <c r="AC14" s="251"/>
      <c r="AD14" s="2678"/>
      <c r="AE14" s="251"/>
      <c r="AF14" s="2678"/>
      <c r="AG14" s="251"/>
      <c r="AH14" s="2678"/>
      <c r="AI14" s="251"/>
      <c r="AJ14" s="2678"/>
      <c r="AK14" s="251"/>
      <c r="AL14" s="2678"/>
      <c r="AM14" s="251"/>
      <c r="AN14" s="2678"/>
      <c r="AO14" s="251"/>
      <c r="AP14" s="2678"/>
      <c r="AQ14" s="251"/>
      <c r="AR14" s="2678"/>
      <c r="AS14" s="251"/>
      <c r="AT14" s="2678"/>
      <c r="AU14" s="251"/>
      <c r="AV14" s="2678"/>
      <c r="AW14" s="251"/>
      <c r="AX14" s="2678"/>
      <c r="AY14" s="251"/>
      <c r="AZ14" s="2678"/>
      <c r="BA14" s="251"/>
      <c r="BB14" s="2678"/>
      <c r="BC14" s="251"/>
      <c r="BD14" s="2678"/>
      <c r="BE14" s="251"/>
      <c r="BF14" s="251"/>
      <c r="BG14" s="251"/>
      <c r="BH14" s="251"/>
      <c r="BI14" s="251"/>
      <c r="BJ14" s="251"/>
      <c r="BK14" s="251"/>
      <c r="BL14" s="2679"/>
      <c r="BM14" s="2488"/>
      <c r="BN14" s="2679"/>
      <c r="BO14" s="2488"/>
      <c r="BP14" s="2701"/>
    </row>
    <row r="15" spans="1:88" s="51" customFormat="1" ht="57" x14ac:dyDescent="0.2">
      <c r="A15" s="2726"/>
      <c r="B15" s="2726"/>
      <c r="C15" s="2726"/>
      <c r="D15" s="2727"/>
      <c r="E15" s="2728"/>
      <c r="F15" s="2729"/>
      <c r="G15" s="2702"/>
      <c r="H15" s="2445"/>
      <c r="I15" s="2436">
        <v>9</v>
      </c>
      <c r="J15" s="2437" t="s">
        <v>277</v>
      </c>
      <c r="K15" s="2437" t="s">
        <v>278</v>
      </c>
      <c r="L15" s="2436"/>
      <c r="M15" s="2436" t="s">
        <v>291</v>
      </c>
      <c r="N15" s="2436" t="s">
        <v>292</v>
      </c>
      <c r="O15" s="2437" t="s">
        <v>293</v>
      </c>
      <c r="P15" s="2600">
        <f>+U15/Q15</f>
        <v>1</v>
      </c>
      <c r="Q15" s="2696">
        <f>SUM(U15)</f>
        <v>1044000000</v>
      </c>
      <c r="R15" s="2437" t="s">
        <v>294</v>
      </c>
      <c r="S15" s="248" t="s">
        <v>295</v>
      </c>
      <c r="T15" s="2699" t="s">
        <v>296</v>
      </c>
      <c r="U15" s="2696">
        <v>1044000000</v>
      </c>
      <c r="V15" s="2673"/>
      <c r="W15" s="2673"/>
      <c r="X15" s="250">
        <v>27</v>
      </c>
      <c r="Y15" s="2436" t="s">
        <v>290</v>
      </c>
      <c r="Z15" s="2676">
        <v>295972</v>
      </c>
      <c r="AA15" s="246"/>
      <c r="AB15" s="2676">
        <v>285580</v>
      </c>
      <c r="AC15" s="246"/>
      <c r="AD15" s="2676">
        <v>135545</v>
      </c>
      <c r="AE15" s="246"/>
      <c r="AF15" s="2676">
        <v>44254</v>
      </c>
      <c r="AG15" s="246"/>
      <c r="AH15" s="2676">
        <v>309146</v>
      </c>
      <c r="AI15" s="246"/>
      <c r="AJ15" s="2676">
        <v>92607</v>
      </c>
      <c r="AK15" s="246"/>
      <c r="AL15" s="2676">
        <v>2145</v>
      </c>
      <c r="AM15" s="246"/>
      <c r="AN15" s="2676">
        <v>12718</v>
      </c>
      <c r="AO15" s="246"/>
      <c r="AP15" s="2676">
        <v>26</v>
      </c>
      <c r="AQ15" s="246"/>
      <c r="AR15" s="2676">
        <v>37</v>
      </c>
      <c r="AS15" s="246"/>
      <c r="AT15" s="2676">
        <v>0</v>
      </c>
      <c r="AU15" s="246"/>
      <c r="AV15" s="2676">
        <v>0</v>
      </c>
      <c r="AW15" s="246"/>
      <c r="AX15" s="2676">
        <v>44350</v>
      </c>
      <c r="AY15" s="246"/>
      <c r="AZ15" s="2676">
        <v>21944</v>
      </c>
      <c r="BA15" s="246"/>
      <c r="BB15" s="2676">
        <v>75687</v>
      </c>
      <c r="BC15" s="246"/>
      <c r="BD15" s="2676">
        <f>SUM(AD15:AJ15)</f>
        <v>581552</v>
      </c>
      <c r="BE15" s="246"/>
      <c r="BF15" s="246"/>
      <c r="BG15" s="246"/>
      <c r="BH15" s="246"/>
      <c r="BI15" s="246"/>
      <c r="BJ15" s="246"/>
      <c r="BK15" s="246"/>
      <c r="BL15" s="2679">
        <v>43832</v>
      </c>
      <c r="BM15" s="2675"/>
      <c r="BN15" s="2679">
        <v>44196</v>
      </c>
      <c r="BO15" s="2675"/>
      <c r="BP15" s="2701"/>
    </row>
    <row r="16" spans="1:88" s="51" customFormat="1" ht="42.75" x14ac:dyDescent="0.2">
      <c r="A16" s="2726"/>
      <c r="B16" s="2726"/>
      <c r="C16" s="2726"/>
      <c r="D16" s="2727"/>
      <c r="E16" s="2728"/>
      <c r="F16" s="2729"/>
      <c r="G16" s="2702"/>
      <c r="H16" s="2445"/>
      <c r="I16" s="2436"/>
      <c r="J16" s="2437"/>
      <c r="K16" s="2437"/>
      <c r="L16" s="2436"/>
      <c r="M16" s="2436"/>
      <c r="N16" s="2436"/>
      <c r="O16" s="2437"/>
      <c r="P16" s="2600"/>
      <c r="Q16" s="2696"/>
      <c r="R16" s="2437"/>
      <c r="S16" s="248" t="s">
        <v>297</v>
      </c>
      <c r="T16" s="2700"/>
      <c r="U16" s="2696"/>
      <c r="V16" s="2674"/>
      <c r="W16" s="2674"/>
      <c r="X16" s="250">
        <v>27</v>
      </c>
      <c r="Y16" s="2436"/>
      <c r="Z16" s="2678"/>
      <c r="AA16" s="251"/>
      <c r="AB16" s="2678"/>
      <c r="AC16" s="251"/>
      <c r="AD16" s="2678"/>
      <c r="AE16" s="251"/>
      <c r="AF16" s="2678"/>
      <c r="AG16" s="251"/>
      <c r="AH16" s="2678"/>
      <c r="AI16" s="251"/>
      <c r="AJ16" s="2678"/>
      <c r="AK16" s="251"/>
      <c r="AL16" s="2678"/>
      <c r="AM16" s="251"/>
      <c r="AN16" s="2678"/>
      <c r="AO16" s="251"/>
      <c r="AP16" s="2678"/>
      <c r="AQ16" s="251"/>
      <c r="AR16" s="2678"/>
      <c r="AS16" s="251"/>
      <c r="AT16" s="2678"/>
      <c r="AU16" s="251"/>
      <c r="AV16" s="2678"/>
      <c r="AW16" s="251"/>
      <c r="AX16" s="2678"/>
      <c r="AY16" s="251"/>
      <c r="AZ16" s="2678"/>
      <c r="BA16" s="251"/>
      <c r="BB16" s="2678"/>
      <c r="BC16" s="251"/>
      <c r="BD16" s="2678"/>
      <c r="BE16" s="251"/>
      <c r="BF16" s="251"/>
      <c r="BG16" s="251"/>
      <c r="BH16" s="251"/>
      <c r="BI16" s="251"/>
      <c r="BJ16" s="251"/>
      <c r="BK16" s="251"/>
      <c r="BL16" s="2679"/>
      <c r="BM16" s="2488"/>
      <c r="BN16" s="2679"/>
      <c r="BO16" s="2488"/>
      <c r="BP16" s="2701"/>
    </row>
    <row r="17" spans="1:72" s="140" customFormat="1" ht="28.5" x14ac:dyDescent="0.2">
      <c r="A17" s="2726"/>
      <c r="B17" s="2726"/>
      <c r="C17" s="2726"/>
      <c r="D17" s="2727"/>
      <c r="E17" s="2728"/>
      <c r="F17" s="2729"/>
      <c r="G17" s="2697"/>
      <c r="H17" s="2437"/>
      <c r="I17" s="2436">
        <v>10</v>
      </c>
      <c r="J17" s="2437" t="s">
        <v>298</v>
      </c>
      <c r="K17" s="2437" t="s">
        <v>299</v>
      </c>
      <c r="L17" s="2436"/>
      <c r="M17" s="2436" t="s">
        <v>300</v>
      </c>
      <c r="N17" s="2436" t="s">
        <v>301</v>
      </c>
      <c r="O17" s="2437" t="s">
        <v>302</v>
      </c>
      <c r="P17" s="2698">
        <f>U17/Q17</f>
        <v>1</v>
      </c>
      <c r="Q17" s="2696">
        <f>+U17</f>
        <v>80000000</v>
      </c>
      <c r="R17" s="2437" t="s">
        <v>303</v>
      </c>
      <c r="S17" s="143" t="s">
        <v>304</v>
      </c>
      <c r="T17" s="2437" t="s">
        <v>305</v>
      </c>
      <c r="U17" s="2696">
        <v>80000000</v>
      </c>
      <c r="V17" s="2673"/>
      <c r="W17" s="2673"/>
      <c r="X17" s="2445">
        <v>27</v>
      </c>
      <c r="Y17" s="2437" t="s">
        <v>290</v>
      </c>
      <c r="Z17" s="2676">
        <v>295972</v>
      </c>
      <c r="AA17" s="246"/>
      <c r="AB17" s="2676">
        <v>285580</v>
      </c>
      <c r="AC17" s="246"/>
      <c r="AD17" s="2676">
        <v>135545</v>
      </c>
      <c r="AE17" s="246"/>
      <c r="AF17" s="2676">
        <v>44254</v>
      </c>
      <c r="AG17" s="246"/>
      <c r="AH17" s="2676">
        <v>309146</v>
      </c>
      <c r="AI17" s="246"/>
      <c r="AJ17" s="2676">
        <v>92607</v>
      </c>
      <c r="AK17" s="246"/>
      <c r="AL17" s="2676">
        <v>2145</v>
      </c>
      <c r="AM17" s="246"/>
      <c r="AN17" s="2676">
        <v>12718</v>
      </c>
      <c r="AO17" s="246"/>
      <c r="AP17" s="2676">
        <v>26</v>
      </c>
      <c r="AQ17" s="246"/>
      <c r="AR17" s="2676">
        <v>37</v>
      </c>
      <c r="AS17" s="246"/>
      <c r="AT17" s="2676">
        <v>0</v>
      </c>
      <c r="AU17" s="246"/>
      <c r="AV17" s="2676">
        <v>0</v>
      </c>
      <c r="AW17" s="246"/>
      <c r="AX17" s="2676">
        <v>44350</v>
      </c>
      <c r="AY17" s="246"/>
      <c r="AZ17" s="2676">
        <v>21944</v>
      </c>
      <c r="BA17" s="246"/>
      <c r="BB17" s="2676">
        <v>75687</v>
      </c>
      <c r="BC17" s="246"/>
      <c r="BD17" s="2676">
        <f>SUM(AD17:AJ17)</f>
        <v>581552</v>
      </c>
      <c r="BE17" s="246"/>
      <c r="BF17" s="246"/>
      <c r="BG17" s="246"/>
      <c r="BH17" s="246"/>
      <c r="BI17" s="246"/>
      <c r="BJ17" s="246"/>
      <c r="BK17" s="246"/>
      <c r="BL17" s="2679">
        <v>43832</v>
      </c>
      <c r="BM17" s="2675"/>
      <c r="BN17" s="2679">
        <v>44196</v>
      </c>
      <c r="BO17" s="2675"/>
      <c r="BP17" s="2701"/>
    </row>
    <row r="18" spans="1:72" s="140" customFormat="1" ht="42.75" x14ac:dyDescent="0.2">
      <c r="A18" s="2726"/>
      <c r="B18" s="2726"/>
      <c r="C18" s="2726"/>
      <c r="D18" s="2727"/>
      <c r="E18" s="2728"/>
      <c r="F18" s="2729"/>
      <c r="G18" s="2697"/>
      <c r="H18" s="2437"/>
      <c r="I18" s="2436"/>
      <c r="J18" s="2437"/>
      <c r="K18" s="2437"/>
      <c r="L18" s="2436"/>
      <c r="M18" s="2436"/>
      <c r="N18" s="2436"/>
      <c r="O18" s="2437"/>
      <c r="P18" s="2436"/>
      <c r="Q18" s="2696"/>
      <c r="R18" s="2437"/>
      <c r="S18" s="143" t="s">
        <v>306</v>
      </c>
      <c r="T18" s="2437"/>
      <c r="U18" s="2696"/>
      <c r="V18" s="2674"/>
      <c r="W18" s="2674"/>
      <c r="X18" s="2445"/>
      <c r="Y18" s="2437"/>
      <c r="Z18" s="2678"/>
      <c r="AA18" s="251"/>
      <c r="AB18" s="2678"/>
      <c r="AC18" s="251"/>
      <c r="AD18" s="2678"/>
      <c r="AE18" s="251"/>
      <c r="AF18" s="2678"/>
      <c r="AG18" s="251"/>
      <c r="AH18" s="2678"/>
      <c r="AI18" s="251"/>
      <c r="AJ18" s="2678"/>
      <c r="AK18" s="251"/>
      <c r="AL18" s="2678"/>
      <c r="AM18" s="251"/>
      <c r="AN18" s="2678"/>
      <c r="AO18" s="251"/>
      <c r="AP18" s="2678"/>
      <c r="AQ18" s="251"/>
      <c r="AR18" s="2678"/>
      <c r="AS18" s="251"/>
      <c r="AT18" s="2678"/>
      <c r="AU18" s="251"/>
      <c r="AV18" s="2678"/>
      <c r="AW18" s="251"/>
      <c r="AX18" s="2678"/>
      <c r="AY18" s="251"/>
      <c r="AZ18" s="2678"/>
      <c r="BA18" s="251"/>
      <c r="BB18" s="2678"/>
      <c r="BC18" s="251"/>
      <c r="BD18" s="2678"/>
      <c r="BE18" s="251"/>
      <c r="BF18" s="251"/>
      <c r="BG18" s="251"/>
      <c r="BH18" s="251"/>
      <c r="BI18" s="251"/>
      <c r="BJ18" s="251"/>
      <c r="BK18" s="251"/>
      <c r="BL18" s="2679"/>
      <c r="BM18" s="2488"/>
      <c r="BN18" s="2679"/>
      <c r="BO18" s="2488"/>
      <c r="BP18" s="2701"/>
    </row>
    <row r="19" spans="1:72" s="140" customFormat="1" ht="399" x14ac:dyDescent="0.2">
      <c r="A19" s="2726"/>
      <c r="B19" s="2726"/>
      <c r="C19" s="2726"/>
      <c r="D19" s="2727"/>
      <c r="E19" s="2728"/>
      <c r="F19" s="2729"/>
      <c r="G19" s="2734"/>
      <c r="H19" s="2436"/>
      <c r="I19" s="63">
        <v>11</v>
      </c>
      <c r="J19" s="143" t="s">
        <v>307</v>
      </c>
      <c r="K19" s="143" t="s">
        <v>308</v>
      </c>
      <c r="L19" s="63"/>
      <c r="M19" s="63" t="s">
        <v>309</v>
      </c>
      <c r="N19" s="63" t="s">
        <v>310</v>
      </c>
      <c r="O19" s="143" t="s">
        <v>311</v>
      </c>
      <c r="P19" s="252">
        <f>+U19/Q19</f>
        <v>1</v>
      </c>
      <c r="Q19" s="60">
        <f>SUM(U19)</f>
        <v>200000000</v>
      </c>
      <c r="R19" s="143" t="s">
        <v>312</v>
      </c>
      <c r="S19" s="143" t="s">
        <v>313</v>
      </c>
      <c r="T19" s="143" t="s">
        <v>314</v>
      </c>
      <c r="U19" s="60">
        <v>200000000</v>
      </c>
      <c r="V19" s="60"/>
      <c r="W19" s="60"/>
      <c r="X19" s="250">
        <v>27</v>
      </c>
      <c r="Y19" s="143" t="s">
        <v>290</v>
      </c>
      <c r="Z19" s="253">
        <v>295972</v>
      </c>
      <c r="AA19" s="253"/>
      <c r="AB19" s="253">
        <v>285580</v>
      </c>
      <c r="AC19" s="253"/>
      <c r="AD19" s="253">
        <v>135545</v>
      </c>
      <c r="AE19" s="253"/>
      <c r="AF19" s="253">
        <v>44254</v>
      </c>
      <c r="AG19" s="253"/>
      <c r="AH19" s="253">
        <v>309146</v>
      </c>
      <c r="AI19" s="253"/>
      <c r="AJ19" s="253">
        <v>92607</v>
      </c>
      <c r="AK19" s="253"/>
      <c r="AL19" s="253">
        <v>2145</v>
      </c>
      <c r="AM19" s="253"/>
      <c r="AN19" s="253">
        <v>12718</v>
      </c>
      <c r="AO19" s="253"/>
      <c r="AP19" s="253">
        <v>26</v>
      </c>
      <c r="AQ19" s="253"/>
      <c r="AR19" s="253">
        <v>37</v>
      </c>
      <c r="AS19" s="253"/>
      <c r="AT19" s="253"/>
      <c r="AU19" s="253"/>
      <c r="AV19" s="253"/>
      <c r="AW19" s="253"/>
      <c r="AX19" s="253">
        <v>44350</v>
      </c>
      <c r="AY19" s="253"/>
      <c r="AZ19" s="253">
        <v>21944</v>
      </c>
      <c r="BA19" s="253"/>
      <c r="BB19" s="253">
        <v>75687</v>
      </c>
      <c r="BC19" s="253"/>
      <c r="BD19" s="253">
        <f>SUM(AD19:AJ19)</f>
        <v>581552</v>
      </c>
      <c r="BE19" s="253"/>
      <c r="BF19" s="253"/>
      <c r="BG19" s="253"/>
      <c r="BH19" s="253"/>
      <c r="BI19" s="253"/>
      <c r="BJ19" s="253"/>
      <c r="BK19" s="253"/>
      <c r="BL19" s="254">
        <v>43832</v>
      </c>
      <c r="BM19" s="254"/>
      <c r="BN19" s="254">
        <v>44196</v>
      </c>
      <c r="BO19" s="254"/>
      <c r="BP19" s="2701"/>
    </row>
    <row r="20" spans="1:72" s="140" customFormat="1" ht="57" x14ac:dyDescent="0.2">
      <c r="A20" s="2726"/>
      <c r="B20" s="2726"/>
      <c r="C20" s="2726"/>
      <c r="D20" s="2727"/>
      <c r="E20" s="2728"/>
      <c r="F20" s="2729"/>
      <c r="G20" s="2734"/>
      <c r="H20" s="2436"/>
      <c r="I20" s="2436">
        <v>12</v>
      </c>
      <c r="J20" s="2437" t="s">
        <v>315</v>
      </c>
      <c r="K20" s="2437" t="s">
        <v>316</v>
      </c>
      <c r="L20" s="2436"/>
      <c r="M20" s="2436" t="s">
        <v>317</v>
      </c>
      <c r="N20" s="2436" t="s">
        <v>318</v>
      </c>
      <c r="O20" s="2437" t="s">
        <v>319</v>
      </c>
      <c r="P20" s="2671">
        <f>(+U20+U21)/Q20</f>
        <v>1</v>
      </c>
      <c r="Q20" s="2673">
        <f>SUM(U20:U21)</f>
        <v>1145000000</v>
      </c>
      <c r="R20" s="2437" t="s">
        <v>320</v>
      </c>
      <c r="S20" s="143" t="s">
        <v>321</v>
      </c>
      <c r="T20" s="143" t="s">
        <v>322</v>
      </c>
      <c r="U20" s="60">
        <v>1000000000</v>
      </c>
      <c r="V20" s="60"/>
      <c r="W20" s="60"/>
      <c r="X20" s="250">
        <v>27</v>
      </c>
      <c r="Y20" s="163" t="s">
        <v>290</v>
      </c>
      <c r="Z20" s="2676">
        <v>285580</v>
      </c>
      <c r="AA20" s="246"/>
      <c r="AB20" s="2676">
        <v>135545</v>
      </c>
      <c r="AC20" s="246"/>
      <c r="AD20" s="2676">
        <v>44254</v>
      </c>
      <c r="AE20" s="246"/>
      <c r="AF20" s="2676">
        <v>309146</v>
      </c>
      <c r="AG20" s="246"/>
      <c r="AH20" s="2676">
        <v>92607</v>
      </c>
      <c r="AI20" s="246"/>
      <c r="AJ20" s="2676">
        <v>2145</v>
      </c>
      <c r="AK20" s="246"/>
      <c r="AL20" s="2676">
        <v>12718</v>
      </c>
      <c r="AM20" s="246"/>
      <c r="AN20" s="2676">
        <v>26</v>
      </c>
      <c r="AO20" s="246"/>
      <c r="AP20" s="2676">
        <v>37</v>
      </c>
      <c r="AQ20" s="246"/>
      <c r="AR20" s="2676">
        <v>0</v>
      </c>
      <c r="AS20" s="246"/>
      <c r="AT20" s="2676">
        <v>0</v>
      </c>
      <c r="AU20" s="246"/>
      <c r="AV20" s="2676">
        <v>44350</v>
      </c>
      <c r="AW20" s="246"/>
      <c r="AX20" s="2676">
        <v>21944</v>
      </c>
      <c r="AY20" s="246"/>
      <c r="AZ20" s="2676">
        <v>75687</v>
      </c>
      <c r="BA20" s="246"/>
      <c r="BB20" s="2676">
        <f>SUM(AB20:AH20)</f>
        <v>581552</v>
      </c>
      <c r="BC20" s="246"/>
      <c r="BD20" s="2480">
        <v>578268</v>
      </c>
      <c r="BE20" s="2666"/>
      <c r="BF20" s="2666"/>
      <c r="BG20" s="2666"/>
      <c r="BH20" s="2666"/>
      <c r="BI20" s="2666"/>
      <c r="BJ20" s="2666"/>
      <c r="BK20" s="2666"/>
      <c r="BL20" s="2679">
        <v>43832</v>
      </c>
      <c r="BM20" s="2675"/>
      <c r="BN20" s="2679">
        <v>44196</v>
      </c>
      <c r="BO20" s="2675"/>
      <c r="BP20" s="2701"/>
    </row>
    <row r="21" spans="1:72" s="51" customFormat="1" ht="90.75" customHeight="1" x14ac:dyDescent="0.2">
      <c r="A21" s="2726"/>
      <c r="B21" s="2726"/>
      <c r="C21" s="2726"/>
      <c r="D21" s="2727"/>
      <c r="E21" s="2728"/>
      <c r="F21" s="2729"/>
      <c r="G21" s="2734"/>
      <c r="H21" s="2436"/>
      <c r="I21" s="2436"/>
      <c r="J21" s="2437"/>
      <c r="K21" s="2437"/>
      <c r="L21" s="2436"/>
      <c r="M21" s="2436"/>
      <c r="N21" s="2436"/>
      <c r="O21" s="2437"/>
      <c r="P21" s="2672"/>
      <c r="Q21" s="2674"/>
      <c r="R21" s="2437"/>
      <c r="S21" s="143" t="s">
        <v>323</v>
      </c>
      <c r="T21" s="143" t="s">
        <v>324</v>
      </c>
      <c r="U21" s="255">
        <v>145000000</v>
      </c>
      <c r="V21" s="255"/>
      <c r="W21" s="255"/>
      <c r="X21" s="250">
        <v>27</v>
      </c>
      <c r="Y21" s="163" t="s">
        <v>290</v>
      </c>
      <c r="Z21" s="2678"/>
      <c r="AA21" s="251"/>
      <c r="AB21" s="2678"/>
      <c r="AC21" s="251"/>
      <c r="AD21" s="2678"/>
      <c r="AE21" s="251"/>
      <c r="AF21" s="2678"/>
      <c r="AG21" s="251"/>
      <c r="AH21" s="2678"/>
      <c r="AI21" s="251"/>
      <c r="AJ21" s="2678"/>
      <c r="AK21" s="251"/>
      <c r="AL21" s="2678"/>
      <c r="AM21" s="251"/>
      <c r="AN21" s="2678"/>
      <c r="AO21" s="251"/>
      <c r="AP21" s="2678"/>
      <c r="AQ21" s="251"/>
      <c r="AR21" s="2678"/>
      <c r="AS21" s="251"/>
      <c r="AT21" s="2678"/>
      <c r="AU21" s="251"/>
      <c r="AV21" s="2678"/>
      <c r="AW21" s="251"/>
      <c r="AX21" s="2678"/>
      <c r="AY21" s="251"/>
      <c r="AZ21" s="2678"/>
      <c r="BA21" s="251"/>
      <c r="BB21" s="2678"/>
      <c r="BC21" s="251"/>
      <c r="BD21" s="2480"/>
      <c r="BE21" s="2426"/>
      <c r="BF21" s="2426"/>
      <c r="BG21" s="2426"/>
      <c r="BH21" s="2426"/>
      <c r="BI21" s="2426"/>
      <c r="BJ21" s="2426"/>
      <c r="BK21" s="2426"/>
      <c r="BL21" s="2679"/>
      <c r="BM21" s="2488"/>
      <c r="BN21" s="2679"/>
      <c r="BO21" s="2488"/>
      <c r="BP21" s="2701"/>
    </row>
    <row r="22" spans="1:72" s="140" customFormat="1" ht="57.75" customHeight="1" x14ac:dyDescent="0.2">
      <c r="A22" s="2726"/>
      <c r="B22" s="2726"/>
      <c r="C22" s="2726"/>
      <c r="D22" s="2727"/>
      <c r="E22" s="2728"/>
      <c r="F22" s="2729"/>
      <c r="G22" s="2734"/>
      <c r="H22" s="2436"/>
      <c r="I22" s="2436">
        <v>13</v>
      </c>
      <c r="J22" s="2437" t="s">
        <v>325</v>
      </c>
      <c r="K22" s="2437" t="s">
        <v>326</v>
      </c>
      <c r="L22" s="2436"/>
      <c r="M22" s="2436" t="s">
        <v>327</v>
      </c>
      <c r="N22" s="2436" t="s">
        <v>328</v>
      </c>
      <c r="O22" s="2437" t="s">
        <v>329</v>
      </c>
      <c r="P22" s="2671">
        <f>(+U22+U24+U23)/Q22</f>
        <v>1</v>
      </c>
      <c r="Q22" s="2673">
        <f>SUM(U22:U24)</f>
        <v>200000000</v>
      </c>
      <c r="R22" s="2437" t="s">
        <v>330</v>
      </c>
      <c r="S22" s="2680" t="s">
        <v>331</v>
      </c>
      <c r="T22" s="256" t="s">
        <v>332</v>
      </c>
      <c r="U22" s="60">
        <v>66000000</v>
      </c>
      <c r="V22" s="60"/>
      <c r="W22" s="60"/>
      <c r="X22" s="250">
        <v>27</v>
      </c>
      <c r="Y22" s="163" t="s">
        <v>290</v>
      </c>
      <c r="Z22" s="2676">
        <v>295972</v>
      </c>
      <c r="AA22" s="246"/>
      <c r="AB22" s="2676">
        <v>285580</v>
      </c>
      <c r="AC22" s="246"/>
      <c r="AD22" s="2676">
        <v>135545</v>
      </c>
      <c r="AE22" s="246"/>
      <c r="AF22" s="2676">
        <v>44254</v>
      </c>
      <c r="AG22" s="246"/>
      <c r="AH22" s="2676">
        <v>309146</v>
      </c>
      <c r="AI22" s="246"/>
      <c r="AJ22" s="2676">
        <v>92607</v>
      </c>
      <c r="AK22" s="246"/>
      <c r="AL22" s="2676">
        <v>2145</v>
      </c>
      <c r="AM22" s="246"/>
      <c r="AN22" s="2676">
        <v>12718</v>
      </c>
      <c r="AO22" s="246"/>
      <c r="AP22" s="2676">
        <v>26</v>
      </c>
      <c r="AQ22" s="246"/>
      <c r="AR22" s="2676">
        <v>37</v>
      </c>
      <c r="AS22" s="246"/>
      <c r="AT22" s="2676">
        <v>0</v>
      </c>
      <c r="AU22" s="246"/>
      <c r="AV22" s="2676">
        <v>0</v>
      </c>
      <c r="AW22" s="246"/>
      <c r="AX22" s="2676">
        <v>44350</v>
      </c>
      <c r="AY22" s="246"/>
      <c r="AZ22" s="2676">
        <v>21944</v>
      </c>
      <c r="BA22" s="246"/>
      <c r="BB22" s="2676">
        <v>75687</v>
      </c>
      <c r="BC22" s="246"/>
      <c r="BD22" s="2676">
        <f>SUM(AD22:AJ22)</f>
        <v>581552</v>
      </c>
      <c r="BE22" s="246"/>
      <c r="BF22" s="246"/>
      <c r="BG22" s="246"/>
      <c r="BH22" s="246"/>
      <c r="BI22" s="246"/>
      <c r="BJ22" s="246"/>
      <c r="BK22" s="246"/>
      <c r="BL22" s="2679">
        <v>43832</v>
      </c>
      <c r="BM22" s="2675"/>
      <c r="BN22" s="2679">
        <v>44196</v>
      </c>
      <c r="BO22" s="2675"/>
      <c r="BP22" s="2701"/>
    </row>
    <row r="23" spans="1:72" s="140" customFormat="1" ht="60" customHeight="1" x14ac:dyDescent="0.2">
      <c r="A23" s="2726"/>
      <c r="B23" s="2726"/>
      <c r="C23" s="2726"/>
      <c r="D23" s="2727"/>
      <c r="E23" s="2728"/>
      <c r="F23" s="2729"/>
      <c r="G23" s="2734"/>
      <c r="H23" s="2436"/>
      <c r="I23" s="2436"/>
      <c r="J23" s="2437"/>
      <c r="K23" s="2437"/>
      <c r="L23" s="2436"/>
      <c r="M23" s="2436"/>
      <c r="N23" s="2436"/>
      <c r="O23" s="2437"/>
      <c r="P23" s="2694"/>
      <c r="Q23" s="2695"/>
      <c r="R23" s="2437"/>
      <c r="S23" s="2525"/>
      <c r="T23" s="256" t="s">
        <v>333</v>
      </c>
      <c r="U23" s="60">
        <v>66000000</v>
      </c>
      <c r="V23" s="60"/>
      <c r="W23" s="60"/>
      <c r="X23" s="250">
        <v>27</v>
      </c>
      <c r="Y23" s="163" t="s">
        <v>290</v>
      </c>
      <c r="Z23" s="2677"/>
      <c r="AA23" s="257"/>
      <c r="AB23" s="2677"/>
      <c r="AC23" s="257"/>
      <c r="AD23" s="2677"/>
      <c r="AE23" s="257"/>
      <c r="AF23" s="2677"/>
      <c r="AG23" s="257"/>
      <c r="AH23" s="2677"/>
      <c r="AI23" s="257"/>
      <c r="AJ23" s="2677"/>
      <c r="AK23" s="257"/>
      <c r="AL23" s="2677"/>
      <c r="AM23" s="257"/>
      <c r="AN23" s="2677"/>
      <c r="AO23" s="257"/>
      <c r="AP23" s="2677"/>
      <c r="AQ23" s="257"/>
      <c r="AR23" s="2677"/>
      <c r="AS23" s="257"/>
      <c r="AT23" s="2677"/>
      <c r="AU23" s="257"/>
      <c r="AV23" s="2677"/>
      <c r="AW23" s="257"/>
      <c r="AX23" s="2677"/>
      <c r="AY23" s="257"/>
      <c r="AZ23" s="2677"/>
      <c r="BA23" s="257"/>
      <c r="BB23" s="2677"/>
      <c r="BC23" s="257"/>
      <c r="BD23" s="2677"/>
      <c r="BE23" s="257"/>
      <c r="BF23" s="257"/>
      <c r="BG23" s="257"/>
      <c r="BH23" s="257"/>
      <c r="BI23" s="257"/>
      <c r="BJ23" s="257"/>
      <c r="BK23" s="257"/>
      <c r="BL23" s="2679"/>
      <c r="BM23" s="2487"/>
      <c r="BN23" s="2679"/>
      <c r="BO23" s="2487"/>
      <c r="BP23" s="2701"/>
    </row>
    <row r="24" spans="1:72" s="51" customFormat="1" ht="117.75" customHeight="1" x14ac:dyDescent="0.2">
      <c r="A24" s="2726"/>
      <c r="B24" s="2726"/>
      <c r="C24" s="2726"/>
      <c r="D24" s="2730"/>
      <c r="E24" s="2731"/>
      <c r="F24" s="2732"/>
      <c r="G24" s="2734"/>
      <c r="H24" s="2436"/>
      <c r="I24" s="2436"/>
      <c r="J24" s="2437"/>
      <c r="K24" s="2437"/>
      <c r="L24" s="2436"/>
      <c r="M24" s="2436"/>
      <c r="N24" s="2436"/>
      <c r="O24" s="2437"/>
      <c r="P24" s="2672"/>
      <c r="Q24" s="2674"/>
      <c r="R24" s="2437"/>
      <c r="S24" s="143" t="s">
        <v>334</v>
      </c>
      <c r="T24" s="258" t="s">
        <v>335</v>
      </c>
      <c r="U24" s="255">
        <v>68000000</v>
      </c>
      <c r="V24" s="255"/>
      <c r="W24" s="255"/>
      <c r="X24" s="250">
        <v>27</v>
      </c>
      <c r="Y24" s="163" t="s">
        <v>290</v>
      </c>
      <c r="Z24" s="2678"/>
      <c r="AA24" s="251"/>
      <c r="AB24" s="2678"/>
      <c r="AC24" s="251"/>
      <c r="AD24" s="2678"/>
      <c r="AE24" s="251"/>
      <c r="AF24" s="2678"/>
      <c r="AG24" s="251"/>
      <c r="AH24" s="2678"/>
      <c r="AI24" s="251"/>
      <c r="AJ24" s="2678"/>
      <c r="AK24" s="251"/>
      <c r="AL24" s="2678"/>
      <c r="AM24" s="251"/>
      <c r="AN24" s="2678"/>
      <c r="AO24" s="251"/>
      <c r="AP24" s="2678"/>
      <c r="AQ24" s="251"/>
      <c r="AR24" s="2678"/>
      <c r="AS24" s="251"/>
      <c r="AT24" s="2678"/>
      <c r="AU24" s="251"/>
      <c r="AV24" s="2678"/>
      <c r="AW24" s="251"/>
      <c r="AX24" s="2678"/>
      <c r="AY24" s="251"/>
      <c r="AZ24" s="2678"/>
      <c r="BA24" s="251"/>
      <c r="BB24" s="2678"/>
      <c r="BC24" s="251"/>
      <c r="BD24" s="2678"/>
      <c r="BE24" s="251"/>
      <c r="BF24" s="251"/>
      <c r="BG24" s="251"/>
      <c r="BH24" s="251"/>
      <c r="BI24" s="251"/>
      <c r="BJ24" s="251"/>
      <c r="BK24" s="251"/>
      <c r="BL24" s="2679"/>
      <c r="BM24" s="2488"/>
      <c r="BN24" s="2679"/>
      <c r="BO24" s="2488"/>
      <c r="BP24" s="2701"/>
    </row>
    <row r="25" spans="1:72" ht="27" customHeight="1" x14ac:dyDescent="0.2">
      <c r="A25" s="259" t="s">
        <v>336</v>
      </c>
      <c r="B25" s="260" t="s">
        <v>337</v>
      </c>
      <c r="C25" s="260"/>
      <c r="D25" s="261"/>
      <c r="E25" s="261"/>
      <c r="F25" s="262"/>
      <c r="G25" s="263"/>
      <c r="H25" s="264"/>
      <c r="I25" s="265"/>
      <c r="J25" s="265"/>
      <c r="K25" s="265"/>
      <c r="L25" s="265"/>
      <c r="M25" s="265"/>
      <c r="N25" s="265"/>
      <c r="O25" s="265"/>
      <c r="P25" s="265"/>
      <c r="Q25" s="265"/>
      <c r="R25" s="265"/>
      <c r="S25" s="265"/>
      <c r="T25" s="265"/>
      <c r="U25" s="265"/>
      <c r="V25" s="265"/>
      <c r="W25" s="265"/>
      <c r="X25" s="265"/>
      <c r="Y25" s="265"/>
      <c r="Z25" s="265"/>
      <c r="AA25" s="265"/>
      <c r="AB25" s="265"/>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3"/>
      <c r="AZ25" s="267"/>
      <c r="BA25" s="267"/>
      <c r="BB25" s="267"/>
      <c r="BC25" s="268"/>
      <c r="BD25" s="269"/>
      <c r="BE25" s="269"/>
      <c r="BF25" s="269"/>
      <c r="BG25" s="269"/>
      <c r="BH25" s="269"/>
      <c r="BI25" s="269"/>
      <c r="BJ25" s="269"/>
      <c r="BK25" s="269"/>
      <c r="BL25" s="270"/>
      <c r="BM25" s="270"/>
      <c r="BN25" s="270"/>
      <c r="BO25" s="270"/>
      <c r="BP25" s="271"/>
      <c r="BQ25" s="272"/>
      <c r="BR25" s="272"/>
      <c r="BS25" s="272"/>
      <c r="BT25" s="272"/>
    </row>
    <row r="26" spans="1:72" ht="27" customHeight="1" x14ac:dyDescent="0.2">
      <c r="A26" s="2681" t="s">
        <v>320</v>
      </c>
      <c r="B26" s="2681"/>
      <c r="C26" s="2681"/>
      <c r="D26" s="273" t="s">
        <v>338</v>
      </c>
      <c r="E26" s="2682"/>
      <c r="F26" s="2682"/>
      <c r="G26" s="2682"/>
      <c r="H26" s="2682"/>
      <c r="I26" s="2682"/>
      <c r="J26" s="2682"/>
      <c r="K26" s="2682"/>
      <c r="L26" s="2682"/>
      <c r="M26" s="2682"/>
      <c r="N26" s="2682"/>
      <c r="O26" s="2682"/>
      <c r="P26" s="2682"/>
      <c r="Q26" s="2682"/>
      <c r="R26" s="2682"/>
      <c r="S26" s="274"/>
      <c r="T26" s="274"/>
      <c r="U26" s="275"/>
      <c r="V26" s="275"/>
      <c r="W26" s="275"/>
      <c r="X26" s="276"/>
      <c r="Y26" s="277"/>
      <c r="Z26" s="278"/>
      <c r="AA26" s="278"/>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80"/>
      <c r="BA26" s="280"/>
      <c r="BB26" s="280"/>
      <c r="BC26" s="281"/>
      <c r="BD26" s="282"/>
      <c r="BE26" s="282"/>
      <c r="BF26" s="282"/>
      <c r="BG26" s="282"/>
      <c r="BH26" s="282"/>
      <c r="BI26" s="282"/>
      <c r="BJ26" s="282"/>
      <c r="BK26" s="282"/>
      <c r="BL26" s="283"/>
      <c r="BM26" s="283"/>
      <c r="BN26" s="283"/>
      <c r="BO26" s="283"/>
      <c r="BP26" s="284"/>
      <c r="BQ26" s="272"/>
      <c r="BR26" s="272"/>
      <c r="BS26" s="272"/>
      <c r="BT26" s="272"/>
    </row>
    <row r="27" spans="1:72" ht="27" customHeight="1" x14ac:dyDescent="0.2">
      <c r="A27" s="2681"/>
      <c r="B27" s="2681"/>
      <c r="C27" s="2681"/>
      <c r="D27" s="2681" t="s">
        <v>320</v>
      </c>
      <c r="E27" s="2681"/>
      <c r="F27" s="2681"/>
      <c r="G27" s="285" t="s">
        <v>339</v>
      </c>
      <c r="H27" s="286" t="s">
        <v>340</v>
      </c>
      <c r="I27" s="286"/>
      <c r="J27" s="287"/>
      <c r="K27" s="287"/>
      <c r="L27" s="287"/>
      <c r="M27" s="287"/>
      <c r="N27" s="287"/>
      <c r="O27" s="287"/>
      <c r="P27" s="287"/>
      <c r="Q27" s="287"/>
      <c r="R27" s="287"/>
      <c r="S27" s="287"/>
      <c r="T27" s="287"/>
      <c r="U27" s="288"/>
      <c r="V27" s="288"/>
      <c r="W27" s="288"/>
      <c r="X27" s="289"/>
      <c r="Y27" s="290"/>
      <c r="Z27" s="291"/>
      <c r="AA27" s="291"/>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92"/>
      <c r="BA27" s="292"/>
      <c r="BB27" s="292"/>
      <c r="BC27" s="293"/>
      <c r="BD27" s="294"/>
      <c r="BE27" s="294"/>
      <c r="BF27" s="294"/>
      <c r="BG27" s="294"/>
      <c r="BH27" s="294"/>
      <c r="BI27" s="294"/>
      <c r="BJ27" s="294"/>
      <c r="BK27" s="294"/>
      <c r="BL27" s="295"/>
      <c r="BM27" s="295"/>
      <c r="BN27" s="295"/>
      <c r="BO27" s="295"/>
      <c r="BP27" s="296"/>
      <c r="BQ27" s="272"/>
      <c r="BR27" s="272"/>
      <c r="BS27" s="272"/>
      <c r="BT27" s="272"/>
    </row>
    <row r="28" spans="1:72" ht="30" customHeight="1" x14ac:dyDescent="0.2">
      <c r="A28" s="2681"/>
      <c r="B28" s="2681"/>
      <c r="C28" s="2681"/>
      <c r="D28" s="2681"/>
      <c r="E28" s="2681"/>
      <c r="F28" s="2681"/>
      <c r="G28" s="2683" t="s">
        <v>320</v>
      </c>
      <c r="H28" s="2684"/>
      <c r="I28" s="2687">
        <v>54</v>
      </c>
      <c r="J28" s="2689" t="s">
        <v>341</v>
      </c>
      <c r="K28" s="2646" t="s">
        <v>342</v>
      </c>
      <c r="L28" s="2627">
        <v>130</v>
      </c>
      <c r="M28" s="297"/>
      <c r="N28" s="2627" t="s">
        <v>343</v>
      </c>
      <c r="O28" s="2646" t="s">
        <v>344</v>
      </c>
      <c r="P28" s="2691">
        <f>SUM(U28:U47)/Q28</f>
        <v>1</v>
      </c>
      <c r="Q28" s="2648">
        <f>SUM(U28:U47)</f>
        <v>1356871847</v>
      </c>
      <c r="R28" s="2693" t="s">
        <v>345</v>
      </c>
      <c r="S28" s="2669" t="s">
        <v>346</v>
      </c>
      <c r="T28" s="298" t="s">
        <v>347</v>
      </c>
      <c r="U28" s="299">
        <v>85000000</v>
      </c>
      <c r="V28" s="299">
        <v>0</v>
      </c>
      <c r="W28" s="299">
        <v>0</v>
      </c>
      <c r="X28" s="300">
        <v>23</v>
      </c>
      <c r="Y28" s="301" t="s">
        <v>348</v>
      </c>
      <c r="Z28" s="2664">
        <v>295972</v>
      </c>
      <c r="AA28" s="302"/>
      <c r="AB28" s="2664">
        <v>285580</v>
      </c>
      <c r="AC28" s="302"/>
      <c r="AD28" s="2664">
        <v>135545</v>
      </c>
      <c r="AE28" s="302"/>
      <c r="AF28" s="2664">
        <v>44254</v>
      </c>
      <c r="AG28" s="302"/>
      <c r="AH28" s="2664">
        <v>309146</v>
      </c>
      <c r="AI28" s="302"/>
      <c r="AJ28" s="2664">
        <v>92607</v>
      </c>
      <c r="AK28" s="302"/>
      <c r="AL28" s="2664">
        <v>2145</v>
      </c>
      <c r="AM28" s="302"/>
      <c r="AN28" s="2664">
        <v>12718</v>
      </c>
      <c r="AO28" s="302"/>
      <c r="AP28" s="2664">
        <v>26</v>
      </c>
      <c r="AQ28" s="302"/>
      <c r="AR28" s="2664">
        <v>37</v>
      </c>
      <c r="AS28" s="302"/>
      <c r="AT28" s="2664">
        <v>0</v>
      </c>
      <c r="AU28" s="302"/>
      <c r="AV28" s="2664">
        <v>0</v>
      </c>
      <c r="AW28" s="302"/>
      <c r="AX28" s="2664">
        <v>44350</v>
      </c>
      <c r="AY28" s="302"/>
      <c r="AZ28" s="2664">
        <v>21944</v>
      </c>
      <c r="BA28" s="302"/>
      <c r="BB28" s="2664">
        <v>75687</v>
      </c>
      <c r="BC28" s="302"/>
      <c r="BD28" s="2664">
        <f>SUM(AD28:AJ28)</f>
        <v>581552</v>
      </c>
      <c r="BE28" s="2664"/>
      <c r="BF28" s="2664">
        <v>25</v>
      </c>
      <c r="BG28" s="2664">
        <v>151219332</v>
      </c>
      <c r="BH28" s="2664">
        <v>50058333</v>
      </c>
      <c r="BI28" s="2635">
        <f>BH28/BG28</f>
        <v>0.33103130623536942</v>
      </c>
      <c r="BJ28" s="2636" t="s">
        <v>349</v>
      </c>
      <c r="BK28" s="2666" t="s">
        <v>350</v>
      </c>
      <c r="BL28" s="2667">
        <v>43832</v>
      </c>
      <c r="BM28" s="2667">
        <v>43860</v>
      </c>
      <c r="BN28" s="2667">
        <v>44196</v>
      </c>
      <c r="BO28" s="2667">
        <v>44073</v>
      </c>
      <c r="BP28" s="2661" t="s">
        <v>287</v>
      </c>
      <c r="BQ28" s="272"/>
      <c r="BR28" s="272"/>
      <c r="BS28" s="272"/>
      <c r="BT28" s="272"/>
    </row>
    <row r="29" spans="1:72" ht="25.5" customHeight="1" x14ac:dyDescent="0.2">
      <c r="A29" s="2681"/>
      <c r="B29" s="2681"/>
      <c r="C29" s="2681"/>
      <c r="D29" s="2681"/>
      <c r="E29" s="2681"/>
      <c r="F29" s="2681"/>
      <c r="G29" s="2685"/>
      <c r="H29" s="2686"/>
      <c r="I29" s="2688"/>
      <c r="J29" s="2690"/>
      <c r="K29" s="2475"/>
      <c r="L29" s="2625"/>
      <c r="M29" s="303"/>
      <c r="N29" s="2625"/>
      <c r="O29" s="2475"/>
      <c r="P29" s="2692"/>
      <c r="Q29" s="2649"/>
      <c r="R29" s="2693"/>
      <c r="S29" s="2669"/>
      <c r="T29" s="304" t="s">
        <v>351</v>
      </c>
      <c r="U29" s="61">
        <v>27000000</v>
      </c>
      <c r="V29" s="61">
        <v>0</v>
      </c>
      <c r="W29" s="61">
        <v>0</v>
      </c>
      <c r="X29" s="305">
        <v>20</v>
      </c>
      <c r="Y29" s="301" t="s">
        <v>70</v>
      </c>
      <c r="Z29" s="2450"/>
      <c r="AA29" s="64"/>
      <c r="AB29" s="2450"/>
      <c r="AC29" s="64"/>
      <c r="AD29" s="2450"/>
      <c r="AE29" s="64"/>
      <c r="AF29" s="2450"/>
      <c r="AG29" s="64"/>
      <c r="AH29" s="2450"/>
      <c r="AI29" s="64"/>
      <c r="AJ29" s="2450"/>
      <c r="AK29" s="64"/>
      <c r="AL29" s="2450"/>
      <c r="AM29" s="64"/>
      <c r="AN29" s="2450"/>
      <c r="AO29" s="64"/>
      <c r="AP29" s="2450"/>
      <c r="AQ29" s="64"/>
      <c r="AR29" s="2450"/>
      <c r="AS29" s="64"/>
      <c r="AT29" s="2450"/>
      <c r="AU29" s="64"/>
      <c r="AV29" s="2450"/>
      <c r="AW29" s="64"/>
      <c r="AX29" s="2450"/>
      <c r="AY29" s="64"/>
      <c r="AZ29" s="2450"/>
      <c r="BA29" s="64"/>
      <c r="BB29" s="2450"/>
      <c r="BC29" s="64"/>
      <c r="BD29" s="2450"/>
      <c r="BE29" s="2450"/>
      <c r="BF29" s="2450"/>
      <c r="BG29" s="2450"/>
      <c r="BH29" s="2450"/>
      <c r="BI29" s="2665"/>
      <c r="BJ29" s="2511"/>
      <c r="BK29" s="2425"/>
      <c r="BL29" s="2668"/>
      <c r="BM29" s="2668"/>
      <c r="BN29" s="2668"/>
      <c r="BO29" s="2668"/>
      <c r="BP29" s="2662"/>
      <c r="BQ29" s="272"/>
      <c r="BR29" s="272"/>
      <c r="BS29" s="272"/>
      <c r="BT29" s="272"/>
    </row>
    <row r="30" spans="1:72" ht="45" customHeight="1" x14ac:dyDescent="0.2">
      <c r="A30" s="2681"/>
      <c r="B30" s="2681"/>
      <c r="C30" s="2681"/>
      <c r="D30" s="2681"/>
      <c r="E30" s="2681"/>
      <c r="F30" s="2681"/>
      <c r="G30" s="2685"/>
      <c r="H30" s="2686"/>
      <c r="I30" s="2688"/>
      <c r="J30" s="2690"/>
      <c r="K30" s="2475"/>
      <c r="L30" s="2625"/>
      <c r="M30" s="303"/>
      <c r="N30" s="2625"/>
      <c r="O30" s="2475"/>
      <c r="P30" s="2692"/>
      <c r="Q30" s="2649"/>
      <c r="R30" s="2693"/>
      <c r="S30" s="2669"/>
      <c r="T30" s="304" t="s">
        <v>352</v>
      </c>
      <c r="U30" s="61">
        <v>25000000</v>
      </c>
      <c r="V30" s="61">
        <v>0</v>
      </c>
      <c r="W30" s="61">
        <v>0</v>
      </c>
      <c r="X30" s="305">
        <v>23</v>
      </c>
      <c r="Y30" s="301" t="s">
        <v>70</v>
      </c>
      <c r="Z30" s="2450"/>
      <c r="AA30" s="64"/>
      <c r="AB30" s="2450"/>
      <c r="AC30" s="64"/>
      <c r="AD30" s="2450"/>
      <c r="AE30" s="64"/>
      <c r="AF30" s="2450"/>
      <c r="AG30" s="64"/>
      <c r="AH30" s="2450"/>
      <c r="AI30" s="64"/>
      <c r="AJ30" s="2450"/>
      <c r="AK30" s="64"/>
      <c r="AL30" s="2450"/>
      <c r="AM30" s="64"/>
      <c r="AN30" s="2450"/>
      <c r="AO30" s="64"/>
      <c r="AP30" s="2450"/>
      <c r="AQ30" s="64"/>
      <c r="AR30" s="2450"/>
      <c r="AS30" s="64"/>
      <c r="AT30" s="2450"/>
      <c r="AU30" s="64"/>
      <c r="AV30" s="2450"/>
      <c r="AW30" s="64"/>
      <c r="AX30" s="2450"/>
      <c r="AY30" s="64"/>
      <c r="AZ30" s="2450"/>
      <c r="BA30" s="64"/>
      <c r="BB30" s="2450"/>
      <c r="BC30" s="64"/>
      <c r="BD30" s="2450"/>
      <c r="BE30" s="2450"/>
      <c r="BF30" s="2450"/>
      <c r="BG30" s="2450"/>
      <c r="BH30" s="2450"/>
      <c r="BI30" s="2665"/>
      <c r="BJ30" s="2511"/>
      <c r="BK30" s="2425"/>
      <c r="BL30" s="2668"/>
      <c r="BM30" s="2668"/>
      <c r="BN30" s="2668"/>
      <c r="BO30" s="2668"/>
      <c r="BP30" s="2662"/>
      <c r="BQ30" s="272"/>
      <c r="BR30" s="272"/>
      <c r="BS30" s="272"/>
      <c r="BT30" s="272"/>
    </row>
    <row r="31" spans="1:72" ht="52.5" customHeight="1" x14ac:dyDescent="0.2">
      <c r="A31" s="2681"/>
      <c r="B31" s="2681"/>
      <c r="C31" s="2681"/>
      <c r="D31" s="2681"/>
      <c r="E31" s="2681"/>
      <c r="F31" s="2681"/>
      <c r="G31" s="2685"/>
      <c r="H31" s="2686"/>
      <c r="I31" s="2688"/>
      <c r="J31" s="2690"/>
      <c r="K31" s="2475"/>
      <c r="L31" s="2625"/>
      <c r="M31" s="303"/>
      <c r="N31" s="2625"/>
      <c r="O31" s="2475"/>
      <c r="P31" s="2692"/>
      <c r="Q31" s="2649"/>
      <c r="R31" s="2693"/>
      <c r="S31" s="2669"/>
      <c r="T31" s="306" t="s">
        <v>353</v>
      </c>
      <c r="U31" s="61">
        <v>35190000</v>
      </c>
      <c r="V31" s="61">
        <v>0</v>
      </c>
      <c r="W31" s="61">
        <v>0</v>
      </c>
      <c r="X31" s="305">
        <v>23</v>
      </c>
      <c r="Y31" s="301" t="s">
        <v>354</v>
      </c>
      <c r="Z31" s="2450"/>
      <c r="AA31" s="64"/>
      <c r="AB31" s="2450"/>
      <c r="AC31" s="64"/>
      <c r="AD31" s="2450"/>
      <c r="AE31" s="64"/>
      <c r="AF31" s="2450"/>
      <c r="AG31" s="64"/>
      <c r="AH31" s="2450"/>
      <c r="AI31" s="64"/>
      <c r="AJ31" s="2450"/>
      <c r="AK31" s="64"/>
      <c r="AL31" s="2450"/>
      <c r="AM31" s="64"/>
      <c r="AN31" s="2450"/>
      <c r="AO31" s="64"/>
      <c r="AP31" s="2450"/>
      <c r="AQ31" s="64"/>
      <c r="AR31" s="2450"/>
      <c r="AS31" s="64"/>
      <c r="AT31" s="2450"/>
      <c r="AU31" s="64"/>
      <c r="AV31" s="2450"/>
      <c r="AW31" s="64"/>
      <c r="AX31" s="2450"/>
      <c r="AY31" s="64"/>
      <c r="AZ31" s="2450"/>
      <c r="BA31" s="64"/>
      <c r="BB31" s="2450"/>
      <c r="BC31" s="64"/>
      <c r="BD31" s="2450"/>
      <c r="BE31" s="2450"/>
      <c r="BF31" s="2450"/>
      <c r="BG31" s="2450"/>
      <c r="BH31" s="2450"/>
      <c r="BI31" s="2665"/>
      <c r="BJ31" s="2511"/>
      <c r="BK31" s="2425"/>
      <c r="BL31" s="2668"/>
      <c r="BM31" s="2668"/>
      <c r="BN31" s="2668"/>
      <c r="BO31" s="2668"/>
      <c r="BP31" s="2662"/>
      <c r="BQ31" s="272"/>
      <c r="BR31" s="272"/>
      <c r="BS31" s="272"/>
      <c r="BT31" s="272"/>
    </row>
    <row r="32" spans="1:72" ht="65.25" customHeight="1" x14ac:dyDescent="0.2">
      <c r="A32" s="2681"/>
      <c r="B32" s="2681"/>
      <c r="C32" s="2681"/>
      <c r="D32" s="2681"/>
      <c r="E32" s="2681"/>
      <c r="F32" s="2681"/>
      <c r="G32" s="2685"/>
      <c r="H32" s="2686"/>
      <c r="I32" s="2688"/>
      <c r="J32" s="2690"/>
      <c r="K32" s="2475"/>
      <c r="L32" s="2625"/>
      <c r="M32" s="303"/>
      <c r="N32" s="2625"/>
      <c r="O32" s="2475"/>
      <c r="P32" s="2692"/>
      <c r="Q32" s="2649"/>
      <c r="R32" s="2693"/>
      <c r="S32" s="2669"/>
      <c r="T32" s="307" t="s">
        <v>355</v>
      </c>
      <c r="U32" s="61">
        <v>40859847</v>
      </c>
      <c r="V32" s="61">
        <v>0</v>
      </c>
      <c r="W32" s="61">
        <v>0</v>
      </c>
      <c r="X32" s="305">
        <v>23</v>
      </c>
      <c r="Y32" s="301" t="s">
        <v>354</v>
      </c>
      <c r="Z32" s="2450"/>
      <c r="AA32" s="64"/>
      <c r="AB32" s="2450"/>
      <c r="AC32" s="64"/>
      <c r="AD32" s="2450"/>
      <c r="AE32" s="64"/>
      <c r="AF32" s="2450"/>
      <c r="AG32" s="64"/>
      <c r="AH32" s="2450"/>
      <c r="AI32" s="64"/>
      <c r="AJ32" s="2450"/>
      <c r="AK32" s="64"/>
      <c r="AL32" s="2450"/>
      <c r="AM32" s="64"/>
      <c r="AN32" s="2450"/>
      <c r="AO32" s="64"/>
      <c r="AP32" s="2450"/>
      <c r="AQ32" s="64"/>
      <c r="AR32" s="2450"/>
      <c r="AS32" s="64"/>
      <c r="AT32" s="2450"/>
      <c r="AU32" s="64"/>
      <c r="AV32" s="2450"/>
      <c r="AW32" s="64"/>
      <c r="AX32" s="2450"/>
      <c r="AY32" s="64"/>
      <c r="AZ32" s="2450"/>
      <c r="BA32" s="64"/>
      <c r="BB32" s="2450"/>
      <c r="BC32" s="64"/>
      <c r="BD32" s="2450"/>
      <c r="BE32" s="2450"/>
      <c r="BF32" s="2450"/>
      <c r="BG32" s="2450"/>
      <c r="BH32" s="2450"/>
      <c r="BI32" s="2665"/>
      <c r="BJ32" s="2511"/>
      <c r="BK32" s="2425"/>
      <c r="BL32" s="2668"/>
      <c r="BM32" s="2668"/>
      <c r="BN32" s="2668"/>
      <c r="BO32" s="2668"/>
      <c r="BP32" s="2662"/>
      <c r="BQ32" s="272"/>
      <c r="BR32" s="272"/>
      <c r="BS32" s="272"/>
      <c r="BT32" s="272"/>
    </row>
    <row r="33" spans="1:72" ht="47.25" customHeight="1" x14ac:dyDescent="0.2">
      <c r="A33" s="2681"/>
      <c r="B33" s="2681"/>
      <c r="C33" s="2681"/>
      <c r="D33" s="2681"/>
      <c r="E33" s="2681"/>
      <c r="F33" s="2681"/>
      <c r="G33" s="2685"/>
      <c r="H33" s="2686"/>
      <c r="I33" s="2688"/>
      <c r="J33" s="2690"/>
      <c r="K33" s="2475"/>
      <c r="L33" s="2625"/>
      <c r="M33" s="303"/>
      <c r="N33" s="2625"/>
      <c r="O33" s="2475"/>
      <c r="P33" s="2692"/>
      <c r="Q33" s="2649"/>
      <c r="R33" s="2693"/>
      <c r="S33" s="2669"/>
      <c r="T33" s="2663" t="s">
        <v>356</v>
      </c>
      <c r="U33" s="61">
        <f>33800000-U34</f>
        <v>25265000</v>
      </c>
      <c r="V33" s="61">
        <v>15762000</v>
      </c>
      <c r="W33" s="61">
        <v>12179000</v>
      </c>
      <c r="X33" s="305">
        <v>20</v>
      </c>
      <c r="Y33" s="301" t="s">
        <v>70</v>
      </c>
      <c r="Z33" s="2450"/>
      <c r="AA33" s="64"/>
      <c r="AB33" s="2450"/>
      <c r="AC33" s="64"/>
      <c r="AD33" s="2450"/>
      <c r="AE33" s="64"/>
      <c r="AF33" s="2450"/>
      <c r="AG33" s="64"/>
      <c r="AH33" s="2450"/>
      <c r="AI33" s="64"/>
      <c r="AJ33" s="2450"/>
      <c r="AK33" s="64"/>
      <c r="AL33" s="2450"/>
      <c r="AM33" s="64"/>
      <c r="AN33" s="2450"/>
      <c r="AO33" s="64"/>
      <c r="AP33" s="2450"/>
      <c r="AQ33" s="64"/>
      <c r="AR33" s="2450"/>
      <c r="AS33" s="64"/>
      <c r="AT33" s="2450"/>
      <c r="AU33" s="64"/>
      <c r="AV33" s="2450"/>
      <c r="AW33" s="64"/>
      <c r="AX33" s="2450"/>
      <c r="AY33" s="64"/>
      <c r="AZ33" s="2450"/>
      <c r="BA33" s="64"/>
      <c r="BB33" s="2450"/>
      <c r="BC33" s="64"/>
      <c r="BD33" s="2450"/>
      <c r="BE33" s="2450"/>
      <c r="BF33" s="2450"/>
      <c r="BG33" s="2450"/>
      <c r="BH33" s="2450"/>
      <c r="BI33" s="2665"/>
      <c r="BJ33" s="2511"/>
      <c r="BK33" s="2425"/>
      <c r="BL33" s="2668"/>
      <c r="BM33" s="2668"/>
      <c r="BN33" s="2668"/>
      <c r="BO33" s="2668"/>
      <c r="BP33" s="2662"/>
      <c r="BQ33" s="272"/>
      <c r="BR33" s="272"/>
      <c r="BS33" s="272"/>
      <c r="BT33" s="272"/>
    </row>
    <row r="34" spans="1:72" ht="43.5" customHeight="1" x14ac:dyDescent="0.2">
      <c r="A34" s="2681"/>
      <c r="B34" s="2681"/>
      <c r="C34" s="2681"/>
      <c r="D34" s="2681"/>
      <c r="E34" s="2681"/>
      <c r="F34" s="2681"/>
      <c r="G34" s="2685"/>
      <c r="H34" s="2686"/>
      <c r="I34" s="2688"/>
      <c r="J34" s="2690"/>
      <c r="K34" s="2475"/>
      <c r="L34" s="2625"/>
      <c r="M34" s="303"/>
      <c r="N34" s="2625"/>
      <c r="O34" s="2475"/>
      <c r="P34" s="2692"/>
      <c r="Q34" s="2649"/>
      <c r="R34" s="2693"/>
      <c r="S34" s="2669"/>
      <c r="T34" s="2663"/>
      <c r="U34" s="61">
        <v>8535000</v>
      </c>
      <c r="V34" s="61"/>
      <c r="W34" s="61"/>
      <c r="X34" s="305">
        <v>23</v>
      </c>
      <c r="Y34" s="301" t="s">
        <v>354</v>
      </c>
      <c r="Z34" s="2450"/>
      <c r="AA34" s="64"/>
      <c r="AB34" s="2450"/>
      <c r="AC34" s="64"/>
      <c r="AD34" s="2450"/>
      <c r="AE34" s="64"/>
      <c r="AF34" s="2450"/>
      <c r="AG34" s="64"/>
      <c r="AH34" s="2450"/>
      <c r="AI34" s="64"/>
      <c r="AJ34" s="2450"/>
      <c r="AK34" s="64"/>
      <c r="AL34" s="2450"/>
      <c r="AM34" s="64"/>
      <c r="AN34" s="2450"/>
      <c r="AO34" s="64"/>
      <c r="AP34" s="2450"/>
      <c r="AQ34" s="64"/>
      <c r="AR34" s="2450"/>
      <c r="AS34" s="64"/>
      <c r="AT34" s="2450"/>
      <c r="AU34" s="64"/>
      <c r="AV34" s="2450"/>
      <c r="AW34" s="64"/>
      <c r="AX34" s="2450"/>
      <c r="AY34" s="64"/>
      <c r="AZ34" s="2450"/>
      <c r="BA34" s="64"/>
      <c r="BB34" s="2450"/>
      <c r="BC34" s="64"/>
      <c r="BD34" s="2450"/>
      <c r="BE34" s="2450"/>
      <c r="BF34" s="2450"/>
      <c r="BG34" s="2450"/>
      <c r="BH34" s="2450"/>
      <c r="BI34" s="2665"/>
      <c r="BJ34" s="2511"/>
      <c r="BK34" s="2425"/>
      <c r="BL34" s="2668"/>
      <c r="BM34" s="2668"/>
      <c r="BN34" s="2668"/>
      <c r="BO34" s="2668"/>
      <c r="BP34" s="2662"/>
      <c r="BQ34" s="272"/>
      <c r="BR34" s="272"/>
      <c r="BS34" s="272"/>
      <c r="BT34" s="272"/>
    </row>
    <row r="35" spans="1:72" ht="33" customHeight="1" x14ac:dyDescent="0.2">
      <c r="A35" s="2681"/>
      <c r="B35" s="2681"/>
      <c r="C35" s="2681"/>
      <c r="D35" s="2681"/>
      <c r="E35" s="2681"/>
      <c r="F35" s="2681"/>
      <c r="G35" s="2685"/>
      <c r="H35" s="2686"/>
      <c r="I35" s="2688"/>
      <c r="J35" s="2690"/>
      <c r="K35" s="2475"/>
      <c r="L35" s="2625"/>
      <c r="M35" s="303"/>
      <c r="N35" s="2625"/>
      <c r="O35" s="2475"/>
      <c r="P35" s="2692"/>
      <c r="Q35" s="2649"/>
      <c r="R35" s="2693"/>
      <c r="S35" s="2669"/>
      <c r="T35" s="2663" t="s">
        <v>357</v>
      </c>
      <c r="U35" s="61">
        <f>42400000-U36</f>
        <v>14332000</v>
      </c>
      <c r="V35" s="61">
        <v>7166000</v>
      </c>
      <c r="W35" s="61">
        <v>0</v>
      </c>
      <c r="X35" s="305">
        <v>20</v>
      </c>
      <c r="Y35" s="308" t="s">
        <v>70</v>
      </c>
      <c r="Z35" s="2450"/>
      <c r="AA35" s="64"/>
      <c r="AB35" s="2450"/>
      <c r="AC35" s="64"/>
      <c r="AD35" s="2450"/>
      <c r="AE35" s="64"/>
      <c r="AF35" s="2450"/>
      <c r="AG35" s="64"/>
      <c r="AH35" s="2450"/>
      <c r="AI35" s="64"/>
      <c r="AJ35" s="2450"/>
      <c r="AK35" s="64"/>
      <c r="AL35" s="2450"/>
      <c r="AM35" s="64"/>
      <c r="AN35" s="2450"/>
      <c r="AO35" s="64"/>
      <c r="AP35" s="2450"/>
      <c r="AQ35" s="64"/>
      <c r="AR35" s="2450"/>
      <c r="AS35" s="64"/>
      <c r="AT35" s="2450"/>
      <c r="AU35" s="64"/>
      <c r="AV35" s="2450"/>
      <c r="AW35" s="64"/>
      <c r="AX35" s="2450"/>
      <c r="AY35" s="64"/>
      <c r="AZ35" s="2450"/>
      <c r="BA35" s="64"/>
      <c r="BB35" s="2450"/>
      <c r="BC35" s="64"/>
      <c r="BD35" s="2450"/>
      <c r="BE35" s="2450"/>
      <c r="BF35" s="2450"/>
      <c r="BG35" s="2450"/>
      <c r="BH35" s="2450"/>
      <c r="BI35" s="2665"/>
      <c r="BJ35" s="2511"/>
      <c r="BK35" s="2425"/>
      <c r="BL35" s="2668"/>
      <c r="BM35" s="2668"/>
      <c r="BN35" s="2668"/>
      <c r="BO35" s="2668"/>
      <c r="BP35" s="2662"/>
      <c r="BQ35" s="272"/>
      <c r="BR35" s="272"/>
      <c r="BS35" s="272"/>
      <c r="BT35" s="272"/>
    </row>
    <row r="36" spans="1:72" ht="54.75" customHeight="1" x14ac:dyDescent="0.2">
      <c r="A36" s="2681"/>
      <c r="B36" s="2681"/>
      <c r="C36" s="2681"/>
      <c r="D36" s="2681"/>
      <c r="E36" s="2681"/>
      <c r="F36" s="2681"/>
      <c r="G36" s="2685"/>
      <c r="H36" s="2686"/>
      <c r="I36" s="2688"/>
      <c r="J36" s="2690"/>
      <c r="K36" s="2475"/>
      <c r="L36" s="2625"/>
      <c r="M36" s="303"/>
      <c r="N36" s="2625"/>
      <c r="O36" s="2475"/>
      <c r="P36" s="2692"/>
      <c r="Q36" s="2649"/>
      <c r="R36" s="2693"/>
      <c r="S36" s="2669"/>
      <c r="T36" s="2663"/>
      <c r="U36" s="61">
        <v>28068000</v>
      </c>
      <c r="V36" s="61">
        <v>0</v>
      </c>
      <c r="W36" s="61">
        <v>0</v>
      </c>
      <c r="X36" s="305">
        <v>23</v>
      </c>
      <c r="Y36" s="308" t="s">
        <v>354</v>
      </c>
      <c r="Z36" s="2450"/>
      <c r="AA36" s="64"/>
      <c r="AB36" s="2450"/>
      <c r="AC36" s="64"/>
      <c r="AD36" s="2450"/>
      <c r="AE36" s="64"/>
      <c r="AF36" s="2450"/>
      <c r="AG36" s="64"/>
      <c r="AH36" s="2450"/>
      <c r="AI36" s="64"/>
      <c r="AJ36" s="2450"/>
      <c r="AK36" s="64"/>
      <c r="AL36" s="2450"/>
      <c r="AM36" s="64"/>
      <c r="AN36" s="2450"/>
      <c r="AO36" s="64"/>
      <c r="AP36" s="2450"/>
      <c r="AQ36" s="64"/>
      <c r="AR36" s="2450"/>
      <c r="AS36" s="64"/>
      <c r="AT36" s="2450"/>
      <c r="AU36" s="64"/>
      <c r="AV36" s="2450"/>
      <c r="AW36" s="64"/>
      <c r="AX36" s="2450"/>
      <c r="AY36" s="64"/>
      <c r="AZ36" s="2450"/>
      <c r="BA36" s="64"/>
      <c r="BB36" s="2450"/>
      <c r="BC36" s="64"/>
      <c r="BD36" s="2450"/>
      <c r="BE36" s="2450"/>
      <c r="BF36" s="2450"/>
      <c r="BG36" s="2450"/>
      <c r="BH36" s="2450"/>
      <c r="BI36" s="2665"/>
      <c r="BJ36" s="2511"/>
      <c r="BK36" s="2425"/>
      <c r="BL36" s="2668"/>
      <c r="BM36" s="2668"/>
      <c r="BN36" s="2668"/>
      <c r="BO36" s="2668"/>
      <c r="BP36" s="2662"/>
      <c r="BQ36" s="272"/>
      <c r="BR36" s="272"/>
      <c r="BS36" s="272"/>
      <c r="BT36" s="272"/>
    </row>
    <row r="37" spans="1:72" ht="30.75" customHeight="1" x14ac:dyDescent="0.2">
      <c r="A37" s="2681"/>
      <c r="B37" s="2681"/>
      <c r="C37" s="2681"/>
      <c r="D37" s="2681"/>
      <c r="E37" s="2681"/>
      <c r="F37" s="2681"/>
      <c r="G37" s="2685"/>
      <c r="H37" s="2686"/>
      <c r="I37" s="2688"/>
      <c r="J37" s="2690"/>
      <c r="K37" s="2475"/>
      <c r="L37" s="2625"/>
      <c r="M37" s="303" t="s">
        <v>358</v>
      </c>
      <c r="N37" s="2625"/>
      <c r="O37" s="2475"/>
      <c r="P37" s="2692"/>
      <c r="Q37" s="2649"/>
      <c r="R37" s="2693"/>
      <c r="S37" s="2669"/>
      <c r="T37" s="2663" t="s">
        <v>359</v>
      </c>
      <c r="U37" s="61">
        <v>23396000</v>
      </c>
      <c r="V37" s="61">
        <v>15429333</v>
      </c>
      <c r="W37" s="61">
        <v>8396000</v>
      </c>
      <c r="X37" s="305">
        <v>20</v>
      </c>
      <c r="Y37" s="308" t="s">
        <v>70</v>
      </c>
      <c r="Z37" s="2450"/>
      <c r="AA37" s="64"/>
      <c r="AB37" s="2450"/>
      <c r="AC37" s="64"/>
      <c r="AD37" s="2450"/>
      <c r="AE37" s="64"/>
      <c r="AF37" s="2450"/>
      <c r="AG37" s="64"/>
      <c r="AH37" s="2450"/>
      <c r="AI37" s="64"/>
      <c r="AJ37" s="2450"/>
      <c r="AK37" s="64"/>
      <c r="AL37" s="2450"/>
      <c r="AM37" s="64"/>
      <c r="AN37" s="2450"/>
      <c r="AO37" s="64"/>
      <c r="AP37" s="2450"/>
      <c r="AQ37" s="64"/>
      <c r="AR37" s="2450"/>
      <c r="AS37" s="64"/>
      <c r="AT37" s="2450"/>
      <c r="AU37" s="64"/>
      <c r="AV37" s="2450"/>
      <c r="AW37" s="64"/>
      <c r="AX37" s="2450"/>
      <c r="AY37" s="64"/>
      <c r="AZ37" s="2450"/>
      <c r="BA37" s="64"/>
      <c r="BB37" s="2450"/>
      <c r="BC37" s="64"/>
      <c r="BD37" s="2450"/>
      <c r="BE37" s="2450"/>
      <c r="BF37" s="2450"/>
      <c r="BG37" s="2450"/>
      <c r="BH37" s="2450"/>
      <c r="BI37" s="2665"/>
      <c r="BJ37" s="2511"/>
      <c r="BK37" s="2425"/>
      <c r="BL37" s="2668"/>
      <c r="BM37" s="2668"/>
      <c r="BN37" s="2668"/>
      <c r="BO37" s="2668"/>
      <c r="BP37" s="2662"/>
      <c r="BQ37" s="272"/>
      <c r="BR37" s="272"/>
      <c r="BS37" s="272"/>
      <c r="BT37" s="272"/>
    </row>
    <row r="38" spans="1:72" ht="39.75" customHeight="1" x14ac:dyDescent="0.2">
      <c r="A38" s="2681"/>
      <c r="B38" s="2681"/>
      <c r="C38" s="2681"/>
      <c r="D38" s="2681"/>
      <c r="E38" s="2681"/>
      <c r="F38" s="2681"/>
      <c r="G38" s="2685"/>
      <c r="H38" s="2686"/>
      <c r="I38" s="2688"/>
      <c r="J38" s="2690"/>
      <c r="K38" s="2475"/>
      <c r="L38" s="2625"/>
      <c r="M38" s="303"/>
      <c r="N38" s="2625"/>
      <c r="O38" s="2475"/>
      <c r="P38" s="2692"/>
      <c r="Q38" s="2649"/>
      <c r="R38" s="2693"/>
      <c r="S38" s="2669"/>
      <c r="T38" s="2663"/>
      <c r="U38" s="61">
        <v>27382000</v>
      </c>
      <c r="V38" s="299">
        <v>0</v>
      </c>
      <c r="W38" s="299">
        <v>0</v>
      </c>
      <c r="X38" s="300">
        <v>23</v>
      </c>
      <c r="Y38" s="308" t="s">
        <v>354</v>
      </c>
      <c r="Z38" s="2450"/>
      <c r="AA38" s="64"/>
      <c r="AB38" s="2450"/>
      <c r="AC38" s="64"/>
      <c r="AD38" s="2450"/>
      <c r="AE38" s="64"/>
      <c r="AF38" s="2450"/>
      <c r="AG38" s="64"/>
      <c r="AH38" s="2450"/>
      <c r="AI38" s="64"/>
      <c r="AJ38" s="2450"/>
      <c r="AK38" s="64"/>
      <c r="AL38" s="2450"/>
      <c r="AM38" s="64"/>
      <c r="AN38" s="2450"/>
      <c r="AO38" s="64"/>
      <c r="AP38" s="2450"/>
      <c r="AQ38" s="64"/>
      <c r="AR38" s="2450"/>
      <c r="AS38" s="64"/>
      <c r="AT38" s="2450"/>
      <c r="AU38" s="64"/>
      <c r="AV38" s="2450"/>
      <c r="AW38" s="64"/>
      <c r="AX38" s="2450"/>
      <c r="AY38" s="64"/>
      <c r="AZ38" s="2450"/>
      <c r="BA38" s="64"/>
      <c r="BB38" s="2450"/>
      <c r="BC38" s="64"/>
      <c r="BD38" s="2450"/>
      <c r="BE38" s="2450"/>
      <c r="BF38" s="2450"/>
      <c r="BG38" s="2450"/>
      <c r="BH38" s="2450"/>
      <c r="BI38" s="2665"/>
      <c r="BJ38" s="2511"/>
      <c r="BK38" s="2425"/>
      <c r="BL38" s="2668"/>
      <c r="BM38" s="2668"/>
      <c r="BN38" s="2668"/>
      <c r="BO38" s="2668"/>
      <c r="BP38" s="2662"/>
      <c r="BQ38" s="272"/>
      <c r="BR38" s="272"/>
      <c r="BS38" s="272"/>
      <c r="BT38" s="272"/>
    </row>
    <row r="39" spans="1:72" ht="36" customHeight="1" x14ac:dyDescent="0.2">
      <c r="A39" s="2681"/>
      <c r="B39" s="2681"/>
      <c r="C39" s="2681"/>
      <c r="D39" s="2681"/>
      <c r="E39" s="2681"/>
      <c r="F39" s="2681"/>
      <c r="G39" s="2685"/>
      <c r="H39" s="2686"/>
      <c r="I39" s="2688"/>
      <c r="J39" s="2690"/>
      <c r="K39" s="2475"/>
      <c r="L39" s="2625"/>
      <c r="M39" s="303" t="s">
        <v>360</v>
      </c>
      <c r="N39" s="2625"/>
      <c r="O39" s="2475"/>
      <c r="P39" s="2692"/>
      <c r="Q39" s="2649"/>
      <c r="R39" s="2693"/>
      <c r="S39" s="2669"/>
      <c r="T39" s="2663" t="s">
        <v>361</v>
      </c>
      <c r="U39" s="61">
        <f>44352000-U40</f>
        <v>28400000</v>
      </c>
      <c r="V39" s="299">
        <v>20833333</v>
      </c>
      <c r="W39" s="299">
        <v>9250000</v>
      </c>
      <c r="X39" s="300">
        <v>20</v>
      </c>
      <c r="Y39" s="301" t="s">
        <v>70</v>
      </c>
      <c r="Z39" s="2450"/>
      <c r="AA39" s="64"/>
      <c r="AB39" s="2450"/>
      <c r="AC39" s="64"/>
      <c r="AD39" s="2450"/>
      <c r="AE39" s="64"/>
      <c r="AF39" s="2450"/>
      <c r="AG39" s="64"/>
      <c r="AH39" s="2450"/>
      <c r="AI39" s="64"/>
      <c r="AJ39" s="2450"/>
      <c r="AK39" s="64"/>
      <c r="AL39" s="2450"/>
      <c r="AM39" s="64"/>
      <c r="AN39" s="2450"/>
      <c r="AO39" s="64"/>
      <c r="AP39" s="2450"/>
      <c r="AQ39" s="64"/>
      <c r="AR39" s="2450"/>
      <c r="AS39" s="64"/>
      <c r="AT39" s="2450"/>
      <c r="AU39" s="64"/>
      <c r="AV39" s="2450"/>
      <c r="AW39" s="64"/>
      <c r="AX39" s="2450"/>
      <c r="AY39" s="64"/>
      <c r="AZ39" s="2450"/>
      <c r="BA39" s="64"/>
      <c r="BB39" s="2450"/>
      <c r="BC39" s="64"/>
      <c r="BD39" s="2450"/>
      <c r="BE39" s="2450"/>
      <c r="BF39" s="2450"/>
      <c r="BG39" s="2450"/>
      <c r="BH39" s="2450"/>
      <c r="BI39" s="2665"/>
      <c r="BJ39" s="2511"/>
      <c r="BK39" s="2425"/>
      <c r="BL39" s="2668"/>
      <c r="BM39" s="2668"/>
      <c r="BN39" s="2668"/>
      <c r="BO39" s="2668"/>
      <c r="BP39" s="2662"/>
      <c r="BQ39" s="272"/>
      <c r="BR39" s="272"/>
      <c r="BS39" s="272"/>
      <c r="BT39" s="272"/>
    </row>
    <row r="40" spans="1:72" ht="36.75" customHeight="1" x14ac:dyDescent="0.2">
      <c r="A40" s="2681"/>
      <c r="B40" s="2681"/>
      <c r="C40" s="2681"/>
      <c r="D40" s="2681"/>
      <c r="E40" s="2681"/>
      <c r="F40" s="2681"/>
      <c r="G40" s="2685"/>
      <c r="H40" s="2686"/>
      <c r="I40" s="2688"/>
      <c r="J40" s="2690"/>
      <c r="K40" s="2475"/>
      <c r="L40" s="2625"/>
      <c r="M40" s="303"/>
      <c r="N40" s="2625"/>
      <c r="O40" s="2475"/>
      <c r="P40" s="2692"/>
      <c r="Q40" s="2649"/>
      <c r="R40" s="2693"/>
      <c r="S40" s="2669"/>
      <c r="T40" s="2663"/>
      <c r="U40" s="61">
        <v>15952000</v>
      </c>
      <c r="V40" s="299">
        <v>0</v>
      </c>
      <c r="W40" s="299">
        <v>0</v>
      </c>
      <c r="X40" s="300">
        <v>23</v>
      </c>
      <c r="Y40" s="308" t="s">
        <v>354</v>
      </c>
      <c r="Z40" s="2450"/>
      <c r="AA40" s="64"/>
      <c r="AB40" s="2450"/>
      <c r="AC40" s="64"/>
      <c r="AD40" s="2450"/>
      <c r="AE40" s="64"/>
      <c r="AF40" s="2450"/>
      <c r="AG40" s="64"/>
      <c r="AH40" s="2450"/>
      <c r="AI40" s="64"/>
      <c r="AJ40" s="2450"/>
      <c r="AK40" s="64"/>
      <c r="AL40" s="2450"/>
      <c r="AM40" s="64"/>
      <c r="AN40" s="2450"/>
      <c r="AO40" s="64"/>
      <c r="AP40" s="2450"/>
      <c r="AQ40" s="64"/>
      <c r="AR40" s="2450"/>
      <c r="AS40" s="64"/>
      <c r="AT40" s="2450"/>
      <c r="AU40" s="64"/>
      <c r="AV40" s="2450"/>
      <c r="AW40" s="64"/>
      <c r="AX40" s="2450"/>
      <c r="AY40" s="64"/>
      <c r="AZ40" s="2450"/>
      <c r="BA40" s="64"/>
      <c r="BB40" s="2450"/>
      <c r="BC40" s="64"/>
      <c r="BD40" s="2450"/>
      <c r="BE40" s="2450"/>
      <c r="BF40" s="2450"/>
      <c r="BG40" s="2450"/>
      <c r="BH40" s="2450"/>
      <c r="BI40" s="2665"/>
      <c r="BJ40" s="2511"/>
      <c r="BK40" s="2425"/>
      <c r="BL40" s="2668"/>
      <c r="BM40" s="2668"/>
      <c r="BN40" s="2668"/>
      <c r="BO40" s="2668"/>
      <c r="BP40" s="2662"/>
      <c r="BQ40" s="272"/>
      <c r="BR40" s="272"/>
      <c r="BS40" s="272"/>
      <c r="BT40" s="272"/>
    </row>
    <row r="41" spans="1:72" ht="36.75" customHeight="1" x14ac:dyDescent="0.2">
      <c r="A41" s="2681"/>
      <c r="B41" s="2681"/>
      <c r="C41" s="2681"/>
      <c r="D41" s="2681"/>
      <c r="E41" s="2681"/>
      <c r="F41" s="2681"/>
      <c r="G41" s="2685"/>
      <c r="H41" s="2686"/>
      <c r="I41" s="2688"/>
      <c r="J41" s="2690"/>
      <c r="K41" s="2475"/>
      <c r="L41" s="2625"/>
      <c r="M41" s="303"/>
      <c r="N41" s="2625"/>
      <c r="O41" s="2475"/>
      <c r="P41" s="2692"/>
      <c r="Q41" s="2649"/>
      <c r="R41" s="2693"/>
      <c r="S41" s="2669"/>
      <c r="T41" s="304" t="s">
        <v>362</v>
      </c>
      <c r="U41" s="61">
        <v>60000000</v>
      </c>
      <c r="V41" s="299">
        <v>0</v>
      </c>
      <c r="W41" s="299">
        <v>0</v>
      </c>
      <c r="X41" s="300">
        <v>23</v>
      </c>
      <c r="Y41" s="308" t="s">
        <v>354</v>
      </c>
      <c r="Z41" s="2450"/>
      <c r="AA41" s="64"/>
      <c r="AB41" s="2450"/>
      <c r="AC41" s="64"/>
      <c r="AD41" s="2450"/>
      <c r="AE41" s="64"/>
      <c r="AF41" s="2450"/>
      <c r="AG41" s="64"/>
      <c r="AH41" s="2450"/>
      <c r="AI41" s="64"/>
      <c r="AJ41" s="2450"/>
      <c r="AK41" s="64"/>
      <c r="AL41" s="2450"/>
      <c r="AM41" s="64"/>
      <c r="AN41" s="2450"/>
      <c r="AO41" s="64"/>
      <c r="AP41" s="2450"/>
      <c r="AQ41" s="64"/>
      <c r="AR41" s="2450"/>
      <c r="AS41" s="64"/>
      <c r="AT41" s="2450"/>
      <c r="AU41" s="64"/>
      <c r="AV41" s="2450"/>
      <c r="AW41" s="64"/>
      <c r="AX41" s="2450"/>
      <c r="AY41" s="64"/>
      <c r="AZ41" s="2450"/>
      <c r="BA41" s="64"/>
      <c r="BB41" s="2450"/>
      <c r="BC41" s="64"/>
      <c r="BD41" s="2450"/>
      <c r="BE41" s="2450"/>
      <c r="BF41" s="2450"/>
      <c r="BG41" s="2450"/>
      <c r="BH41" s="2450"/>
      <c r="BI41" s="2665"/>
      <c r="BJ41" s="2511"/>
      <c r="BK41" s="2425"/>
      <c r="BL41" s="2668"/>
      <c r="BM41" s="2668"/>
      <c r="BN41" s="2668"/>
      <c r="BO41" s="2668"/>
      <c r="BP41" s="2662"/>
      <c r="BQ41" s="272"/>
      <c r="BR41" s="272"/>
      <c r="BS41" s="272"/>
      <c r="BT41" s="272"/>
    </row>
    <row r="42" spans="1:72" ht="135.6" customHeight="1" x14ac:dyDescent="0.2">
      <c r="A42" s="2681"/>
      <c r="B42" s="2681"/>
      <c r="C42" s="2681"/>
      <c r="D42" s="2681"/>
      <c r="E42" s="2681"/>
      <c r="F42" s="2681"/>
      <c r="G42" s="2685"/>
      <c r="H42" s="2686"/>
      <c r="I42" s="2688"/>
      <c r="J42" s="2690"/>
      <c r="K42" s="2475"/>
      <c r="L42" s="2625"/>
      <c r="M42" s="303"/>
      <c r="N42" s="2625"/>
      <c r="O42" s="2475"/>
      <c r="P42" s="2692"/>
      <c r="Q42" s="2649"/>
      <c r="R42" s="2693"/>
      <c r="S42" s="2669"/>
      <c r="T42" s="54" t="s">
        <v>363</v>
      </c>
      <c r="U42" s="299">
        <v>80000000</v>
      </c>
      <c r="V42" s="299">
        <v>0</v>
      </c>
      <c r="W42" s="299">
        <v>0</v>
      </c>
      <c r="X42" s="300">
        <v>20</v>
      </c>
      <c r="Y42" s="301" t="s">
        <v>70</v>
      </c>
      <c r="Z42" s="2450"/>
      <c r="AA42" s="64"/>
      <c r="AB42" s="2450"/>
      <c r="AC42" s="64"/>
      <c r="AD42" s="2450"/>
      <c r="AE42" s="64"/>
      <c r="AF42" s="2450"/>
      <c r="AG42" s="64"/>
      <c r="AH42" s="2450"/>
      <c r="AI42" s="64"/>
      <c r="AJ42" s="2450"/>
      <c r="AK42" s="64"/>
      <c r="AL42" s="2450"/>
      <c r="AM42" s="64"/>
      <c r="AN42" s="2450"/>
      <c r="AO42" s="64"/>
      <c r="AP42" s="2450"/>
      <c r="AQ42" s="64"/>
      <c r="AR42" s="2450"/>
      <c r="AS42" s="64"/>
      <c r="AT42" s="2450"/>
      <c r="AU42" s="64"/>
      <c r="AV42" s="2450"/>
      <c r="AW42" s="64"/>
      <c r="AX42" s="2450"/>
      <c r="AY42" s="64"/>
      <c r="AZ42" s="2450"/>
      <c r="BA42" s="64"/>
      <c r="BB42" s="2450"/>
      <c r="BC42" s="64"/>
      <c r="BD42" s="2450"/>
      <c r="BE42" s="2450"/>
      <c r="BF42" s="2450"/>
      <c r="BG42" s="2450"/>
      <c r="BH42" s="2450"/>
      <c r="BI42" s="2665"/>
      <c r="BJ42" s="2511"/>
      <c r="BK42" s="2425"/>
      <c r="BL42" s="2668"/>
      <c r="BM42" s="2668"/>
      <c r="BN42" s="2668"/>
      <c r="BO42" s="2668"/>
      <c r="BP42" s="2662"/>
      <c r="BQ42" s="272"/>
      <c r="BR42" s="272"/>
      <c r="BS42" s="272"/>
      <c r="BT42" s="272"/>
    </row>
    <row r="43" spans="1:72" ht="69" customHeight="1" x14ac:dyDescent="0.2">
      <c r="A43" s="2681"/>
      <c r="B43" s="2681"/>
      <c r="C43" s="2681"/>
      <c r="D43" s="2681"/>
      <c r="E43" s="2681"/>
      <c r="F43" s="2681"/>
      <c r="G43" s="2685"/>
      <c r="H43" s="2686"/>
      <c r="I43" s="2688"/>
      <c r="J43" s="2690"/>
      <c r="K43" s="2475"/>
      <c r="L43" s="2625"/>
      <c r="M43" s="303"/>
      <c r="N43" s="2625"/>
      <c r="O43" s="2475"/>
      <c r="P43" s="2692"/>
      <c r="Q43" s="2649"/>
      <c r="R43" s="2693"/>
      <c r="S43" s="2669"/>
      <c r="T43" s="304" t="s">
        <v>364</v>
      </c>
      <c r="U43" s="309">
        <v>99000000</v>
      </c>
      <c r="V43" s="299">
        <v>45045333</v>
      </c>
      <c r="W43" s="299">
        <v>6933333</v>
      </c>
      <c r="X43" s="300">
        <v>23</v>
      </c>
      <c r="Y43" s="301" t="s">
        <v>365</v>
      </c>
      <c r="Z43" s="2450"/>
      <c r="AA43" s="64"/>
      <c r="AB43" s="2450"/>
      <c r="AC43" s="64"/>
      <c r="AD43" s="2450"/>
      <c r="AE43" s="64"/>
      <c r="AF43" s="2450"/>
      <c r="AG43" s="64"/>
      <c r="AH43" s="2450"/>
      <c r="AI43" s="64"/>
      <c r="AJ43" s="2450"/>
      <c r="AK43" s="64"/>
      <c r="AL43" s="2450"/>
      <c r="AM43" s="64"/>
      <c r="AN43" s="2450"/>
      <c r="AO43" s="64"/>
      <c r="AP43" s="2450"/>
      <c r="AQ43" s="64"/>
      <c r="AR43" s="2450"/>
      <c r="AS43" s="64"/>
      <c r="AT43" s="2450"/>
      <c r="AU43" s="64"/>
      <c r="AV43" s="2450"/>
      <c r="AW43" s="64"/>
      <c r="AX43" s="2450"/>
      <c r="AY43" s="64"/>
      <c r="AZ43" s="2450"/>
      <c r="BA43" s="64"/>
      <c r="BB43" s="2450"/>
      <c r="BC43" s="64"/>
      <c r="BD43" s="2450"/>
      <c r="BE43" s="2450"/>
      <c r="BF43" s="2450"/>
      <c r="BG43" s="2450"/>
      <c r="BH43" s="2450"/>
      <c r="BI43" s="2665"/>
      <c r="BJ43" s="2511"/>
      <c r="BK43" s="2425"/>
      <c r="BL43" s="2668"/>
      <c r="BM43" s="2668"/>
      <c r="BN43" s="2668"/>
      <c r="BO43" s="2668"/>
      <c r="BP43" s="2662"/>
      <c r="BQ43" s="272"/>
      <c r="BR43" s="272"/>
      <c r="BS43" s="272"/>
      <c r="BT43" s="272"/>
    </row>
    <row r="44" spans="1:72" ht="41.25" customHeight="1" x14ac:dyDescent="0.2">
      <c r="A44" s="2681"/>
      <c r="B44" s="2681"/>
      <c r="C44" s="2681"/>
      <c r="D44" s="2681"/>
      <c r="E44" s="2681"/>
      <c r="F44" s="2681"/>
      <c r="G44" s="2685"/>
      <c r="H44" s="2686"/>
      <c r="I44" s="2688"/>
      <c r="J44" s="2690"/>
      <c r="K44" s="2475"/>
      <c r="L44" s="2625"/>
      <c r="M44" s="303"/>
      <c r="N44" s="2625"/>
      <c r="O44" s="2475"/>
      <c r="P44" s="2692"/>
      <c r="Q44" s="2649"/>
      <c r="R44" s="2693"/>
      <c r="S44" s="2669"/>
      <c r="T44" s="306" t="s">
        <v>366</v>
      </c>
      <c r="U44" s="309">
        <v>188800000</v>
      </c>
      <c r="V44" s="299">
        <v>37700000</v>
      </c>
      <c r="W44" s="299">
        <v>11700000</v>
      </c>
      <c r="X44" s="300">
        <v>23</v>
      </c>
      <c r="Y44" s="301" t="s">
        <v>365</v>
      </c>
      <c r="Z44" s="2450"/>
      <c r="AA44" s="64"/>
      <c r="AB44" s="2450"/>
      <c r="AC44" s="64"/>
      <c r="AD44" s="2450"/>
      <c r="AE44" s="64"/>
      <c r="AF44" s="2450"/>
      <c r="AG44" s="64"/>
      <c r="AH44" s="2450"/>
      <c r="AI44" s="64"/>
      <c r="AJ44" s="2450"/>
      <c r="AK44" s="64"/>
      <c r="AL44" s="2450"/>
      <c r="AM44" s="64"/>
      <c r="AN44" s="2450"/>
      <c r="AO44" s="64"/>
      <c r="AP44" s="2450"/>
      <c r="AQ44" s="64"/>
      <c r="AR44" s="2450"/>
      <c r="AS44" s="64"/>
      <c r="AT44" s="2450"/>
      <c r="AU44" s="64"/>
      <c r="AV44" s="2450"/>
      <c r="AW44" s="64"/>
      <c r="AX44" s="2450"/>
      <c r="AY44" s="64"/>
      <c r="AZ44" s="2450"/>
      <c r="BA44" s="64"/>
      <c r="BB44" s="2450"/>
      <c r="BC44" s="64"/>
      <c r="BD44" s="2450"/>
      <c r="BE44" s="2450"/>
      <c r="BF44" s="2450"/>
      <c r="BG44" s="2450"/>
      <c r="BH44" s="2450"/>
      <c r="BI44" s="2665"/>
      <c r="BJ44" s="2511"/>
      <c r="BK44" s="2425"/>
      <c r="BL44" s="2668"/>
      <c r="BM44" s="2668"/>
      <c r="BN44" s="2668"/>
      <c r="BO44" s="2668"/>
      <c r="BP44" s="2662"/>
      <c r="BQ44" s="272"/>
      <c r="BR44" s="272"/>
      <c r="BS44" s="272"/>
      <c r="BT44" s="272"/>
    </row>
    <row r="45" spans="1:72" ht="34.5" customHeight="1" x14ac:dyDescent="0.2">
      <c r="A45" s="2681"/>
      <c r="B45" s="2681"/>
      <c r="C45" s="2681"/>
      <c r="D45" s="2681"/>
      <c r="E45" s="2681"/>
      <c r="F45" s="2681"/>
      <c r="G45" s="2685"/>
      <c r="H45" s="2686"/>
      <c r="I45" s="2688"/>
      <c r="J45" s="2690"/>
      <c r="K45" s="2475"/>
      <c r="L45" s="2625"/>
      <c r="M45" s="303"/>
      <c r="N45" s="2625"/>
      <c r="O45" s="2475"/>
      <c r="P45" s="2692"/>
      <c r="Q45" s="2649"/>
      <c r="R45" s="2693"/>
      <c r="S45" s="2669"/>
      <c r="T45" s="306" t="s">
        <v>362</v>
      </c>
      <c r="U45" s="309">
        <v>58800000</v>
      </c>
      <c r="V45" s="299">
        <v>9283333</v>
      </c>
      <c r="W45" s="299">
        <v>1600000</v>
      </c>
      <c r="X45" s="300">
        <v>23</v>
      </c>
      <c r="Y45" s="301" t="s">
        <v>365</v>
      </c>
      <c r="Z45" s="2450"/>
      <c r="AA45" s="64"/>
      <c r="AB45" s="2450"/>
      <c r="AC45" s="64"/>
      <c r="AD45" s="2450"/>
      <c r="AE45" s="64"/>
      <c r="AF45" s="2450"/>
      <c r="AG45" s="64"/>
      <c r="AH45" s="2450"/>
      <c r="AI45" s="64"/>
      <c r="AJ45" s="2450"/>
      <c r="AK45" s="64"/>
      <c r="AL45" s="2450"/>
      <c r="AM45" s="64"/>
      <c r="AN45" s="2450"/>
      <c r="AO45" s="64"/>
      <c r="AP45" s="2450"/>
      <c r="AQ45" s="64"/>
      <c r="AR45" s="2450"/>
      <c r="AS45" s="64"/>
      <c r="AT45" s="2450"/>
      <c r="AU45" s="64"/>
      <c r="AV45" s="2450"/>
      <c r="AW45" s="64"/>
      <c r="AX45" s="2450"/>
      <c r="AY45" s="64"/>
      <c r="AZ45" s="2450"/>
      <c r="BA45" s="64"/>
      <c r="BB45" s="2450"/>
      <c r="BC45" s="64"/>
      <c r="BD45" s="2450"/>
      <c r="BE45" s="2450"/>
      <c r="BF45" s="2450"/>
      <c r="BG45" s="2450"/>
      <c r="BH45" s="2450"/>
      <c r="BI45" s="2665"/>
      <c r="BJ45" s="2511"/>
      <c r="BK45" s="2425"/>
      <c r="BL45" s="2668"/>
      <c r="BM45" s="2668"/>
      <c r="BN45" s="2668"/>
      <c r="BO45" s="2668"/>
      <c r="BP45" s="2662"/>
      <c r="BQ45" s="272"/>
      <c r="BR45" s="272"/>
      <c r="BS45" s="272"/>
      <c r="BT45" s="272"/>
    </row>
    <row r="46" spans="1:72" ht="33" customHeight="1" x14ac:dyDescent="0.2">
      <c r="A46" s="2681"/>
      <c r="B46" s="2681"/>
      <c r="C46" s="2681"/>
      <c r="D46" s="2681"/>
      <c r="E46" s="2681"/>
      <c r="F46" s="2681"/>
      <c r="G46" s="2685"/>
      <c r="H46" s="2686"/>
      <c r="I46" s="2688"/>
      <c r="J46" s="2690"/>
      <c r="K46" s="2475"/>
      <c r="L46" s="2625"/>
      <c r="M46" s="303"/>
      <c r="N46" s="2625"/>
      <c r="O46" s="2475"/>
      <c r="P46" s="2692"/>
      <c r="Q46" s="2649"/>
      <c r="R46" s="2693"/>
      <c r="S46" s="2669"/>
      <c r="T46" s="310" t="s">
        <v>367</v>
      </c>
      <c r="U46" s="61">
        <v>305892000</v>
      </c>
      <c r="V46" s="61">
        <v>0</v>
      </c>
      <c r="W46" s="61">
        <v>0</v>
      </c>
      <c r="X46" s="300">
        <v>23</v>
      </c>
      <c r="Y46" s="301" t="s">
        <v>365</v>
      </c>
      <c r="Z46" s="2450"/>
      <c r="AA46" s="64"/>
      <c r="AB46" s="2450"/>
      <c r="AC46" s="64"/>
      <c r="AD46" s="2450"/>
      <c r="AE46" s="64"/>
      <c r="AF46" s="2450"/>
      <c r="AG46" s="64"/>
      <c r="AH46" s="2450"/>
      <c r="AI46" s="64"/>
      <c r="AJ46" s="2450"/>
      <c r="AK46" s="64"/>
      <c r="AL46" s="2450"/>
      <c r="AM46" s="64"/>
      <c r="AN46" s="2450"/>
      <c r="AO46" s="64"/>
      <c r="AP46" s="2450"/>
      <c r="AQ46" s="64"/>
      <c r="AR46" s="2450"/>
      <c r="AS46" s="64"/>
      <c r="AT46" s="2450"/>
      <c r="AU46" s="64"/>
      <c r="AV46" s="2450"/>
      <c r="AW46" s="64"/>
      <c r="AX46" s="2450"/>
      <c r="AY46" s="64"/>
      <c r="AZ46" s="2450"/>
      <c r="BA46" s="64"/>
      <c r="BB46" s="2450"/>
      <c r="BC46" s="64"/>
      <c r="BD46" s="2450"/>
      <c r="BE46" s="2450"/>
      <c r="BF46" s="2450"/>
      <c r="BG46" s="2450"/>
      <c r="BH46" s="2450"/>
      <c r="BI46" s="2665"/>
      <c r="BJ46" s="2511"/>
      <c r="BK46" s="2425"/>
      <c r="BL46" s="2668"/>
      <c r="BM46" s="2668"/>
      <c r="BN46" s="2668"/>
      <c r="BO46" s="2668"/>
      <c r="BP46" s="2662"/>
      <c r="BQ46" s="272"/>
      <c r="BR46" s="272"/>
      <c r="BS46" s="272"/>
      <c r="BT46" s="272"/>
    </row>
    <row r="47" spans="1:72" ht="50.25" customHeight="1" x14ac:dyDescent="0.2">
      <c r="A47" s="2681"/>
      <c r="B47" s="2681"/>
      <c r="C47" s="2681"/>
      <c r="D47" s="2681"/>
      <c r="E47" s="2681"/>
      <c r="F47" s="2681"/>
      <c r="G47" s="2685"/>
      <c r="H47" s="2686"/>
      <c r="I47" s="2688"/>
      <c r="J47" s="2690"/>
      <c r="K47" s="2475"/>
      <c r="L47" s="2625"/>
      <c r="M47" s="303"/>
      <c r="N47" s="2625"/>
      <c r="O47" s="2475"/>
      <c r="P47" s="2692"/>
      <c r="Q47" s="2649"/>
      <c r="R47" s="2693"/>
      <c r="S47" s="2669"/>
      <c r="T47" s="310" t="s">
        <v>368</v>
      </c>
      <c r="U47" s="61">
        <v>180000000</v>
      </c>
      <c r="V47" s="61">
        <v>0</v>
      </c>
      <c r="W47" s="61">
        <v>0</v>
      </c>
      <c r="X47" s="300">
        <v>23</v>
      </c>
      <c r="Y47" s="301" t="s">
        <v>365</v>
      </c>
      <c r="Z47" s="2451"/>
      <c r="AA47" s="70"/>
      <c r="AB47" s="2451"/>
      <c r="AC47" s="70"/>
      <c r="AD47" s="2451"/>
      <c r="AE47" s="70"/>
      <c r="AF47" s="2451"/>
      <c r="AG47" s="70"/>
      <c r="AH47" s="2451"/>
      <c r="AI47" s="70"/>
      <c r="AJ47" s="2451"/>
      <c r="AK47" s="70"/>
      <c r="AL47" s="2451"/>
      <c r="AM47" s="70"/>
      <c r="AN47" s="2451"/>
      <c r="AO47" s="70"/>
      <c r="AP47" s="2451"/>
      <c r="AQ47" s="70"/>
      <c r="AR47" s="2451"/>
      <c r="AS47" s="70"/>
      <c r="AT47" s="2451"/>
      <c r="AU47" s="70"/>
      <c r="AV47" s="2451"/>
      <c r="AW47" s="70"/>
      <c r="AX47" s="2451"/>
      <c r="AY47" s="70"/>
      <c r="AZ47" s="2451"/>
      <c r="BA47" s="70"/>
      <c r="BB47" s="2451"/>
      <c r="BC47" s="70"/>
      <c r="BD47" s="2451"/>
      <c r="BE47" s="2451"/>
      <c r="BF47" s="2451"/>
      <c r="BG47" s="2450"/>
      <c r="BH47" s="2450"/>
      <c r="BI47" s="2665"/>
      <c r="BJ47" s="2511"/>
      <c r="BK47" s="2425"/>
      <c r="BL47" s="2668"/>
      <c r="BM47" s="2668"/>
      <c r="BN47" s="2668"/>
      <c r="BO47" s="2670"/>
      <c r="BP47" s="2662"/>
      <c r="BQ47" s="311"/>
      <c r="BR47" s="272"/>
      <c r="BS47" s="272"/>
      <c r="BT47" s="272"/>
    </row>
    <row r="48" spans="1:72" ht="27" customHeight="1" x14ac:dyDescent="0.2">
      <c r="A48" s="312"/>
      <c r="B48" s="313"/>
      <c r="C48" s="314"/>
      <c r="D48" s="2652"/>
      <c r="E48" s="2653"/>
      <c r="F48" s="2653"/>
      <c r="G48" s="315" t="s">
        <v>369</v>
      </c>
      <c r="H48" s="316" t="s">
        <v>370</v>
      </c>
      <c r="I48" s="317"/>
      <c r="J48" s="317"/>
      <c r="K48" s="317"/>
      <c r="L48" s="317"/>
      <c r="M48" s="318"/>
      <c r="N48" s="318"/>
      <c r="O48" s="317"/>
      <c r="P48" s="317"/>
      <c r="Q48" s="319"/>
      <c r="R48" s="317"/>
      <c r="S48" s="320"/>
      <c r="T48" s="321"/>
      <c r="U48" s="322"/>
      <c r="V48" s="322"/>
      <c r="W48" s="322"/>
      <c r="X48" s="323"/>
      <c r="Y48" s="324"/>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325"/>
      <c r="BF48" s="325"/>
      <c r="BG48" s="325"/>
      <c r="BH48" s="325"/>
      <c r="BI48" s="326"/>
      <c r="BJ48" s="325"/>
      <c r="BK48" s="325"/>
      <c r="BL48" s="325"/>
      <c r="BM48" s="325"/>
      <c r="BN48" s="286"/>
      <c r="BO48" s="286"/>
      <c r="BP48" s="327"/>
      <c r="BQ48" s="272"/>
      <c r="BR48" s="272"/>
      <c r="BS48" s="272"/>
      <c r="BT48" s="272"/>
    </row>
    <row r="49" spans="1:72" s="51" customFormat="1" ht="60.6" customHeight="1" x14ac:dyDescent="0.2">
      <c r="A49" s="328"/>
      <c r="B49" s="313"/>
      <c r="C49" s="314"/>
      <c r="D49" s="2654"/>
      <c r="E49" s="2655"/>
      <c r="F49" s="2655"/>
      <c r="G49" s="2639"/>
      <c r="H49" s="2639"/>
      <c r="I49" s="2656">
        <v>57</v>
      </c>
      <c r="J49" s="2646" t="s">
        <v>371</v>
      </c>
      <c r="K49" s="2646" t="s">
        <v>372</v>
      </c>
      <c r="L49" s="2627">
        <v>12</v>
      </c>
      <c r="M49" s="2639" t="s">
        <v>373</v>
      </c>
      <c r="N49" s="2627" t="s">
        <v>374</v>
      </c>
      <c r="O49" s="2646" t="s">
        <v>375</v>
      </c>
      <c r="P49" s="2647">
        <f>SUM(U49:U59)/Q49</f>
        <v>0.25750457339051191</v>
      </c>
      <c r="Q49" s="2648">
        <f>SUM(U49:U74)</f>
        <v>5456567165</v>
      </c>
      <c r="R49" s="2650" t="s">
        <v>376</v>
      </c>
      <c r="S49" s="2639" t="s">
        <v>377</v>
      </c>
      <c r="T49" s="138" t="s">
        <v>378</v>
      </c>
      <c r="U49" s="329">
        <v>25500000</v>
      </c>
      <c r="V49" s="329"/>
      <c r="W49" s="329"/>
      <c r="X49" s="330" t="s">
        <v>285</v>
      </c>
      <c r="Y49" s="331" t="s">
        <v>379</v>
      </c>
      <c r="Z49" s="2632">
        <v>295972</v>
      </c>
      <c r="AA49" s="332"/>
      <c r="AB49" s="2632">
        <v>285580</v>
      </c>
      <c r="AC49" s="332"/>
      <c r="AD49" s="2632">
        <v>135545</v>
      </c>
      <c r="AE49" s="332"/>
      <c r="AF49" s="2632">
        <v>44254</v>
      </c>
      <c r="AG49" s="332"/>
      <c r="AH49" s="2632">
        <v>309146</v>
      </c>
      <c r="AI49" s="332"/>
      <c r="AJ49" s="2632">
        <v>92607</v>
      </c>
      <c r="AK49" s="332"/>
      <c r="AL49" s="2632">
        <v>2145</v>
      </c>
      <c r="AM49" s="332"/>
      <c r="AN49" s="2632">
        <v>12718</v>
      </c>
      <c r="AO49" s="332"/>
      <c r="AP49" s="2632">
        <v>26</v>
      </c>
      <c r="AQ49" s="332"/>
      <c r="AR49" s="2632">
        <v>37</v>
      </c>
      <c r="AS49" s="332"/>
      <c r="AT49" s="2632">
        <v>0</v>
      </c>
      <c r="AU49" s="332"/>
      <c r="AV49" s="2632">
        <v>0</v>
      </c>
      <c r="AW49" s="332"/>
      <c r="AX49" s="2632">
        <v>44350</v>
      </c>
      <c r="AY49" s="332"/>
      <c r="AZ49" s="2632">
        <v>21944</v>
      </c>
      <c r="BA49" s="332"/>
      <c r="BB49" s="2632">
        <v>75687</v>
      </c>
      <c r="BC49" s="332"/>
      <c r="BD49" s="2632">
        <f>SUM(AD49:AJ49)</f>
        <v>581552</v>
      </c>
      <c r="BE49" s="332"/>
      <c r="BF49" s="2632">
        <v>27</v>
      </c>
      <c r="BG49" s="2630">
        <v>254580333</v>
      </c>
      <c r="BH49" s="2632">
        <v>78355000</v>
      </c>
      <c r="BI49" s="2634">
        <f>BH49/BG49</f>
        <v>0.30778104135797479</v>
      </c>
      <c r="BJ49" s="2636" t="s">
        <v>380</v>
      </c>
      <c r="BK49" s="2637" t="s">
        <v>381</v>
      </c>
      <c r="BL49" s="2617">
        <v>43832</v>
      </c>
      <c r="BM49" s="2617">
        <v>43860</v>
      </c>
      <c r="BN49" s="2617">
        <v>44196</v>
      </c>
      <c r="BO49" s="2617">
        <v>44073</v>
      </c>
      <c r="BP49" s="2619" t="s">
        <v>287</v>
      </c>
      <c r="BQ49" s="202"/>
      <c r="BR49" s="202"/>
      <c r="BS49" s="202"/>
      <c r="BT49" s="202"/>
    </row>
    <row r="50" spans="1:72" s="51" customFormat="1" ht="70.5" customHeight="1" x14ac:dyDescent="0.2">
      <c r="A50" s="328"/>
      <c r="B50" s="313"/>
      <c r="C50" s="314"/>
      <c r="D50" s="2654"/>
      <c r="E50" s="2655"/>
      <c r="F50" s="2655"/>
      <c r="G50" s="2639"/>
      <c r="H50" s="2639"/>
      <c r="I50" s="2657"/>
      <c r="J50" s="2475"/>
      <c r="K50" s="2475"/>
      <c r="L50" s="2625"/>
      <c r="M50" s="2639"/>
      <c r="N50" s="2625"/>
      <c r="O50" s="2475"/>
      <c r="P50" s="2628"/>
      <c r="Q50" s="2649"/>
      <c r="R50" s="2651"/>
      <c r="S50" s="2639"/>
      <c r="T50" s="310" t="s">
        <v>382</v>
      </c>
      <c r="U50" s="329">
        <v>37307000</v>
      </c>
      <c r="V50" s="329"/>
      <c r="W50" s="329"/>
      <c r="X50" s="330" t="s">
        <v>285</v>
      </c>
      <c r="Y50" s="331" t="s">
        <v>379</v>
      </c>
      <c r="Z50" s="2633"/>
      <c r="AA50" s="333"/>
      <c r="AB50" s="2633"/>
      <c r="AC50" s="333"/>
      <c r="AD50" s="2633"/>
      <c r="AE50" s="333"/>
      <c r="AF50" s="2633"/>
      <c r="AG50" s="333"/>
      <c r="AH50" s="2633"/>
      <c r="AI50" s="333"/>
      <c r="AJ50" s="2633"/>
      <c r="AK50" s="333"/>
      <c r="AL50" s="2633"/>
      <c r="AM50" s="333"/>
      <c r="AN50" s="2633"/>
      <c r="AO50" s="333"/>
      <c r="AP50" s="2633"/>
      <c r="AQ50" s="333"/>
      <c r="AR50" s="2633"/>
      <c r="AS50" s="333"/>
      <c r="AT50" s="2633"/>
      <c r="AU50" s="333"/>
      <c r="AV50" s="2633"/>
      <c r="AW50" s="333"/>
      <c r="AX50" s="2633"/>
      <c r="AY50" s="333"/>
      <c r="AZ50" s="2633"/>
      <c r="BA50" s="333"/>
      <c r="BB50" s="2633"/>
      <c r="BC50" s="333"/>
      <c r="BD50" s="2633"/>
      <c r="BE50" s="333"/>
      <c r="BF50" s="2633"/>
      <c r="BG50" s="2631"/>
      <c r="BH50" s="2633"/>
      <c r="BI50" s="2634"/>
      <c r="BJ50" s="2511"/>
      <c r="BK50" s="2638"/>
      <c r="BL50" s="2618"/>
      <c r="BM50" s="2618"/>
      <c r="BN50" s="2618"/>
      <c r="BO50" s="2618"/>
      <c r="BP50" s="2620"/>
      <c r="BQ50" s="202"/>
      <c r="BR50" s="202"/>
      <c r="BS50" s="202"/>
      <c r="BT50" s="202"/>
    </row>
    <row r="51" spans="1:72" s="51" customFormat="1" ht="71.45" customHeight="1" x14ac:dyDescent="0.2">
      <c r="A51" s="328"/>
      <c r="B51" s="313"/>
      <c r="C51" s="314"/>
      <c r="D51" s="2654"/>
      <c r="E51" s="2655"/>
      <c r="F51" s="2655"/>
      <c r="G51" s="2639"/>
      <c r="H51" s="2639"/>
      <c r="I51" s="2657"/>
      <c r="J51" s="2475"/>
      <c r="K51" s="2475"/>
      <c r="L51" s="2625"/>
      <c r="M51" s="2639"/>
      <c r="N51" s="2625"/>
      <c r="O51" s="2475"/>
      <c r="P51" s="2628"/>
      <c r="Q51" s="2649"/>
      <c r="R51" s="2651"/>
      <c r="S51" s="2639"/>
      <c r="T51" s="310" t="s">
        <v>383</v>
      </c>
      <c r="U51" s="329">
        <v>71640000</v>
      </c>
      <c r="V51" s="329">
        <v>53729000</v>
      </c>
      <c r="W51" s="329">
        <v>12179000</v>
      </c>
      <c r="X51" s="330" t="s">
        <v>285</v>
      </c>
      <c r="Y51" s="331" t="s">
        <v>379</v>
      </c>
      <c r="Z51" s="2633"/>
      <c r="AA51" s="333"/>
      <c r="AB51" s="2633"/>
      <c r="AC51" s="333"/>
      <c r="AD51" s="2633"/>
      <c r="AE51" s="333"/>
      <c r="AF51" s="2633"/>
      <c r="AG51" s="333"/>
      <c r="AH51" s="2633"/>
      <c r="AI51" s="333"/>
      <c r="AJ51" s="2633"/>
      <c r="AK51" s="333"/>
      <c r="AL51" s="2633"/>
      <c r="AM51" s="333"/>
      <c r="AN51" s="2633"/>
      <c r="AO51" s="333"/>
      <c r="AP51" s="2633"/>
      <c r="AQ51" s="333"/>
      <c r="AR51" s="2633"/>
      <c r="AS51" s="333"/>
      <c r="AT51" s="2633"/>
      <c r="AU51" s="333"/>
      <c r="AV51" s="2633"/>
      <c r="AW51" s="333"/>
      <c r="AX51" s="2633"/>
      <c r="AY51" s="333"/>
      <c r="AZ51" s="2633"/>
      <c r="BA51" s="333"/>
      <c r="BB51" s="2633"/>
      <c r="BC51" s="333"/>
      <c r="BD51" s="2633"/>
      <c r="BE51" s="333"/>
      <c r="BF51" s="2633"/>
      <c r="BG51" s="2631"/>
      <c r="BH51" s="2633"/>
      <c r="BI51" s="2634"/>
      <c r="BJ51" s="2511"/>
      <c r="BK51" s="2638"/>
      <c r="BL51" s="2618"/>
      <c r="BM51" s="2618"/>
      <c r="BN51" s="2618"/>
      <c r="BO51" s="2618"/>
      <c r="BP51" s="2620"/>
      <c r="BQ51" s="202"/>
      <c r="BR51" s="202"/>
      <c r="BS51" s="202"/>
      <c r="BT51" s="202"/>
    </row>
    <row r="52" spans="1:72" s="51" customFormat="1" ht="75" customHeight="1" x14ac:dyDescent="0.2">
      <c r="A52" s="328"/>
      <c r="B52" s="313"/>
      <c r="C52" s="314"/>
      <c r="D52" s="2654"/>
      <c r="E52" s="2655"/>
      <c r="F52" s="2655"/>
      <c r="G52" s="2639"/>
      <c r="H52" s="2639"/>
      <c r="I52" s="2657"/>
      <c r="J52" s="2475"/>
      <c r="K52" s="2475"/>
      <c r="L52" s="2625"/>
      <c r="M52" s="2639"/>
      <c r="N52" s="2625"/>
      <c r="O52" s="2475"/>
      <c r="P52" s="2628"/>
      <c r="Q52" s="2649"/>
      <c r="R52" s="2651"/>
      <c r="S52" s="2639"/>
      <c r="T52" s="310" t="s">
        <v>384</v>
      </c>
      <c r="U52" s="329">
        <v>40068000</v>
      </c>
      <c r="V52" s="329">
        <v>0</v>
      </c>
      <c r="W52" s="329">
        <v>0</v>
      </c>
      <c r="X52" s="330" t="s">
        <v>285</v>
      </c>
      <c r="Y52" s="331" t="s">
        <v>379</v>
      </c>
      <c r="Z52" s="2633"/>
      <c r="AA52" s="333"/>
      <c r="AB52" s="2633"/>
      <c r="AC52" s="333"/>
      <c r="AD52" s="2633"/>
      <c r="AE52" s="333"/>
      <c r="AF52" s="2633"/>
      <c r="AG52" s="333"/>
      <c r="AH52" s="2633"/>
      <c r="AI52" s="333"/>
      <c r="AJ52" s="2633"/>
      <c r="AK52" s="333"/>
      <c r="AL52" s="2633"/>
      <c r="AM52" s="333"/>
      <c r="AN52" s="2633"/>
      <c r="AO52" s="333"/>
      <c r="AP52" s="2633"/>
      <c r="AQ52" s="333"/>
      <c r="AR52" s="2633"/>
      <c r="AS52" s="333"/>
      <c r="AT52" s="2633"/>
      <c r="AU52" s="333"/>
      <c r="AV52" s="2633"/>
      <c r="AW52" s="333"/>
      <c r="AX52" s="2633"/>
      <c r="AY52" s="333"/>
      <c r="AZ52" s="2633"/>
      <c r="BA52" s="333"/>
      <c r="BB52" s="2633"/>
      <c r="BC52" s="333"/>
      <c r="BD52" s="2633"/>
      <c r="BE52" s="333"/>
      <c r="BF52" s="2633"/>
      <c r="BG52" s="2631"/>
      <c r="BH52" s="2633"/>
      <c r="BI52" s="2634"/>
      <c r="BJ52" s="2511"/>
      <c r="BK52" s="2638"/>
      <c r="BL52" s="2618"/>
      <c r="BM52" s="2618"/>
      <c r="BN52" s="2618"/>
      <c r="BO52" s="2618"/>
      <c r="BP52" s="2620"/>
      <c r="BQ52" s="202"/>
      <c r="BR52" s="202"/>
      <c r="BS52" s="202"/>
      <c r="BT52" s="202"/>
    </row>
    <row r="53" spans="1:72" s="51" customFormat="1" ht="82.5" customHeight="1" x14ac:dyDescent="0.2">
      <c r="A53" s="328"/>
      <c r="B53" s="313"/>
      <c r="C53" s="314"/>
      <c r="D53" s="2654"/>
      <c r="E53" s="2655"/>
      <c r="F53" s="2655"/>
      <c r="G53" s="2639"/>
      <c r="H53" s="2639"/>
      <c r="I53" s="2657"/>
      <c r="J53" s="2475"/>
      <c r="K53" s="2475"/>
      <c r="L53" s="2625"/>
      <c r="M53" s="2639"/>
      <c r="N53" s="2625"/>
      <c r="O53" s="2475"/>
      <c r="P53" s="2628"/>
      <c r="Q53" s="2649"/>
      <c r="R53" s="2651"/>
      <c r="S53" s="2639"/>
      <c r="T53" s="310" t="s">
        <v>357</v>
      </c>
      <c r="U53" s="329">
        <v>28656000</v>
      </c>
      <c r="V53" s="329">
        <v>10666000</v>
      </c>
      <c r="W53" s="329">
        <v>9966000</v>
      </c>
      <c r="X53" s="330" t="s">
        <v>285</v>
      </c>
      <c r="Y53" s="331" t="s">
        <v>379</v>
      </c>
      <c r="Z53" s="2633"/>
      <c r="AA53" s="333"/>
      <c r="AB53" s="2633"/>
      <c r="AC53" s="333"/>
      <c r="AD53" s="2633"/>
      <c r="AE53" s="333"/>
      <c r="AF53" s="2633"/>
      <c r="AG53" s="333"/>
      <c r="AH53" s="2633"/>
      <c r="AI53" s="333"/>
      <c r="AJ53" s="2633"/>
      <c r="AK53" s="333"/>
      <c r="AL53" s="2633"/>
      <c r="AM53" s="333"/>
      <c r="AN53" s="2633"/>
      <c r="AO53" s="333"/>
      <c r="AP53" s="2633"/>
      <c r="AQ53" s="333"/>
      <c r="AR53" s="2633"/>
      <c r="AS53" s="333"/>
      <c r="AT53" s="2633"/>
      <c r="AU53" s="333"/>
      <c r="AV53" s="2633"/>
      <c r="AW53" s="333"/>
      <c r="AX53" s="2633"/>
      <c r="AY53" s="333"/>
      <c r="AZ53" s="2633"/>
      <c r="BA53" s="333"/>
      <c r="BB53" s="2633"/>
      <c r="BC53" s="333"/>
      <c r="BD53" s="2633"/>
      <c r="BE53" s="333"/>
      <c r="BF53" s="2633"/>
      <c r="BG53" s="2631"/>
      <c r="BH53" s="2633"/>
      <c r="BI53" s="2634"/>
      <c r="BJ53" s="2511"/>
      <c r="BK53" s="2638"/>
      <c r="BL53" s="2618"/>
      <c r="BM53" s="2618"/>
      <c r="BN53" s="2618"/>
      <c r="BO53" s="2618"/>
      <c r="BP53" s="2620"/>
      <c r="BQ53" s="202"/>
      <c r="BR53" s="202"/>
      <c r="BS53" s="202"/>
      <c r="BT53" s="202"/>
    </row>
    <row r="54" spans="1:72" s="51" customFormat="1" ht="62.25" customHeight="1" x14ac:dyDescent="0.2">
      <c r="A54" s="328"/>
      <c r="B54" s="313"/>
      <c r="C54" s="314"/>
      <c r="D54" s="2654"/>
      <c r="E54" s="2655"/>
      <c r="F54" s="2655"/>
      <c r="G54" s="2639"/>
      <c r="H54" s="2639"/>
      <c r="I54" s="2657"/>
      <c r="J54" s="2475"/>
      <c r="K54" s="2475"/>
      <c r="L54" s="2625"/>
      <c r="M54" s="2639"/>
      <c r="N54" s="2625"/>
      <c r="O54" s="2475"/>
      <c r="P54" s="2628"/>
      <c r="Q54" s="2649"/>
      <c r="R54" s="2651"/>
      <c r="S54" s="2639"/>
      <c r="T54" s="310" t="s">
        <v>359</v>
      </c>
      <c r="U54" s="329">
        <v>143280000</v>
      </c>
      <c r="V54" s="329">
        <v>74133333</v>
      </c>
      <c r="W54" s="329">
        <v>24900000</v>
      </c>
      <c r="X54" s="330" t="s">
        <v>285</v>
      </c>
      <c r="Y54" s="331" t="s">
        <v>379</v>
      </c>
      <c r="Z54" s="2633"/>
      <c r="AA54" s="333"/>
      <c r="AB54" s="2633"/>
      <c r="AC54" s="333"/>
      <c r="AD54" s="2633"/>
      <c r="AE54" s="333"/>
      <c r="AF54" s="2633"/>
      <c r="AG54" s="333"/>
      <c r="AH54" s="2633"/>
      <c r="AI54" s="333"/>
      <c r="AJ54" s="2633"/>
      <c r="AK54" s="333"/>
      <c r="AL54" s="2633"/>
      <c r="AM54" s="333"/>
      <c r="AN54" s="2633"/>
      <c r="AO54" s="333"/>
      <c r="AP54" s="2633"/>
      <c r="AQ54" s="333"/>
      <c r="AR54" s="2633"/>
      <c r="AS54" s="333"/>
      <c r="AT54" s="2633"/>
      <c r="AU54" s="333"/>
      <c r="AV54" s="2633"/>
      <c r="AW54" s="333"/>
      <c r="AX54" s="2633"/>
      <c r="AY54" s="333"/>
      <c r="AZ54" s="2633"/>
      <c r="BA54" s="333"/>
      <c r="BB54" s="2633"/>
      <c r="BC54" s="333"/>
      <c r="BD54" s="2633"/>
      <c r="BE54" s="333"/>
      <c r="BF54" s="2633"/>
      <c r="BG54" s="2631"/>
      <c r="BH54" s="2633"/>
      <c r="BI54" s="2634"/>
      <c r="BJ54" s="2511"/>
      <c r="BK54" s="2638"/>
      <c r="BL54" s="2618"/>
      <c r="BM54" s="2618"/>
      <c r="BN54" s="2618"/>
      <c r="BO54" s="2618"/>
      <c r="BP54" s="2620"/>
      <c r="BQ54" s="202"/>
      <c r="BR54" s="202"/>
      <c r="BS54" s="202"/>
      <c r="BT54" s="202"/>
    </row>
    <row r="55" spans="1:72" s="51" customFormat="1" ht="57.75" customHeight="1" x14ac:dyDescent="0.2">
      <c r="A55" s="328"/>
      <c r="B55" s="313"/>
      <c r="C55" s="314"/>
      <c r="D55" s="2654"/>
      <c r="E55" s="2655"/>
      <c r="F55" s="2655"/>
      <c r="G55" s="2639"/>
      <c r="H55" s="2639"/>
      <c r="I55" s="2657"/>
      <c r="J55" s="2475"/>
      <c r="K55" s="2475"/>
      <c r="L55" s="2625"/>
      <c r="M55" s="2639"/>
      <c r="N55" s="2625"/>
      <c r="O55" s="2475"/>
      <c r="P55" s="2628"/>
      <c r="Q55" s="2649"/>
      <c r="R55" s="2651"/>
      <c r="S55" s="2639"/>
      <c r="T55" s="310" t="s">
        <v>385</v>
      </c>
      <c r="U55" s="329">
        <v>88704000</v>
      </c>
      <c r="V55" s="329">
        <v>25560000</v>
      </c>
      <c r="W55" s="329">
        <v>10660000</v>
      </c>
      <c r="X55" s="330" t="s">
        <v>285</v>
      </c>
      <c r="Y55" s="331" t="s">
        <v>379</v>
      </c>
      <c r="Z55" s="2633"/>
      <c r="AA55" s="333"/>
      <c r="AB55" s="2633"/>
      <c r="AC55" s="333"/>
      <c r="AD55" s="2633"/>
      <c r="AE55" s="333"/>
      <c r="AF55" s="2633"/>
      <c r="AG55" s="333"/>
      <c r="AH55" s="2633"/>
      <c r="AI55" s="333"/>
      <c r="AJ55" s="2633"/>
      <c r="AK55" s="333"/>
      <c r="AL55" s="2633"/>
      <c r="AM55" s="333"/>
      <c r="AN55" s="2633"/>
      <c r="AO55" s="333"/>
      <c r="AP55" s="2633"/>
      <c r="AQ55" s="333"/>
      <c r="AR55" s="2633"/>
      <c r="AS55" s="333"/>
      <c r="AT55" s="2633"/>
      <c r="AU55" s="333"/>
      <c r="AV55" s="2633"/>
      <c r="AW55" s="333"/>
      <c r="AX55" s="2633"/>
      <c r="AY55" s="333"/>
      <c r="AZ55" s="2633"/>
      <c r="BA55" s="333"/>
      <c r="BB55" s="2633"/>
      <c r="BC55" s="333"/>
      <c r="BD55" s="2633"/>
      <c r="BE55" s="333"/>
      <c r="BF55" s="2633"/>
      <c r="BG55" s="2631"/>
      <c r="BH55" s="2633"/>
      <c r="BI55" s="2634"/>
      <c r="BJ55" s="2511"/>
      <c r="BK55" s="2638"/>
      <c r="BL55" s="2618"/>
      <c r="BM55" s="2618"/>
      <c r="BN55" s="2618"/>
      <c r="BO55" s="2618"/>
      <c r="BP55" s="2620"/>
      <c r="BQ55" s="202"/>
      <c r="BR55" s="202"/>
      <c r="BS55" s="202"/>
      <c r="BT55" s="202"/>
    </row>
    <row r="56" spans="1:72" s="51" customFormat="1" ht="60" customHeight="1" x14ac:dyDescent="0.2">
      <c r="A56" s="328"/>
      <c r="B56" s="313"/>
      <c r="C56" s="314"/>
      <c r="D56" s="2654"/>
      <c r="E56" s="2655"/>
      <c r="F56" s="2655"/>
      <c r="G56" s="2639"/>
      <c r="H56" s="2639"/>
      <c r="I56" s="2657"/>
      <c r="J56" s="2475"/>
      <c r="K56" s="2475"/>
      <c r="L56" s="2625"/>
      <c r="M56" s="2639"/>
      <c r="N56" s="2625"/>
      <c r="O56" s="2475"/>
      <c r="P56" s="2628"/>
      <c r="Q56" s="2649"/>
      <c r="R56" s="2651"/>
      <c r="S56" s="2639"/>
      <c r="T56" s="334" t="s">
        <v>386</v>
      </c>
      <c r="U56" s="329">
        <v>88704000</v>
      </c>
      <c r="V56" s="329">
        <v>0</v>
      </c>
      <c r="W56" s="329">
        <v>0</v>
      </c>
      <c r="X56" s="330" t="s">
        <v>285</v>
      </c>
      <c r="Y56" s="331" t="s">
        <v>379</v>
      </c>
      <c r="Z56" s="2633"/>
      <c r="AA56" s="333"/>
      <c r="AB56" s="2633"/>
      <c r="AC56" s="333"/>
      <c r="AD56" s="2633"/>
      <c r="AE56" s="333"/>
      <c r="AF56" s="2633"/>
      <c r="AG56" s="333"/>
      <c r="AH56" s="2633"/>
      <c r="AI56" s="333"/>
      <c r="AJ56" s="2633"/>
      <c r="AK56" s="333"/>
      <c r="AL56" s="2633"/>
      <c r="AM56" s="333"/>
      <c r="AN56" s="2633"/>
      <c r="AO56" s="333"/>
      <c r="AP56" s="2633"/>
      <c r="AQ56" s="333"/>
      <c r="AR56" s="2633"/>
      <c r="AS56" s="333"/>
      <c r="AT56" s="2633"/>
      <c r="AU56" s="333"/>
      <c r="AV56" s="2633"/>
      <c r="AW56" s="333"/>
      <c r="AX56" s="2633"/>
      <c r="AY56" s="333"/>
      <c r="AZ56" s="2633"/>
      <c r="BA56" s="333"/>
      <c r="BB56" s="2633"/>
      <c r="BC56" s="333"/>
      <c r="BD56" s="2633"/>
      <c r="BE56" s="333"/>
      <c r="BF56" s="2633"/>
      <c r="BG56" s="2631"/>
      <c r="BH56" s="2633"/>
      <c r="BI56" s="2634"/>
      <c r="BJ56" s="2511"/>
      <c r="BK56" s="2638"/>
      <c r="BL56" s="2618"/>
      <c r="BM56" s="2618"/>
      <c r="BN56" s="2618"/>
      <c r="BO56" s="2618"/>
      <c r="BP56" s="2620"/>
      <c r="BQ56" s="202"/>
      <c r="BR56" s="202"/>
      <c r="BS56" s="202"/>
      <c r="BT56" s="202"/>
    </row>
    <row r="57" spans="1:72" s="51" customFormat="1" ht="40.5" customHeight="1" x14ac:dyDescent="0.2">
      <c r="A57" s="328"/>
      <c r="B57" s="313"/>
      <c r="C57" s="314"/>
      <c r="D57" s="2654"/>
      <c r="E57" s="2655"/>
      <c r="F57" s="2655"/>
      <c r="G57" s="2639"/>
      <c r="H57" s="2639"/>
      <c r="I57" s="2657"/>
      <c r="J57" s="2475"/>
      <c r="K57" s="2475"/>
      <c r="L57" s="2625"/>
      <c r="M57" s="2639"/>
      <c r="N57" s="2625"/>
      <c r="O57" s="2475"/>
      <c r="P57" s="2628"/>
      <c r="Q57" s="2649"/>
      <c r="R57" s="2651"/>
      <c r="S57" s="2639"/>
      <c r="T57" s="334" t="s">
        <v>387</v>
      </c>
      <c r="U57" s="329">
        <v>71232000</v>
      </c>
      <c r="V57" s="329">
        <v>4800000</v>
      </c>
      <c r="W57" s="329">
        <v>1600000</v>
      </c>
      <c r="X57" s="330" t="s">
        <v>285</v>
      </c>
      <c r="Y57" s="331" t="s">
        <v>379</v>
      </c>
      <c r="Z57" s="2633"/>
      <c r="AA57" s="333"/>
      <c r="AB57" s="2633"/>
      <c r="AC57" s="333"/>
      <c r="AD57" s="2633"/>
      <c r="AE57" s="333"/>
      <c r="AF57" s="2633"/>
      <c r="AG57" s="333"/>
      <c r="AH57" s="2633"/>
      <c r="AI57" s="333"/>
      <c r="AJ57" s="2633"/>
      <c r="AK57" s="333"/>
      <c r="AL57" s="2633"/>
      <c r="AM57" s="333"/>
      <c r="AN57" s="2633"/>
      <c r="AO57" s="333"/>
      <c r="AP57" s="2633"/>
      <c r="AQ57" s="333"/>
      <c r="AR57" s="2633"/>
      <c r="AS57" s="333"/>
      <c r="AT57" s="2633"/>
      <c r="AU57" s="333"/>
      <c r="AV57" s="2633"/>
      <c r="AW57" s="333"/>
      <c r="AX57" s="2633"/>
      <c r="AY57" s="333"/>
      <c r="AZ57" s="2633"/>
      <c r="BA57" s="333"/>
      <c r="BB57" s="2633"/>
      <c r="BC57" s="333"/>
      <c r="BD57" s="2633"/>
      <c r="BE57" s="333"/>
      <c r="BF57" s="2633"/>
      <c r="BG57" s="2631"/>
      <c r="BH57" s="2633"/>
      <c r="BI57" s="2634"/>
      <c r="BJ57" s="2511"/>
      <c r="BK57" s="2638"/>
      <c r="BL57" s="2618"/>
      <c r="BM57" s="2618"/>
      <c r="BN57" s="2618"/>
      <c r="BO57" s="2618"/>
      <c r="BP57" s="2620"/>
      <c r="BQ57" s="202"/>
      <c r="BR57" s="202"/>
      <c r="BS57" s="202"/>
      <c r="BT57" s="202"/>
    </row>
    <row r="58" spans="1:72" s="51" customFormat="1" ht="40.5" customHeight="1" x14ac:dyDescent="0.2">
      <c r="A58" s="328"/>
      <c r="B58" s="313"/>
      <c r="C58" s="314"/>
      <c r="D58" s="2654"/>
      <c r="E58" s="2655"/>
      <c r="F58" s="2655"/>
      <c r="G58" s="2639"/>
      <c r="H58" s="2639"/>
      <c r="I58" s="2657"/>
      <c r="J58" s="2475"/>
      <c r="K58" s="2475"/>
      <c r="L58" s="2625"/>
      <c r="M58" s="2639"/>
      <c r="N58" s="2625"/>
      <c r="O58" s="2475"/>
      <c r="P58" s="2628"/>
      <c r="Q58" s="2649"/>
      <c r="R58" s="2651"/>
      <c r="S58" s="2639"/>
      <c r="T58" s="310" t="s">
        <v>388</v>
      </c>
      <c r="U58" s="329">
        <v>760000000</v>
      </c>
      <c r="V58" s="329">
        <v>0</v>
      </c>
      <c r="W58" s="329">
        <v>0</v>
      </c>
      <c r="X58" s="330" t="s">
        <v>285</v>
      </c>
      <c r="Y58" s="331" t="s">
        <v>379</v>
      </c>
      <c r="Z58" s="2633"/>
      <c r="AA58" s="333"/>
      <c r="AB58" s="2633"/>
      <c r="AC58" s="333"/>
      <c r="AD58" s="2633"/>
      <c r="AE58" s="333"/>
      <c r="AF58" s="2633"/>
      <c r="AG58" s="333"/>
      <c r="AH58" s="2633"/>
      <c r="AI58" s="333"/>
      <c r="AJ58" s="2633"/>
      <c r="AK58" s="333"/>
      <c r="AL58" s="2633"/>
      <c r="AM58" s="333"/>
      <c r="AN58" s="2633"/>
      <c r="AO58" s="333"/>
      <c r="AP58" s="2633"/>
      <c r="AQ58" s="333"/>
      <c r="AR58" s="2633"/>
      <c r="AS58" s="333"/>
      <c r="AT58" s="2633"/>
      <c r="AU58" s="333"/>
      <c r="AV58" s="2633"/>
      <c r="AW58" s="333"/>
      <c r="AX58" s="2633"/>
      <c r="AY58" s="333"/>
      <c r="AZ58" s="2633"/>
      <c r="BA58" s="333"/>
      <c r="BB58" s="2633"/>
      <c r="BC58" s="333"/>
      <c r="BD58" s="2633"/>
      <c r="BE58" s="333"/>
      <c r="BF58" s="2633"/>
      <c r="BG58" s="2631"/>
      <c r="BH58" s="2633"/>
      <c r="BI58" s="2634"/>
      <c r="BJ58" s="2511"/>
      <c r="BK58" s="2638"/>
      <c r="BL58" s="2618"/>
      <c r="BM58" s="2618"/>
      <c r="BN58" s="2618"/>
      <c r="BO58" s="2618"/>
      <c r="BP58" s="2620"/>
      <c r="BQ58" s="202"/>
      <c r="BR58" s="202"/>
      <c r="BS58" s="202"/>
      <c r="BT58" s="202"/>
    </row>
    <row r="59" spans="1:72" s="51" customFormat="1" ht="40.5" customHeight="1" x14ac:dyDescent="0.2">
      <c r="A59" s="328"/>
      <c r="B59" s="313"/>
      <c r="C59" s="314"/>
      <c r="D59" s="2654"/>
      <c r="E59" s="2655"/>
      <c r="F59" s="2655"/>
      <c r="G59" s="2639"/>
      <c r="H59" s="2639"/>
      <c r="I59" s="2657"/>
      <c r="J59" s="2475"/>
      <c r="K59" s="2475"/>
      <c r="L59" s="2625"/>
      <c r="M59" s="2639"/>
      <c r="N59" s="2625"/>
      <c r="O59" s="2475"/>
      <c r="P59" s="2628"/>
      <c r="Q59" s="2649"/>
      <c r="R59" s="2651"/>
      <c r="S59" s="2639"/>
      <c r="T59" s="138" t="s">
        <v>389</v>
      </c>
      <c r="U59" s="329">
        <v>50000000</v>
      </c>
      <c r="V59" s="329">
        <v>0</v>
      </c>
      <c r="W59" s="329"/>
      <c r="X59" s="330" t="s">
        <v>285</v>
      </c>
      <c r="Y59" s="331" t="s">
        <v>379</v>
      </c>
      <c r="Z59" s="2633"/>
      <c r="AA59" s="333"/>
      <c r="AB59" s="2633"/>
      <c r="AC59" s="333"/>
      <c r="AD59" s="2633"/>
      <c r="AE59" s="333"/>
      <c r="AF59" s="2633"/>
      <c r="AG59" s="333"/>
      <c r="AH59" s="2633"/>
      <c r="AI59" s="333"/>
      <c r="AJ59" s="2633"/>
      <c r="AK59" s="333"/>
      <c r="AL59" s="2633"/>
      <c r="AM59" s="333"/>
      <c r="AN59" s="2633"/>
      <c r="AO59" s="333"/>
      <c r="AP59" s="2633"/>
      <c r="AQ59" s="333"/>
      <c r="AR59" s="2633"/>
      <c r="AS59" s="333"/>
      <c r="AT59" s="2633"/>
      <c r="AU59" s="333"/>
      <c r="AV59" s="2633"/>
      <c r="AW59" s="333"/>
      <c r="AX59" s="2633"/>
      <c r="AY59" s="333"/>
      <c r="AZ59" s="2633"/>
      <c r="BA59" s="333"/>
      <c r="BB59" s="2633"/>
      <c r="BC59" s="333"/>
      <c r="BD59" s="2633"/>
      <c r="BE59" s="333"/>
      <c r="BF59" s="2633"/>
      <c r="BG59" s="2631"/>
      <c r="BH59" s="2633"/>
      <c r="BI59" s="2634"/>
      <c r="BJ59" s="2511"/>
      <c r="BK59" s="2638"/>
      <c r="BL59" s="2618"/>
      <c r="BM59" s="2618"/>
      <c r="BN59" s="2618"/>
      <c r="BO59" s="2618"/>
      <c r="BP59" s="2620"/>
      <c r="BQ59" s="202"/>
      <c r="BR59" s="202"/>
      <c r="BS59" s="202"/>
      <c r="BT59" s="202"/>
    </row>
    <row r="60" spans="1:72" s="51" customFormat="1" ht="55.5" customHeight="1" x14ac:dyDescent="0.2">
      <c r="A60" s="328"/>
      <c r="B60" s="313"/>
      <c r="C60" s="314"/>
      <c r="D60" s="2654"/>
      <c r="E60" s="2655"/>
      <c r="F60" s="2655"/>
      <c r="G60" s="2639"/>
      <c r="H60" s="2639"/>
      <c r="I60" s="2621">
        <v>59</v>
      </c>
      <c r="J60" s="2622" t="s">
        <v>390</v>
      </c>
      <c r="K60" s="2623" t="s">
        <v>391</v>
      </c>
      <c r="L60" s="2625">
        <v>12</v>
      </c>
      <c r="M60" s="2627" t="s">
        <v>392</v>
      </c>
      <c r="N60" s="2625"/>
      <c r="O60" s="2475"/>
      <c r="P60" s="2628">
        <f>+SUM(U60:U71)/Q49</f>
        <v>0.59999811254957769</v>
      </c>
      <c r="Q60" s="2649"/>
      <c r="R60" s="2651"/>
      <c r="S60" s="2639"/>
      <c r="T60" s="138" t="s">
        <v>393</v>
      </c>
      <c r="U60" s="329">
        <v>89250000</v>
      </c>
      <c r="V60" s="329">
        <v>0</v>
      </c>
      <c r="W60" s="329">
        <v>0</v>
      </c>
      <c r="X60" s="330" t="s">
        <v>285</v>
      </c>
      <c r="Y60" s="331" t="s">
        <v>394</v>
      </c>
      <c r="Z60" s="2633"/>
      <c r="AA60" s="333"/>
      <c r="AB60" s="2633"/>
      <c r="AC60" s="333"/>
      <c r="AD60" s="2633"/>
      <c r="AE60" s="333"/>
      <c r="AF60" s="2633"/>
      <c r="AG60" s="333"/>
      <c r="AH60" s="2633"/>
      <c r="AI60" s="333"/>
      <c r="AJ60" s="2633"/>
      <c r="AK60" s="333"/>
      <c r="AL60" s="2633"/>
      <c r="AM60" s="333"/>
      <c r="AN60" s="2633"/>
      <c r="AO60" s="333"/>
      <c r="AP60" s="2633"/>
      <c r="AQ60" s="333"/>
      <c r="AR60" s="2633"/>
      <c r="AS60" s="333"/>
      <c r="AT60" s="2633"/>
      <c r="AU60" s="333"/>
      <c r="AV60" s="2633"/>
      <c r="AW60" s="333"/>
      <c r="AX60" s="2633"/>
      <c r="AY60" s="333"/>
      <c r="AZ60" s="2633"/>
      <c r="BA60" s="333"/>
      <c r="BB60" s="2633"/>
      <c r="BC60" s="333"/>
      <c r="BD60" s="2633"/>
      <c r="BE60" s="333"/>
      <c r="BF60" s="2633"/>
      <c r="BG60" s="2631"/>
      <c r="BH60" s="2633"/>
      <c r="BI60" s="2634"/>
      <c r="BJ60" s="2511"/>
      <c r="BK60" s="2638"/>
      <c r="BL60" s="2618"/>
      <c r="BM60" s="2618"/>
      <c r="BN60" s="2618"/>
      <c r="BO60" s="2618"/>
      <c r="BP60" s="2620"/>
      <c r="BQ60" s="202"/>
      <c r="BR60" s="202"/>
      <c r="BS60" s="202"/>
      <c r="BT60" s="202"/>
    </row>
    <row r="61" spans="1:72" s="51" customFormat="1" ht="66" customHeight="1" x14ac:dyDescent="0.2">
      <c r="A61" s="328"/>
      <c r="B61" s="313"/>
      <c r="C61" s="314"/>
      <c r="D61" s="2654"/>
      <c r="E61" s="2655"/>
      <c r="F61" s="2655"/>
      <c r="G61" s="2639"/>
      <c r="H61" s="2639"/>
      <c r="I61" s="2621"/>
      <c r="J61" s="2622"/>
      <c r="K61" s="2623"/>
      <c r="L61" s="2625"/>
      <c r="M61" s="2625"/>
      <c r="N61" s="2625"/>
      <c r="O61" s="2475"/>
      <c r="P61" s="2628"/>
      <c r="Q61" s="2649"/>
      <c r="R61" s="2651"/>
      <c r="S61" s="2639"/>
      <c r="T61" s="310" t="s">
        <v>395</v>
      </c>
      <c r="U61" s="329">
        <v>150000000</v>
      </c>
      <c r="V61" s="329">
        <v>0</v>
      </c>
      <c r="W61" s="329">
        <v>0</v>
      </c>
      <c r="X61" s="330" t="s">
        <v>285</v>
      </c>
      <c r="Y61" s="331" t="s">
        <v>394</v>
      </c>
      <c r="Z61" s="2633"/>
      <c r="AA61" s="333"/>
      <c r="AB61" s="2633"/>
      <c r="AC61" s="333"/>
      <c r="AD61" s="2633"/>
      <c r="AE61" s="333"/>
      <c r="AF61" s="2633"/>
      <c r="AG61" s="333"/>
      <c r="AH61" s="2633"/>
      <c r="AI61" s="333"/>
      <c r="AJ61" s="2633"/>
      <c r="AK61" s="333"/>
      <c r="AL61" s="2633"/>
      <c r="AM61" s="333"/>
      <c r="AN61" s="2633"/>
      <c r="AO61" s="333"/>
      <c r="AP61" s="2633"/>
      <c r="AQ61" s="333"/>
      <c r="AR61" s="2633"/>
      <c r="AS61" s="333"/>
      <c r="AT61" s="2633"/>
      <c r="AU61" s="333"/>
      <c r="AV61" s="2633"/>
      <c r="AW61" s="333"/>
      <c r="AX61" s="2633"/>
      <c r="AY61" s="333"/>
      <c r="AZ61" s="2633"/>
      <c r="BA61" s="333"/>
      <c r="BB61" s="2633"/>
      <c r="BC61" s="333"/>
      <c r="BD61" s="2633"/>
      <c r="BE61" s="333"/>
      <c r="BF61" s="2633"/>
      <c r="BG61" s="2631"/>
      <c r="BH61" s="2633"/>
      <c r="BI61" s="2634"/>
      <c r="BJ61" s="2511"/>
      <c r="BK61" s="2638"/>
      <c r="BL61" s="2618"/>
      <c r="BM61" s="2618"/>
      <c r="BN61" s="2618"/>
      <c r="BO61" s="2618"/>
      <c r="BP61" s="2620"/>
      <c r="BQ61" s="202"/>
      <c r="BR61" s="202"/>
      <c r="BS61" s="202"/>
      <c r="BT61" s="202"/>
    </row>
    <row r="62" spans="1:72" s="51" customFormat="1" ht="90.95" customHeight="1" x14ac:dyDescent="0.2">
      <c r="A62" s="328"/>
      <c r="B62" s="313"/>
      <c r="C62" s="314"/>
      <c r="D62" s="2654"/>
      <c r="E62" s="2655"/>
      <c r="F62" s="2655"/>
      <c r="G62" s="2639"/>
      <c r="H62" s="2639"/>
      <c r="I62" s="2621"/>
      <c r="J62" s="2622"/>
      <c r="K62" s="2623"/>
      <c r="L62" s="2625"/>
      <c r="M62" s="2625"/>
      <c r="N62" s="2625"/>
      <c r="O62" s="2475"/>
      <c r="P62" s="2628"/>
      <c r="Q62" s="2649"/>
      <c r="R62" s="2651"/>
      <c r="S62" s="2639"/>
      <c r="T62" s="310" t="s">
        <v>383</v>
      </c>
      <c r="U62" s="329">
        <v>28656000</v>
      </c>
      <c r="V62" s="329">
        <v>10817000</v>
      </c>
      <c r="W62" s="329">
        <v>7200000</v>
      </c>
      <c r="X62" s="330" t="s">
        <v>285</v>
      </c>
      <c r="Y62" s="331" t="s">
        <v>394</v>
      </c>
      <c r="Z62" s="2633"/>
      <c r="AA62" s="333"/>
      <c r="AB62" s="2633"/>
      <c r="AC62" s="333"/>
      <c r="AD62" s="2633"/>
      <c r="AE62" s="333"/>
      <c r="AF62" s="2633"/>
      <c r="AG62" s="333"/>
      <c r="AH62" s="2633"/>
      <c r="AI62" s="333"/>
      <c r="AJ62" s="2633"/>
      <c r="AK62" s="333"/>
      <c r="AL62" s="2633"/>
      <c r="AM62" s="333"/>
      <c r="AN62" s="2633"/>
      <c r="AO62" s="333"/>
      <c r="AP62" s="2633"/>
      <c r="AQ62" s="333"/>
      <c r="AR62" s="2633"/>
      <c r="AS62" s="333"/>
      <c r="AT62" s="2633"/>
      <c r="AU62" s="333"/>
      <c r="AV62" s="2633"/>
      <c r="AW62" s="333"/>
      <c r="AX62" s="2633"/>
      <c r="AY62" s="333"/>
      <c r="AZ62" s="2633"/>
      <c r="BA62" s="333"/>
      <c r="BB62" s="2633"/>
      <c r="BC62" s="333"/>
      <c r="BD62" s="2633"/>
      <c r="BE62" s="333"/>
      <c r="BF62" s="2633"/>
      <c r="BG62" s="2631"/>
      <c r="BH62" s="2633"/>
      <c r="BI62" s="2634"/>
      <c r="BJ62" s="2511"/>
      <c r="BK62" s="2638"/>
      <c r="BL62" s="2618"/>
      <c r="BM62" s="2618"/>
      <c r="BN62" s="2618"/>
      <c r="BO62" s="2618"/>
      <c r="BP62" s="2620"/>
      <c r="BQ62" s="202"/>
      <c r="BR62" s="202"/>
      <c r="BS62" s="202"/>
      <c r="BT62" s="202"/>
    </row>
    <row r="63" spans="1:72" s="51" customFormat="1" ht="71.099999999999994" customHeight="1" x14ac:dyDescent="0.2">
      <c r="A63" s="328"/>
      <c r="B63" s="313"/>
      <c r="C63" s="314"/>
      <c r="D63" s="2654"/>
      <c r="E63" s="2655"/>
      <c r="F63" s="2655"/>
      <c r="G63" s="2639"/>
      <c r="H63" s="2639"/>
      <c r="I63" s="2621"/>
      <c r="J63" s="2622"/>
      <c r="K63" s="2623"/>
      <c r="L63" s="2625"/>
      <c r="M63" s="2625"/>
      <c r="N63" s="2625"/>
      <c r="O63" s="2475"/>
      <c r="P63" s="2628"/>
      <c r="Q63" s="2649"/>
      <c r="R63" s="2651"/>
      <c r="S63" s="2639"/>
      <c r="T63" s="310" t="s">
        <v>384</v>
      </c>
      <c r="U63" s="329">
        <v>17808000</v>
      </c>
      <c r="V63" s="329">
        <v>15600000</v>
      </c>
      <c r="W63" s="329">
        <v>5200000</v>
      </c>
      <c r="X63" s="330" t="s">
        <v>285</v>
      </c>
      <c r="Y63" s="331" t="s">
        <v>394</v>
      </c>
      <c r="Z63" s="2633"/>
      <c r="AA63" s="333"/>
      <c r="AB63" s="2633"/>
      <c r="AC63" s="333"/>
      <c r="AD63" s="2633"/>
      <c r="AE63" s="333"/>
      <c r="AF63" s="2633"/>
      <c r="AG63" s="333"/>
      <c r="AH63" s="2633"/>
      <c r="AI63" s="333"/>
      <c r="AJ63" s="2633"/>
      <c r="AK63" s="333"/>
      <c r="AL63" s="2633"/>
      <c r="AM63" s="333"/>
      <c r="AN63" s="2633"/>
      <c r="AO63" s="333"/>
      <c r="AP63" s="2633"/>
      <c r="AQ63" s="333"/>
      <c r="AR63" s="2633"/>
      <c r="AS63" s="333"/>
      <c r="AT63" s="2633"/>
      <c r="AU63" s="333"/>
      <c r="AV63" s="2633"/>
      <c r="AW63" s="333"/>
      <c r="AX63" s="2633"/>
      <c r="AY63" s="333"/>
      <c r="AZ63" s="2633"/>
      <c r="BA63" s="333"/>
      <c r="BB63" s="2633"/>
      <c r="BC63" s="333"/>
      <c r="BD63" s="2633"/>
      <c r="BE63" s="333"/>
      <c r="BF63" s="2633"/>
      <c r="BG63" s="2631"/>
      <c r="BH63" s="2633"/>
      <c r="BI63" s="2634"/>
      <c r="BJ63" s="2511"/>
      <c r="BK63" s="2638"/>
      <c r="BL63" s="2618"/>
      <c r="BM63" s="2618"/>
      <c r="BN63" s="2618"/>
      <c r="BO63" s="2618"/>
      <c r="BP63" s="2620"/>
      <c r="BQ63" s="202"/>
      <c r="BR63" s="202"/>
      <c r="BS63" s="202"/>
      <c r="BT63" s="202"/>
    </row>
    <row r="64" spans="1:72" s="51" customFormat="1" ht="99.75" customHeight="1" x14ac:dyDescent="0.2">
      <c r="A64" s="328"/>
      <c r="B64" s="313"/>
      <c r="C64" s="314"/>
      <c r="D64" s="2654"/>
      <c r="E64" s="2655"/>
      <c r="F64" s="2655"/>
      <c r="G64" s="2639"/>
      <c r="H64" s="2639"/>
      <c r="I64" s="2621"/>
      <c r="J64" s="2622"/>
      <c r="K64" s="2623"/>
      <c r="L64" s="2625"/>
      <c r="M64" s="2625"/>
      <c r="N64" s="2625"/>
      <c r="O64" s="2475"/>
      <c r="P64" s="2628"/>
      <c r="Q64" s="2649"/>
      <c r="R64" s="2651"/>
      <c r="S64" s="2639"/>
      <c r="T64" s="310" t="s">
        <v>357</v>
      </c>
      <c r="U64" s="329">
        <v>28656000</v>
      </c>
      <c r="V64" s="329">
        <v>3500000</v>
      </c>
      <c r="W64" s="329">
        <v>0</v>
      </c>
      <c r="X64" s="330" t="s">
        <v>285</v>
      </c>
      <c r="Y64" s="331" t="s">
        <v>394</v>
      </c>
      <c r="Z64" s="2633"/>
      <c r="AA64" s="333"/>
      <c r="AB64" s="2633"/>
      <c r="AC64" s="333"/>
      <c r="AD64" s="2633"/>
      <c r="AE64" s="333"/>
      <c r="AF64" s="2633"/>
      <c r="AG64" s="333"/>
      <c r="AH64" s="2633"/>
      <c r="AI64" s="333"/>
      <c r="AJ64" s="2633"/>
      <c r="AK64" s="333"/>
      <c r="AL64" s="2633"/>
      <c r="AM64" s="333"/>
      <c r="AN64" s="2633"/>
      <c r="AO64" s="333"/>
      <c r="AP64" s="2633"/>
      <c r="AQ64" s="333"/>
      <c r="AR64" s="2633"/>
      <c r="AS64" s="333"/>
      <c r="AT64" s="2633"/>
      <c r="AU64" s="333"/>
      <c r="AV64" s="2633"/>
      <c r="AW64" s="333"/>
      <c r="AX64" s="2633"/>
      <c r="AY64" s="333"/>
      <c r="AZ64" s="2633"/>
      <c r="BA64" s="333"/>
      <c r="BB64" s="2633"/>
      <c r="BC64" s="333"/>
      <c r="BD64" s="2633"/>
      <c r="BE64" s="333"/>
      <c r="BF64" s="2633"/>
      <c r="BG64" s="2631"/>
      <c r="BH64" s="2633"/>
      <c r="BI64" s="2634"/>
      <c r="BJ64" s="2511"/>
      <c r="BK64" s="2638"/>
      <c r="BL64" s="2618"/>
      <c r="BM64" s="2618"/>
      <c r="BN64" s="2618"/>
      <c r="BO64" s="2618"/>
      <c r="BP64" s="2620"/>
      <c r="BQ64" s="202"/>
      <c r="BR64" s="202"/>
      <c r="BS64" s="202"/>
      <c r="BT64" s="202"/>
    </row>
    <row r="65" spans="1:72" s="51" customFormat="1" ht="63" customHeight="1" x14ac:dyDescent="0.2">
      <c r="A65" s="328"/>
      <c r="B65" s="313"/>
      <c r="C65" s="314"/>
      <c r="D65" s="2654"/>
      <c r="E65" s="2655"/>
      <c r="F65" s="2655"/>
      <c r="G65" s="2639"/>
      <c r="H65" s="2639"/>
      <c r="I65" s="2621"/>
      <c r="J65" s="2622"/>
      <c r="K65" s="2623"/>
      <c r="L65" s="2625"/>
      <c r="M65" s="2625"/>
      <c r="N65" s="2625"/>
      <c r="O65" s="2475"/>
      <c r="P65" s="2628"/>
      <c r="Q65" s="2649"/>
      <c r="R65" s="2651"/>
      <c r="S65" s="2639"/>
      <c r="T65" s="310" t="s">
        <v>359</v>
      </c>
      <c r="U65" s="329">
        <v>42984000</v>
      </c>
      <c r="V65" s="329">
        <v>33200000</v>
      </c>
      <c r="W65" s="329">
        <v>4500000</v>
      </c>
      <c r="X65" s="330" t="s">
        <v>285</v>
      </c>
      <c r="Y65" s="331" t="s">
        <v>394</v>
      </c>
      <c r="Z65" s="2633"/>
      <c r="AA65" s="333"/>
      <c r="AB65" s="2633"/>
      <c r="AC65" s="333"/>
      <c r="AD65" s="2633"/>
      <c r="AE65" s="333"/>
      <c r="AF65" s="2633"/>
      <c r="AG65" s="333"/>
      <c r="AH65" s="2633"/>
      <c r="AI65" s="333"/>
      <c r="AJ65" s="2633"/>
      <c r="AK65" s="333"/>
      <c r="AL65" s="2633"/>
      <c r="AM65" s="333"/>
      <c r="AN65" s="2633"/>
      <c r="AO65" s="333"/>
      <c r="AP65" s="2633"/>
      <c r="AQ65" s="333"/>
      <c r="AR65" s="2633"/>
      <c r="AS65" s="333"/>
      <c r="AT65" s="2633"/>
      <c r="AU65" s="333"/>
      <c r="AV65" s="2633"/>
      <c r="AW65" s="333"/>
      <c r="AX65" s="2633"/>
      <c r="AY65" s="333"/>
      <c r="AZ65" s="2633"/>
      <c r="BA65" s="333"/>
      <c r="BB65" s="2633"/>
      <c r="BC65" s="333"/>
      <c r="BD65" s="2633"/>
      <c r="BE65" s="333"/>
      <c r="BF65" s="2633"/>
      <c r="BG65" s="2631"/>
      <c r="BH65" s="2633"/>
      <c r="BI65" s="2634"/>
      <c r="BJ65" s="2511"/>
      <c r="BK65" s="2638"/>
      <c r="BL65" s="2618"/>
      <c r="BM65" s="2618"/>
      <c r="BN65" s="2618"/>
      <c r="BO65" s="2618"/>
      <c r="BP65" s="2620"/>
      <c r="BQ65" s="202"/>
      <c r="BR65" s="202"/>
      <c r="BS65" s="202"/>
      <c r="BT65" s="202"/>
    </row>
    <row r="66" spans="1:72" s="51" customFormat="1" ht="68.099999999999994" customHeight="1" x14ac:dyDescent="0.2">
      <c r="A66" s="328"/>
      <c r="B66" s="313"/>
      <c r="C66" s="314"/>
      <c r="D66" s="2654"/>
      <c r="E66" s="2655"/>
      <c r="F66" s="2655"/>
      <c r="G66" s="2639"/>
      <c r="H66" s="2639"/>
      <c r="I66" s="2621"/>
      <c r="J66" s="2622"/>
      <c r="K66" s="2623"/>
      <c r="L66" s="2625"/>
      <c r="M66" s="2625"/>
      <c r="N66" s="2625"/>
      <c r="O66" s="2475"/>
      <c r="P66" s="2628"/>
      <c r="Q66" s="2649"/>
      <c r="R66" s="2651"/>
      <c r="S66" s="2639"/>
      <c r="T66" s="310" t="s">
        <v>385</v>
      </c>
      <c r="U66" s="329">
        <v>29568000</v>
      </c>
      <c r="V66" s="329">
        <v>22575000</v>
      </c>
      <c r="W66" s="329">
        <v>2150000</v>
      </c>
      <c r="X66" s="330" t="s">
        <v>285</v>
      </c>
      <c r="Y66" s="331" t="s">
        <v>394</v>
      </c>
      <c r="Z66" s="2633"/>
      <c r="AA66" s="333"/>
      <c r="AB66" s="2633"/>
      <c r="AC66" s="333"/>
      <c r="AD66" s="2633"/>
      <c r="AE66" s="333"/>
      <c r="AF66" s="2633"/>
      <c r="AG66" s="333"/>
      <c r="AH66" s="2633"/>
      <c r="AI66" s="333"/>
      <c r="AJ66" s="2633"/>
      <c r="AK66" s="333"/>
      <c r="AL66" s="2633"/>
      <c r="AM66" s="333"/>
      <c r="AN66" s="2633"/>
      <c r="AO66" s="333"/>
      <c r="AP66" s="2633"/>
      <c r="AQ66" s="333"/>
      <c r="AR66" s="2633"/>
      <c r="AS66" s="333"/>
      <c r="AT66" s="2633"/>
      <c r="AU66" s="333"/>
      <c r="AV66" s="2633"/>
      <c r="AW66" s="333"/>
      <c r="AX66" s="2633"/>
      <c r="AY66" s="333"/>
      <c r="AZ66" s="2633"/>
      <c r="BA66" s="333"/>
      <c r="BB66" s="2633"/>
      <c r="BC66" s="333"/>
      <c r="BD66" s="2633"/>
      <c r="BE66" s="333"/>
      <c r="BF66" s="2633"/>
      <c r="BG66" s="2631"/>
      <c r="BH66" s="2633"/>
      <c r="BI66" s="2634"/>
      <c r="BJ66" s="2511"/>
      <c r="BK66" s="2638"/>
      <c r="BL66" s="2618"/>
      <c r="BM66" s="2618"/>
      <c r="BN66" s="2618"/>
      <c r="BO66" s="2618"/>
      <c r="BP66" s="2620"/>
      <c r="BQ66" s="202"/>
      <c r="BR66" s="202"/>
      <c r="BS66" s="202"/>
      <c r="BT66" s="202"/>
    </row>
    <row r="67" spans="1:72" s="51" customFormat="1" ht="45.75" customHeight="1" x14ac:dyDescent="0.2">
      <c r="A67" s="328"/>
      <c r="B67" s="313"/>
      <c r="C67" s="314"/>
      <c r="D67" s="2654"/>
      <c r="E67" s="2655"/>
      <c r="F67" s="2655"/>
      <c r="G67" s="2639"/>
      <c r="H67" s="2639"/>
      <c r="I67" s="2621"/>
      <c r="J67" s="2622"/>
      <c r="K67" s="2623"/>
      <c r="L67" s="2625"/>
      <c r="M67" s="2625"/>
      <c r="N67" s="2625"/>
      <c r="O67" s="2475"/>
      <c r="P67" s="2628"/>
      <c r="Q67" s="2649"/>
      <c r="R67" s="2651"/>
      <c r="S67" s="2639"/>
      <c r="T67" s="334" t="s">
        <v>386</v>
      </c>
      <c r="U67" s="329">
        <v>27900000</v>
      </c>
      <c r="V67" s="329">
        <v>0</v>
      </c>
      <c r="W67" s="329">
        <v>0</v>
      </c>
      <c r="X67" s="330" t="s">
        <v>285</v>
      </c>
      <c r="Y67" s="331" t="s">
        <v>394</v>
      </c>
      <c r="Z67" s="2633"/>
      <c r="AA67" s="333"/>
      <c r="AB67" s="2633"/>
      <c r="AC67" s="333"/>
      <c r="AD67" s="2633"/>
      <c r="AE67" s="333"/>
      <c r="AF67" s="2633"/>
      <c r="AG67" s="333"/>
      <c r="AH67" s="2633"/>
      <c r="AI67" s="333"/>
      <c r="AJ67" s="2633"/>
      <c r="AK67" s="333"/>
      <c r="AL67" s="2633"/>
      <c r="AM67" s="333"/>
      <c r="AN67" s="2633"/>
      <c r="AO67" s="333"/>
      <c r="AP67" s="2633"/>
      <c r="AQ67" s="333"/>
      <c r="AR67" s="2633"/>
      <c r="AS67" s="333"/>
      <c r="AT67" s="2633"/>
      <c r="AU67" s="333"/>
      <c r="AV67" s="2633"/>
      <c r="AW67" s="333"/>
      <c r="AX67" s="2633"/>
      <c r="AY67" s="333"/>
      <c r="AZ67" s="2633"/>
      <c r="BA67" s="333"/>
      <c r="BB67" s="2633"/>
      <c r="BC67" s="333"/>
      <c r="BD67" s="2633"/>
      <c r="BE67" s="333"/>
      <c r="BF67" s="2633"/>
      <c r="BG67" s="2631"/>
      <c r="BH67" s="2633"/>
      <c r="BI67" s="2634"/>
      <c r="BJ67" s="2511"/>
      <c r="BK67" s="2638"/>
      <c r="BL67" s="2618"/>
      <c r="BM67" s="2618"/>
      <c r="BN67" s="2618"/>
      <c r="BO67" s="2618"/>
      <c r="BP67" s="2620"/>
      <c r="BQ67" s="202"/>
      <c r="BR67" s="202"/>
      <c r="BS67" s="202"/>
      <c r="BT67" s="202"/>
    </row>
    <row r="68" spans="1:72" s="51" customFormat="1" ht="40.5" customHeight="1" x14ac:dyDescent="0.2">
      <c r="A68" s="328"/>
      <c r="B68" s="313"/>
      <c r="C68" s="314"/>
      <c r="D68" s="2654"/>
      <c r="E68" s="2655"/>
      <c r="F68" s="2655"/>
      <c r="G68" s="2639"/>
      <c r="H68" s="2639"/>
      <c r="I68" s="2621"/>
      <c r="J68" s="2622"/>
      <c r="K68" s="2623"/>
      <c r="L68" s="2625"/>
      <c r="M68" s="2625"/>
      <c r="N68" s="2625"/>
      <c r="O68" s="2475"/>
      <c r="P68" s="2628"/>
      <c r="Q68" s="2649"/>
      <c r="R68" s="2651"/>
      <c r="S68" s="2639"/>
      <c r="T68" s="334" t="s">
        <v>387</v>
      </c>
      <c r="U68" s="329">
        <v>26712000</v>
      </c>
      <c r="V68" s="329">
        <v>0</v>
      </c>
      <c r="W68" s="329">
        <v>0</v>
      </c>
      <c r="X68" s="330" t="s">
        <v>285</v>
      </c>
      <c r="Y68" s="331" t="s">
        <v>394</v>
      </c>
      <c r="Z68" s="2633"/>
      <c r="AA68" s="333"/>
      <c r="AB68" s="2633"/>
      <c r="AC68" s="333"/>
      <c r="AD68" s="2633"/>
      <c r="AE68" s="333"/>
      <c r="AF68" s="2633"/>
      <c r="AG68" s="333"/>
      <c r="AH68" s="2633"/>
      <c r="AI68" s="333"/>
      <c r="AJ68" s="2633"/>
      <c r="AK68" s="333"/>
      <c r="AL68" s="2633"/>
      <c r="AM68" s="333"/>
      <c r="AN68" s="2633"/>
      <c r="AO68" s="333"/>
      <c r="AP68" s="2633"/>
      <c r="AQ68" s="333"/>
      <c r="AR68" s="2633"/>
      <c r="AS68" s="333"/>
      <c r="AT68" s="2633"/>
      <c r="AU68" s="333"/>
      <c r="AV68" s="2633"/>
      <c r="AW68" s="333"/>
      <c r="AX68" s="2633"/>
      <c r="AY68" s="333"/>
      <c r="AZ68" s="2633"/>
      <c r="BA68" s="333"/>
      <c r="BB68" s="2633"/>
      <c r="BC68" s="333"/>
      <c r="BD68" s="2633"/>
      <c r="BE68" s="333"/>
      <c r="BF68" s="2633"/>
      <c r="BG68" s="2631"/>
      <c r="BH68" s="2633"/>
      <c r="BI68" s="2634"/>
      <c r="BJ68" s="2511"/>
      <c r="BK68" s="2638"/>
      <c r="BL68" s="2618"/>
      <c r="BM68" s="2618"/>
      <c r="BN68" s="2618"/>
      <c r="BO68" s="2618"/>
      <c r="BP68" s="2620"/>
      <c r="BQ68" s="202"/>
      <c r="BR68" s="202"/>
      <c r="BS68" s="202"/>
      <c r="BT68" s="202"/>
    </row>
    <row r="69" spans="1:72" s="51" customFormat="1" ht="42" customHeight="1" x14ac:dyDescent="0.2">
      <c r="A69" s="328"/>
      <c r="B69" s="313"/>
      <c r="C69" s="314"/>
      <c r="D69" s="2654"/>
      <c r="E69" s="2655"/>
      <c r="F69" s="2655"/>
      <c r="G69" s="2639"/>
      <c r="H69" s="2639"/>
      <c r="I69" s="2621"/>
      <c r="J69" s="2622"/>
      <c r="K69" s="2623"/>
      <c r="L69" s="2625"/>
      <c r="M69" s="2625"/>
      <c r="N69" s="2625"/>
      <c r="O69" s="2475"/>
      <c r="P69" s="2628"/>
      <c r="Q69" s="2649"/>
      <c r="R69" s="2651"/>
      <c r="S69" s="2639"/>
      <c r="T69" s="310" t="s">
        <v>396</v>
      </c>
      <c r="U69" s="329">
        <v>2257396000</v>
      </c>
      <c r="V69" s="329">
        <v>0</v>
      </c>
      <c r="W69" s="329">
        <v>0</v>
      </c>
      <c r="X69" s="330" t="s">
        <v>285</v>
      </c>
      <c r="Y69" s="331" t="s">
        <v>394</v>
      </c>
      <c r="Z69" s="2633"/>
      <c r="AA69" s="333"/>
      <c r="AB69" s="2633"/>
      <c r="AC69" s="333"/>
      <c r="AD69" s="2633"/>
      <c r="AE69" s="333"/>
      <c r="AF69" s="2633"/>
      <c r="AG69" s="333"/>
      <c r="AH69" s="2633"/>
      <c r="AI69" s="333"/>
      <c r="AJ69" s="2633"/>
      <c r="AK69" s="333"/>
      <c r="AL69" s="2633"/>
      <c r="AM69" s="333"/>
      <c r="AN69" s="2633"/>
      <c r="AO69" s="333"/>
      <c r="AP69" s="2633"/>
      <c r="AQ69" s="333"/>
      <c r="AR69" s="2633"/>
      <c r="AS69" s="333"/>
      <c r="AT69" s="2633"/>
      <c r="AU69" s="333"/>
      <c r="AV69" s="2633"/>
      <c r="AW69" s="333"/>
      <c r="AX69" s="2633"/>
      <c r="AY69" s="333"/>
      <c r="AZ69" s="2633"/>
      <c r="BA69" s="333"/>
      <c r="BB69" s="2633"/>
      <c r="BC69" s="333"/>
      <c r="BD69" s="2633"/>
      <c r="BE69" s="333"/>
      <c r="BF69" s="2633"/>
      <c r="BG69" s="2631"/>
      <c r="BH69" s="2633"/>
      <c r="BI69" s="2634"/>
      <c r="BJ69" s="2511"/>
      <c r="BK69" s="2638"/>
      <c r="BL69" s="2618"/>
      <c r="BM69" s="2618"/>
      <c r="BN69" s="2618"/>
      <c r="BO69" s="2618"/>
      <c r="BP69" s="2620"/>
      <c r="BQ69" s="202"/>
      <c r="BR69" s="202"/>
      <c r="BS69" s="202"/>
      <c r="BT69" s="202"/>
    </row>
    <row r="70" spans="1:72" s="51" customFormat="1" ht="40.5" customHeight="1" x14ac:dyDescent="0.2">
      <c r="A70" s="328"/>
      <c r="B70" s="313"/>
      <c r="C70" s="314"/>
      <c r="D70" s="2654"/>
      <c r="E70" s="2655"/>
      <c r="F70" s="2655"/>
      <c r="G70" s="2639"/>
      <c r="H70" s="2639"/>
      <c r="I70" s="2621"/>
      <c r="J70" s="2622"/>
      <c r="K70" s="2623"/>
      <c r="L70" s="2625"/>
      <c r="M70" s="2625"/>
      <c r="N70" s="2625"/>
      <c r="O70" s="2475"/>
      <c r="P70" s="2628"/>
      <c r="Q70" s="2649"/>
      <c r="R70" s="2651"/>
      <c r="S70" s="2639"/>
      <c r="T70" s="310" t="s">
        <v>397</v>
      </c>
      <c r="U70" s="329">
        <v>375000000</v>
      </c>
      <c r="V70" s="329">
        <v>0</v>
      </c>
      <c r="W70" s="329">
        <v>0</v>
      </c>
      <c r="X70" s="330" t="s">
        <v>285</v>
      </c>
      <c r="Y70" s="331" t="s">
        <v>394</v>
      </c>
      <c r="Z70" s="2633"/>
      <c r="AA70" s="333"/>
      <c r="AB70" s="2633"/>
      <c r="AC70" s="333"/>
      <c r="AD70" s="2633"/>
      <c r="AE70" s="333"/>
      <c r="AF70" s="2633"/>
      <c r="AG70" s="333"/>
      <c r="AH70" s="2633"/>
      <c r="AI70" s="333"/>
      <c r="AJ70" s="2633"/>
      <c r="AK70" s="333"/>
      <c r="AL70" s="2633"/>
      <c r="AM70" s="333"/>
      <c r="AN70" s="2633"/>
      <c r="AO70" s="333"/>
      <c r="AP70" s="2633"/>
      <c r="AQ70" s="333"/>
      <c r="AR70" s="2633"/>
      <c r="AS70" s="333"/>
      <c r="AT70" s="2633"/>
      <c r="AU70" s="333"/>
      <c r="AV70" s="2633"/>
      <c r="AW70" s="333"/>
      <c r="AX70" s="2633"/>
      <c r="AY70" s="333"/>
      <c r="AZ70" s="2633"/>
      <c r="BA70" s="333"/>
      <c r="BB70" s="2633"/>
      <c r="BC70" s="333"/>
      <c r="BD70" s="2633"/>
      <c r="BE70" s="333"/>
      <c r="BF70" s="2633"/>
      <c r="BG70" s="2631"/>
      <c r="BH70" s="2633"/>
      <c r="BI70" s="2634"/>
      <c r="BJ70" s="2511"/>
      <c r="BK70" s="2638"/>
      <c r="BL70" s="2618"/>
      <c r="BM70" s="2618"/>
      <c r="BN70" s="2618"/>
      <c r="BO70" s="2618"/>
      <c r="BP70" s="2620"/>
      <c r="BQ70" s="202"/>
      <c r="BR70" s="202"/>
      <c r="BS70" s="202"/>
      <c r="BT70" s="202"/>
    </row>
    <row r="71" spans="1:72" s="51" customFormat="1" ht="95.25" customHeight="1" x14ac:dyDescent="0.2">
      <c r="A71" s="328"/>
      <c r="B71" s="313"/>
      <c r="C71" s="314"/>
      <c r="D71" s="2654"/>
      <c r="E71" s="2655"/>
      <c r="F71" s="2655"/>
      <c r="G71" s="2639"/>
      <c r="H71" s="2639"/>
      <c r="I71" s="2621"/>
      <c r="J71" s="2622"/>
      <c r="K71" s="2624"/>
      <c r="L71" s="2626"/>
      <c r="M71" s="2626"/>
      <c r="N71" s="2625"/>
      <c r="O71" s="2475"/>
      <c r="P71" s="2629"/>
      <c r="Q71" s="2649"/>
      <c r="R71" s="2651"/>
      <c r="S71" s="2639"/>
      <c r="T71" s="138" t="s">
        <v>398</v>
      </c>
      <c r="U71" s="61">
        <v>200000000</v>
      </c>
      <c r="V71" s="61">
        <v>0</v>
      </c>
      <c r="W71" s="61"/>
      <c r="X71" s="330" t="s">
        <v>285</v>
      </c>
      <c r="Y71" s="331" t="s">
        <v>394</v>
      </c>
      <c r="Z71" s="2633"/>
      <c r="AA71" s="333"/>
      <c r="AB71" s="2633"/>
      <c r="AC71" s="333"/>
      <c r="AD71" s="2633"/>
      <c r="AE71" s="333"/>
      <c r="AF71" s="2633"/>
      <c r="AG71" s="333"/>
      <c r="AH71" s="2633"/>
      <c r="AI71" s="333"/>
      <c r="AJ71" s="2633"/>
      <c r="AK71" s="333"/>
      <c r="AL71" s="2633"/>
      <c r="AM71" s="333"/>
      <c r="AN71" s="2633"/>
      <c r="AO71" s="333"/>
      <c r="AP71" s="2633"/>
      <c r="AQ71" s="333"/>
      <c r="AR71" s="2633"/>
      <c r="AS71" s="333"/>
      <c r="AT71" s="2633"/>
      <c r="AU71" s="333"/>
      <c r="AV71" s="2633"/>
      <c r="AW71" s="333"/>
      <c r="AX71" s="2633"/>
      <c r="AY71" s="333"/>
      <c r="AZ71" s="2633"/>
      <c r="BA71" s="333"/>
      <c r="BB71" s="2633"/>
      <c r="BC71" s="333"/>
      <c r="BD71" s="2633"/>
      <c r="BE71" s="333"/>
      <c r="BF71" s="2633"/>
      <c r="BG71" s="2631"/>
      <c r="BH71" s="2633"/>
      <c r="BI71" s="2634"/>
      <c r="BJ71" s="2511"/>
      <c r="BK71" s="2638"/>
      <c r="BL71" s="2618"/>
      <c r="BM71" s="2618"/>
      <c r="BN71" s="2618"/>
      <c r="BO71" s="2618"/>
      <c r="BP71" s="2620"/>
      <c r="BQ71" s="202"/>
      <c r="BR71" s="202"/>
      <c r="BS71" s="202"/>
      <c r="BT71" s="202"/>
    </row>
    <row r="72" spans="1:72" s="51" customFormat="1" ht="108.95" customHeight="1" x14ac:dyDescent="0.2">
      <c r="A72" s="328"/>
      <c r="B72" s="313"/>
      <c r="C72" s="314"/>
      <c r="D72" s="2654"/>
      <c r="E72" s="2655"/>
      <c r="F72" s="2655"/>
      <c r="G72" s="2639"/>
      <c r="H72" s="2639"/>
      <c r="I72" s="2658">
        <v>62</v>
      </c>
      <c r="J72" s="2659" t="s">
        <v>399</v>
      </c>
      <c r="K72" s="2627" t="s">
        <v>400</v>
      </c>
      <c r="L72" s="2627">
        <v>2</v>
      </c>
      <c r="M72" s="2639" t="s">
        <v>401</v>
      </c>
      <c r="N72" s="2625"/>
      <c r="O72" s="2475"/>
      <c r="P72" s="2647">
        <f>+(U72)/Q49</f>
        <v>1.3744905493159086E-2</v>
      </c>
      <c r="Q72" s="2649"/>
      <c r="R72" s="2651"/>
      <c r="S72" s="2639"/>
      <c r="T72" s="2640" t="s">
        <v>402</v>
      </c>
      <c r="U72" s="2641">
        <v>75000000</v>
      </c>
      <c r="V72" s="2641">
        <v>0</v>
      </c>
      <c r="W72" s="2641">
        <v>0</v>
      </c>
      <c r="X72" s="2642">
        <v>20</v>
      </c>
      <c r="Y72" s="2644" t="s">
        <v>70</v>
      </c>
      <c r="Z72" s="2633"/>
      <c r="AA72" s="333"/>
      <c r="AB72" s="2633"/>
      <c r="AC72" s="333"/>
      <c r="AD72" s="2633"/>
      <c r="AE72" s="333"/>
      <c r="AF72" s="2633"/>
      <c r="AG72" s="333"/>
      <c r="AH72" s="2633"/>
      <c r="AI72" s="333"/>
      <c r="AJ72" s="2633"/>
      <c r="AK72" s="333"/>
      <c r="AL72" s="2633"/>
      <c r="AM72" s="333"/>
      <c r="AN72" s="2633"/>
      <c r="AO72" s="333"/>
      <c r="AP72" s="2633"/>
      <c r="AQ72" s="333"/>
      <c r="AR72" s="2633"/>
      <c r="AS72" s="333"/>
      <c r="AT72" s="2633"/>
      <c r="AU72" s="333"/>
      <c r="AV72" s="2633"/>
      <c r="AW72" s="333"/>
      <c r="AX72" s="2633"/>
      <c r="AY72" s="333"/>
      <c r="AZ72" s="2633"/>
      <c r="BA72" s="333"/>
      <c r="BB72" s="2633"/>
      <c r="BC72" s="333"/>
      <c r="BD72" s="2633"/>
      <c r="BE72" s="333"/>
      <c r="BF72" s="2633"/>
      <c r="BG72" s="2631"/>
      <c r="BH72" s="2633"/>
      <c r="BI72" s="2634"/>
      <c r="BJ72" s="2511"/>
      <c r="BK72" s="2638"/>
      <c r="BL72" s="2618"/>
      <c r="BM72" s="2618"/>
      <c r="BN72" s="2618"/>
      <c r="BO72" s="2618"/>
      <c r="BP72" s="2620"/>
    </row>
    <row r="73" spans="1:72" s="51" customFormat="1" ht="72.95" customHeight="1" x14ac:dyDescent="0.2">
      <c r="A73" s="328"/>
      <c r="B73" s="313"/>
      <c r="C73" s="314"/>
      <c r="D73" s="2654"/>
      <c r="E73" s="2655"/>
      <c r="F73" s="2655"/>
      <c r="G73" s="2639"/>
      <c r="H73" s="2639"/>
      <c r="I73" s="2658"/>
      <c r="J73" s="2660"/>
      <c r="K73" s="2625"/>
      <c r="L73" s="2625"/>
      <c r="M73" s="2639"/>
      <c r="N73" s="2625"/>
      <c r="O73" s="2475"/>
      <c r="P73" s="2628"/>
      <c r="Q73" s="2649"/>
      <c r="R73" s="2651"/>
      <c r="S73" s="2639"/>
      <c r="T73" s="2640"/>
      <c r="U73" s="2641"/>
      <c r="V73" s="2641"/>
      <c r="W73" s="2641"/>
      <c r="X73" s="2643"/>
      <c r="Y73" s="2645"/>
      <c r="Z73" s="2633"/>
      <c r="AA73" s="333"/>
      <c r="AB73" s="2633"/>
      <c r="AC73" s="333"/>
      <c r="AD73" s="2633"/>
      <c r="AE73" s="333"/>
      <c r="AF73" s="2633"/>
      <c r="AG73" s="333"/>
      <c r="AH73" s="2633"/>
      <c r="AI73" s="333"/>
      <c r="AJ73" s="2633"/>
      <c r="AK73" s="333"/>
      <c r="AL73" s="2633"/>
      <c r="AM73" s="333"/>
      <c r="AN73" s="2633"/>
      <c r="AO73" s="333"/>
      <c r="AP73" s="2633"/>
      <c r="AQ73" s="333"/>
      <c r="AR73" s="2633"/>
      <c r="AS73" s="333"/>
      <c r="AT73" s="2633"/>
      <c r="AU73" s="333"/>
      <c r="AV73" s="2633"/>
      <c r="AW73" s="333"/>
      <c r="AX73" s="2633"/>
      <c r="AY73" s="333"/>
      <c r="AZ73" s="2633"/>
      <c r="BA73" s="333"/>
      <c r="BB73" s="2633"/>
      <c r="BC73" s="333"/>
      <c r="BD73" s="2633"/>
      <c r="BE73" s="333"/>
      <c r="BF73" s="2633"/>
      <c r="BG73" s="2631"/>
      <c r="BH73" s="2633"/>
      <c r="BI73" s="2634"/>
      <c r="BJ73" s="2511"/>
      <c r="BK73" s="2638"/>
      <c r="BL73" s="2618"/>
      <c r="BM73" s="2618"/>
      <c r="BN73" s="2618"/>
      <c r="BO73" s="2618"/>
      <c r="BP73" s="2620"/>
    </row>
    <row r="74" spans="1:72" s="51" customFormat="1" ht="162" customHeight="1" thickBot="1" x14ac:dyDescent="0.25">
      <c r="A74" s="328"/>
      <c r="B74" s="313"/>
      <c r="C74" s="314"/>
      <c r="D74" s="2654"/>
      <c r="E74" s="2655"/>
      <c r="F74" s="2655"/>
      <c r="G74" s="2627"/>
      <c r="H74" s="2627"/>
      <c r="I74" s="335">
        <v>63</v>
      </c>
      <c r="J74" s="336" t="s">
        <v>403</v>
      </c>
      <c r="K74" s="337" t="s">
        <v>404</v>
      </c>
      <c r="L74" s="297">
        <v>250</v>
      </c>
      <c r="M74" s="297" t="s">
        <v>401</v>
      </c>
      <c r="N74" s="2625"/>
      <c r="O74" s="2475"/>
      <c r="P74" s="338">
        <f>+(U74)/Q49</f>
        <v>0.12875240856675133</v>
      </c>
      <c r="Q74" s="2649"/>
      <c r="R74" s="2651"/>
      <c r="S74" s="2627"/>
      <c r="T74" s="339" t="s">
        <v>405</v>
      </c>
      <c r="U74" s="340">
        <v>702546165</v>
      </c>
      <c r="V74" s="340">
        <v>0</v>
      </c>
      <c r="W74" s="340">
        <v>0</v>
      </c>
      <c r="X74" s="341" t="s">
        <v>285</v>
      </c>
      <c r="Y74" s="342" t="s">
        <v>394</v>
      </c>
      <c r="Z74" s="2633"/>
      <c r="AA74" s="333"/>
      <c r="AB74" s="2633"/>
      <c r="AC74" s="333"/>
      <c r="AD74" s="2633"/>
      <c r="AE74" s="333"/>
      <c r="AF74" s="2633"/>
      <c r="AG74" s="333"/>
      <c r="AH74" s="2633"/>
      <c r="AI74" s="333"/>
      <c r="AJ74" s="2633"/>
      <c r="AK74" s="333"/>
      <c r="AL74" s="2633"/>
      <c r="AM74" s="333"/>
      <c r="AN74" s="2633"/>
      <c r="AO74" s="333"/>
      <c r="AP74" s="2633"/>
      <c r="AQ74" s="333"/>
      <c r="AR74" s="2633"/>
      <c r="AS74" s="333"/>
      <c r="AT74" s="2633"/>
      <c r="AU74" s="333"/>
      <c r="AV74" s="2633"/>
      <c r="AW74" s="333"/>
      <c r="AX74" s="2633"/>
      <c r="AY74" s="333"/>
      <c r="AZ74" s="2633"/>
      <c r="BA74" s="333"/>
      <c r="BB74" s="2633"/>
      <c r="BC74" s="333"/>
      <c r="BD74" s="2633"/>
      <c r="BE74" s="333"/>
      <c r="BF74" s="2633"/>
      <c r="BG74" s="2631"/>
      <c r="BH74" s="2633"/>
      <c r="BI74" s="2635"/>
      <c r="BJ74" s="2511"/>
      <c r="BK74" s="2638"/>
      <c r="BL74" s="2618"/>
      <c r="BM74" s="2618"/>
      <c r="BN74" s="2618">
        <v>43100</v>
      </c>
      <c r="BO74" s="2618"/>
      <c r="BP74" s="2620"/>
    </row>
    <row r="75" spans="1:72" ht="30.75" customHeight="1" thickBot="1" x14ac:dyDescent="0.25">
      <c r="A75" s="343"/>
      <c r="B75" s="344"/>
      <c r="C75" s="344"/>
      <c r="D75" s="344"/>
      <c r="E75" s="344"/>
      <c r="F75" s="344"/>
      <c r="G75" s="344"/>
      <c r="H75" s="344"/>
      <c r="I75" s="345"/>
      <c r="J75" s="344"/>
      <c r="K75" s="346"/>
      <c r="L75" s="347"/>
      <c r="M75" s="347"/>
      <c r="N75" s="348"/>
      <c r="O75" s="349"/>
      <c r="P75" s="350"/>
      <c r="Q75" s="351">
        <f>SUM(Q13:Q74)</f>
        <v>9562689012</v>
      </c>
      <c r="R75" s="352"/>
      <c r="S75" s="353"/>
      <c r="T75" s="354"/>
      <c r="U75" s="355">
        <f>SUM(U13:U74)</f>
        <v>9562689012</v>
      </c>
      <c r="V75" s="355">
        <f>SUM(V13:V74)</f>
        <v>405799665</v>
      </c>
      <c r="W75" s="355">
        <f>SUM(W13:W74)</f>
        <v>128413333</v>
      </c>
      <c r="X75" s="356"/>
      <c r="Y75" s="357"/>
      <c r="Z75" s="356"/>
      <c r="AA75" s="356"/>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9"/>
      <c r="BE75" s="359"/>
      <c r="BF75" s="360"/>
      <c r="BG75" s="355">
        <f>SUM(BG13:BG74)</f>
        <v>405799665</v>
      </c>
      <c r="BH75" s="355">
        <f>SUM(BH13:BH74)</f>
        <v>128413333</v>
      </c>
      <c r="BI75" s="361">
        <f>BH75/BG75</f>
        <v>0.31644514295003173</v>
      </c>
      <c r="BJ75" s="359"/>
      <c r="BK75" s="359"/>
      <c r="BL75" s="359"/>
      <c r="BM75" s="359"/>
      <c r="BN75" s="359"/>
      <c r="BO75" s="359"/>
      <c r="BP75" s="362"/>
    </row>
    <row r="76" spans="1:72" ht="27" customHeight="1" x14ac:dyDescent="0.2">
      <c r="A76" s="363"/>
      <c r="J76" s="197"/>
      <c r="K76" s="51"/>
      <c r="L76" s="51"/>
      <c r="M76" s="199"/>
      <c r="N76" s="364"/>
      <c r="O76" s="200"/>
      <c r="P76" s="207"/>
      <c r="Q76" s="365"/>
      <c r="R76" s="366"/>
      <c r="S76" s="366"/>
      <c r="T76" s="366"/>
      <c r="U76" s="367"/>
      <c r="V76" s="367"/>
      <c r="W76" s="367"/>
      <c r="X76" s="204"/>
      <c r="Y76" s="103"/>
      <c r="BL76" s="205"/>
      <c r="BM76" s="205"/>
      <c r="BN76" s="206"/>
      <c r="BO76" s="206"/>
      <c r="BP76" s="86"/>
    </row>
    <row r="77" spans="1:72" ht="27" customHeight="1" x14ac:dyDescent="0.2">
      <c r="A77" s="363"/>
      <c r="J77" s="197"/>
      <c r="K77" s="51"/>
      <c r="L77" s="51"/>
      <c r="M77" s="199"/>
      <c r="N77" s="364"/>
      <c r="O77" s="200"/>
      <c r="P77" s="207"/>
      <c r="Q77" s="365"/>
      <c r="R77" s="366"/>
      <c r="S77" s="366"/>
      <c r="T77" s="366"/>
      <c r="U77" s="367"/>
      <c r="V77" s="367"/>
      <c r="W77" s="367"/>
      <c r="X77" s="204"/>
      <c r="Y77" s="204"/>
      <c r="BL77" s="205"/>
      <c r="BM77" s="205"/>
      <c r="BN77" s="206"/>
      <c r="BO77" s="206"/>
      <c r="BP77" s="86"/>
    </row>
    <row r="78" spans="1:72" ht="27" customHeight="1" x14ac:dyDescent="0.25">
      <c r="A78" s="363"/>
      <c r="D78" s="212" t="s">
        <v>406</v>
      </c>
      <c r="E78" s="212"/>
      <c r="F78" s="212"/>
      <c r="J78" s="197"/>
      <c r="K78" s="51"/>
      <c r="L78" s="51"/>
      <c r="M78" s="199"/>
      <c r="N78" s="199"/>
      <c r="O78" s="200"/>
      <c r="P78" s="207"/>
      <c r="Q78" s="365"/>
      <c r="R78" s="197"/>
      <c r="S78" s="197"/>
      <c r="T78" s="197"/>
      <c r="U78" s="367"/>
      <c r="V78" s="367"/>
      <c r="W78" s="367"/>
      <c r="X78" s="204"/>
      <c r="Y78" s="204"/>
      <c r="BL78" s="205"/>
      <c r="BM78" s="205"/>
      <c r="BN78" s="206"/>
      <c r="BO78" s="206"/>
      <c r="BP78" s="86"/>
    </row>
    <row r="79" spans="1:72" ht="15" customHeight="1" x14ac:dyDescent="0.2">
      <c r="A79" s="363"/>
      <c r="D79" s="2" t="s">
        <v>407</v>
      </c>
      <c r="J79" s="197"/>
      <c r="K79" s="51"/>
      <c r="L79" s="51"/>
      <c r="M79" s="199"/>
      <c r="N79" s="199"/>
      <c r="O79" s="200"/>
      <c r="P79" s="207"/>
      <c r="Q79" s="365"/>
      <c r="R79" s="197"/>
      <c r="S79" s="197"/>
      <c r="T79" s="197"/>
      <c r="U79" s="367"/>
      <c r="V79" s="367"/>
      <c r="W79" s="367"/>
      <c r="X79" s="204"/>
      <c r="Y79" s="204"/>
      <c r="BL79" s="205"/>
      <c r="BM79" s="205"/>
      <c r="BN79" s="206"/>
      <c r="BO79" s="206"/>
      <c r="BP79" s="86"/>
    </row>
    <row r="80" spans="1:72" ht="13.5" customHeight="1" x14ac:dyDescent="0.2">
      <c r="A80" s="363"/>
      <c r="D80" s="2" t="s">
        <v>408</v>
      </c>
      <c r="J80" s="197"/>
      <c r="K80" s="51"/>
      <c r="L80" s="51"/>
      <c r="M80" s="199"/>
      <c r="N80" s="199"/>
      <c r="O80" s="200"/>
      <c r="P80" s="207"/>
      <c r="Q80" s="365"/>
      <c r="R80" s="197"/>
      <c r="S80" s="197"/>
      <c r="T80" s="197"/>
      <c r="U80" s="367"/>
      <c r="V80" s="367"/>
      <c r="W80" s="367"/>
      <c r="X80" s="367"/>
      <c r="Y80" s="204"/>
      <c r="BL80" s="205"/>
      <c r="BM80" s="205"/>
      <c r="BN80" s="206"/>
      <c r="BO80" s="206"/>
      <c r="BP80" s="86"/>
    </row>
  </sheetData>
  <sheetProtection algorithmName="SHA-512" hashValue="fGYaA/JJToqIZG+x4iYZTFPXan4WDaVQVUb7bnSQBbKiHLXbRYaHyiPMiS15wt81hTmJ3E1rrhf8mXzlk0G0XA==" saltValue="tkxMahEgPjk9cjRPG7afqg==" spinCount="100000" sheet="1" objects="1" scenarios="1"/>
  <mergeCells count="342">
    <mergeCell ref="A1:BL4"/>
    <mergeCell ref="A5:L6"/>
    <mergeCell ref="M5:BP5"/>
    <mergeCell ref="Z6:BB6"/>
    <mergeCell ref="A7:A9"/>
    <mergeCell ref="B7:C9"/>
    <mergeCell ref="D7:D9"/>
    <mergeCell ref="E7:F9"/>
    <mergeCell ref="G7:G9"/>
    <mergeCell ref="H7:H9"/>
    <mergeCell ref="U7:W7"/>
    <mergeCell ref="X7:X9"/>
    <mergeCell ref="Y7:Y9"/>
    <mergeCell ref="Z7:AC7"/>
    <mergeCell ref="AD7:AK7"/>
    <mergeCell ref="AL7:AW7"/>
    <mergeCell ref="U8:U9"/>
    <mergeCell ref="V8:V9"/>
    <mergeCell ref="BL7:BM8"/>
    <mergeCell ref="BN7:BO8"/>
    <mergeCell ref="BP7:BP8"/>
    <mergeCell ref="AZ8:BA8"/>
    <mergeCell ref="BB8:BC8"/>
    <mergeCell ref="BF8:BF9"/>
    <mergeCell ref="I7:I9"/>
    <mergeCell ref="J7:J9"/>
    <mergeCell ref="K7:K9"/>
    <mergeCell ref="L7:L8"/>
    <mergeCell ref="M7:M9"/>
    <mergeCell ref="N7:N9"/>
    <mergeCell ref="A11:C24"/>
    <mergeCell ref="D13:F24"/>
    <mergeCell ref="G13:H14"/>
    <mergeCell ref="I13:I14"/>
    <mergeCell ref="J13:J14"/>
    <mergeCell ref="M15:M16"/>
    <mergeCell ref="N15:N16"/>
    <mergeCell ref="G19:H19"/>
    <mergeCell ref="G20:H21"/>
    <mergeCell ref="I20:I21"/>
    <mergeCell ref="J20:J21"/>
    <mergeCell ref="K20:K21"/>
    <mergeCell ref="L20:L21"/>
    <mergeCell ref="G22:H24"/>
    <mergeCell ref="I22:I24"/>
    <mergeCell ref="J22:J24"/>
    <mergeCell ref="K22:K24"/>
    <mergeCell ref="L22:L24"/>
    <mergeCell ref="P7:P9"/>
    <mergeCell ref="Q7:Q9"/>
    <mergeCell ref="R7:R9"/>
    <mergeCell ref="S7:S9"/>
    <mergeCell ref="K13:K14"/>
    <mergeCell ref="W8:W9"/>
    <mergeCell ref="Z8:AA8"/>
    <mergeCell ref="L13:L14"/>
    <mergeCell ref="N13:N14"/>
    <mergeCell ref="O13:O14"/>
    <mergeCell ref="P13:P14"/>
    <mergeCell ref="Q13:Q14"/>
    <mergeCell ref="O7:O9"/>
    <mergeCell ref="BH8:BH9"/>
    <mergeCell ref="BI8:BI9"/>
    <mergeCell ref="BJ8:BJ9"/>
    <mergeCell ref="T7:T9"/>
    <mergeCell ref="BF10:BG10"/>
    <mergeCell ref="AV8:AW8"/>
    <mergeCell ref="AX8:AY8"/>
    <mergeCell ref="AX7:BC7"/>
    <mergeCell ref="BD7:BE8"/>
    <mergeCell ref="BF7:BK7"/>
    <mergeCell ref="BG8:BG9"/>
    <mergeCell ref="BK8:BK9"/>
    <mergeCell ref="AN8:AO8"/>
    <mergeCell ref="AP8:AQ8"/>
    <mergeCell ref="AR8:AS8"/>
    <mergeCell ref="AT8:AU8"/>
    <mergeCell ref="AB8:AC8"/>
    <mergeCell ref="AD8:AE8"/>
    <mergeCell ref="AF8:AG8"/>
    <mergeCell ref="AH8:AI8"/>
    <mergeCell ref="AJ8:AK8"/>
    <mergeCell ref="AL8:AM8"/>
    <mergeCell ref="BO13:BO14"/>
    <mergeCell ref="BP13:BP24"/>
    <mergeCell ref="G15:H16"/>
    <mergeCell ref="I15:I16"/>
    <mergeCell ref="J15:J16"/>
    <mergeCell ref="K15:K16"/>
    <mergeCell ref="L15:L16"/>
    <mergeCell ref="AT13:AT14"/>
    <mergeCell ref="AV13:AV14"/>
    <mergeCell ref="AX13:AX14"/>
    <mergeCell ref="AZ13:AZ14"/>
    <mergeCell ref="BB13:BB14"/>
    <mergeCell ref="BD13:BD14"/>
    <mergeCell ref="AH13:AH14"/>
    <mergeCell ref="AJ13:AJ14"/>
    <mergeCell ref="AL13:AL14"/>
    <mergeCell ref="AN13:AN14"/>
    <mergeCell ref="AP13:AP14"/>
    <mergeCell ref="AR13:AR14"/>
    <mergeCell ref="R13:R14"/>
    <mergeCell ref="T13:T14"/>
    <mergeCell ref="Z13:Z14"/>
    <mergeCell ref="AB13:AB14"/>
    <mergeCell ref="AD13:AD14"/>
    <mergeCell ref="O15:O16"/>
    <mergeCell ref="P15:P16"/>
    <mergeCell ref="Q15:Q16"/>
    <mergeCell ref="R15:R16"/>
    <mergeCell ref="BL13:BL14"/>
    <mergeCell ref="BM13:BM14"/>
    <mergeCell ref="BN13:BN14"/>
    <mergeCell ref="AF13:AF14"/>
    <mergeCell ref="AF15:AF16"/>
    <mergeCell ref="AH15:AH16"/>
    <mergeCell ref="AJ15:AJ16"/>
    <mergeCell ref="AL15:AL16"/>
    <mergeCell ref="T15:T16"/>
    <mergeCell ref="U15:U16"/>
    <mergeCell ref="V15:V16"/>
    <mergeCell ref="W15:W16"/>
    <mergeCell ref="Y15:Y16"/>
    <mergeCell ref="Z15:Z16"/>
    <mergeCell ref="BO15:BO16"/>
    <mergeCell ref="G17:H18"/>
    <mergeCell ref="I17:I18"/>
    <mergeCell ref="J17:J18"/>
    <mergeCell ref="K17:K18"/>
    <mergeCell ref="L17:L18"/>
    <mergeCell ref="M17:M18"/>
    <mergeCell ref="N17:N18"/>
    <mergeCell ref="O17:O18"/>
    <mergeCell ref="P17:P18"/>
    <mergeCell ref="AZ15:AZ16"/>
    <mergeCell ref="BB15:BB16"/>
    <mergeCell ref="BD15:BD16"/>
    <mergeCell ref="BL15:BL16"/>
    <mergeCell ref="BM15:BM16"/>
    <mergeCell ref="BN15:BN16"/>
    <mergeCell ref="AN15:AN16"/>
    <mergeCell ref="AP15:AP16"/>
    <mergeCell ref="AR15:AR16"/>
    <mergeCell ref="AT15:AT16"/>
    <mergeCell ref="AV15:AV16"/>
    <mergeCell ref="AX15:AX16"/>
    <mergeCell ref="AB15:AB16"/>
    <mergeCell ref="AD15:AD16"/>
    <mergeCell ref="AX17:AX18"/>
    <mergeCell ref="AH17:AH18"/>
    <mergeCell ref="AJ17:AJ18"/>
    <mergeCell ref="AL17:AL18"/>
    <mergeCell ref="AN17:AN18"/>
    <mergeCell ref="AP17:AP18"/>
    <mergeCell ref="AR17:AR18"/>
    <mergeCell ref="X17:X18"/>
    <mergeCell ref="Y17:Y18"/>
    <mergeCell ref="Z17:Z18"/>
    <mergeCell ref="AB17:AB18"/>
    <mergeCell ref="AD17:AD18"/>
    <mergeCell ref="AF17:AF18"/>
    <mergeCell ref="AT17:AT18"/>
    <mergeCell ref="AV17:AV18"/>
    <mergeCell ref="AV20:AV21"/>
    <mergeCell ref="Q17:Q18"/>
    <mergeCell ref="R17:R18"/>
    <mergeCell ref="T17:T18"/>
    <mergeCell ref="U17:U18"/>
    <mergeCell ref="V17:V18"/>
    <mergeCell ref="W17:W18"/>
    <mergeCell ref="AV22:AV24"/>
    <mergeCell ref="AH22:AH24"/>
    <mergeCell ref="AJ22:AJ24"/>
    <mergeCell ref="AL22:AL24"/>
    <mergeCell ref="M22:M24"/>
    <mergeCell ref="N22:N24"/>
    <mergeCell ref="BG20:BG21"/>
    <mergeCell ref="BH20:BH21"/>
    <mergeCell ref="AX20:AX21"/>
    <mergeCell ref="AZ20:AZ21"/>
    <mergeCell ref="BB20:BB21"/>
    <mergeCell ref="BD20:BD21"/>
    <mergeCell ref="BE20:BE21"/>
    <mergeCell ref="BF20:BF21"/>
    <mergeCell ref="M20:M21"/>
    <mergeCell ref="N20:N21"/>
    <mergeCell ref="Z20:Z21"/>
    <mergeCell ref="AB20:AB21"/>
    <mergeCell ref="AD20:AD21"/>
    <mergeCell ref="AF20:AF21"/>
    <mergeCell ref="AL20:AL21"/>
    <mergeCell ref="AN20:AN21"/>
    <mergeCell ref="AH20:AH21"/>
    <mergeCell ref="O22:O24"/>
    <mergeCell ref="AF22:AF24"/>
    <mergeCell ref="P22:P24"/>
    <mergeCell ref="Q22:Q24"/>
    <mergeCell ref="R22:R24"/>
    <mergeCell ref="BO17:BO18"/>
    <mergeCell ref="AZ17:AZ18"/>
    <mergeCell ref="BB17:BB18"/>
    <mergeCell ref="BD17:BD18"/>
    <mergeCell ref="BL17:BL18"/>
    <mergeCell ref="BM17:BM18"/>
    <mergeCell ref="BN17:BN18"/>
    <mergeCell ref="BM20:BM21"/>
    <mergeCell ref="BN20:BN21"/>
    <mergeCell ref="BO20:BO21"/>
    <mergeCell ref="BI20:BI21"/>
    <mergeCell ref="BJ20:BJ21"/>
    <mergeCell ref="BK20:BK21"/>
    <mergeCell ref="BL20:BL21"/>
    <mergeCell ref="A26:C47"/>
    <mergeCell ref="E26:K26"/>
    <mergeCell ref="L26:R26"/>
    <mergeCell ref="D27:F47"/>
    <mergeCell ref="G28:H47"/>
    <mergeCell ref="I28:I47"/>
    <mergeCell ref="J28:J47"/>
    <mergeCell ref="K28:K47"/>
    <mergeCell ref="L28:L47"/>
    <mergeCell ref="N28:N47"/>
    <mergeCell ref="O28:O47"/>
    <mergeCell ref="P28:P47"/>
    <mergeCell ref="Q28:Q47"/>
    <mergeCell ref="R28:R47"/>
    <mergeCell ref="O20:O21"/>
    <mergeCell ref="P20:P21"/>
    <mergeCell ref="Q20:Q21"/>
    <mergeCell ref="R20:R21"/>
    <mergeCell ref="BO22:BO24"/>
    <mergeCell ref="AZ22:AZ24"/>
    <mergeCell ref="BB22:BB24"/>
    <mergeCell ref="BD22:BD24"/>
    <mergeCell ref="BL22:BL24"/>
    <mergeCell ref="BM22:BM24"/>
    <mergeCell ref="BN22:BN24"/>
    <mergeCell ref="AN22:AN24"/>
    <mergeCell ref="AP22:AP24"/>
    <mergeCell ref="AR22:AR24"/>
    <mergeCell ref="AT22:AT24"/>
    <mergeCell ref="Z22:Z24"/>
    <mergeCell ref="AJ20:AJ21"/>
    <mergeCell ref="AP20:AP21"/>
    <mergeCell ref="AR20:AR21"/>
    <mergeCell ref="AT20:AT21"/>
    <mergeCell ref="AX22:AX24"/>
    <mergeCell ref="AB22:AB24"/>
    <mergeCell ref="AD22:AD24"/>
    <mergeCell ref="S22:S23"/>
    <mergeCell ref="S28:S47"/>
    <mergeCell ref="BM28:BM47"/>
    <mergeCell ref="BN28:BN47"/>
    <mergeCell ref="BO28:BO47"/>
    <mergeCell ref="AT28:AT47"/>
    <mergeCell ref="AV28:AV47"/>
    <mergeCell ref="Z28:Z47"/>
    <mergeCell ref="AB28:AB47"/>
    <mergeCell ref="AD28:AD47"/>
    <mergeCell ref="AF28:AF47"/>
    <mergeCell ref="AH28:AH47"/>
    <mergeCell ref="AJ28:AJ47"/>
    <mergeCell ref="BP28:BP47"/>
    <mergeCell ref="T33:T34"/>
    <mergeCell ref="T35:T36"/>
    <mergeCell ref="T37:T38"/>
    <mergeCell ref="T39:T40"/>
    <mergeCell ref="BG28:BG47"/>
    <mergeCell ref="BH28:BH47"/>
    <mergeCell ref="BI28:BI47"/>
    <mergeCell ref="BJ28:BJ47"/>
    <mergeCell ref="BK28:BK47"/>
    <mergeCell ref="BL28:BL47"/>
    <mergeCell ref="AX28:AX47"/>
    <mergeCell ref="AZ28:AZ47"/>
    <mergeCell ref="BB28:BB47"/>
    <mergeCell ref="BD28:BD47"/>
    <mergeCell ref="BE28:BE47"/>
    <mergeCell ref="BF28:BF47"/>
    <mergeCell ref="AL28:AL47"/>
    <mergeCell ref="AN28:AN47"/>
    <mergeCell ref="AP28:AP47"/>
    <mergeCell ref="AR28:AR47"/>
    <mergeCell ref="M49:M59"/>
    <mergeCell ref="N49:N74"/>
    <mergeCell ref="O49:O74"/>
    <mergeCell ref="P49:P59"/>
    <mergeCell ref="Q49:Q74"/>
    <mergeCell ref="R49:R74"/>
    <mergeCell ref="M72:M73"/>
    <mergeCell ref="P72:P73"/>
    <mergeCell ref="D48:F74"/>
    <mergeCell ref="G49:H74"/>
    <mergeCell ref="I49:I59"/>
    <mergeCell ref="J49:J59"/>
    <mergeCell ref="K49:K59"/>
    <mergeCell ref="L49:L59"/>
    <mergeCell ref="I72:I73"/>
    <mergeCell ref="J72:J73"/>
    <mergeCell ref="K72:K73"/>
    <mergeCell ref="L72:L73"/>
    <mergeCell ref="AN49:AN74"/>
    <mergeCell ref="AP49:AP74"/>
    <mergeCell ref="AR49:AR74"/>
    <mergeCell ref="AT49:AT74"/>
    <mergeCell ref="S49:S74"/>
    <mergeCell ref="Z49:Z74"/>
    <mergeCell ref="AB49:AB74"/>
    <mergeCell ref="AD49:AD74"/>
    <mergeCell ref="AF49:AF74"/>
    <mergeCell ref="AH49:AH74"/>
    <mergeCell ref="T72:T73"/>
    <mergeCell ref="U72:U73"/>
    <mergeCell ref="V72:V73"/>
    <mergeCell ref="W72:W73"/>
    <mergeCell ref="X72:X73"/>
    <mergeCell ref="Y72:Y73"/>
    <mergeCell ref="BM49:BM74"/>
    <mergeCell ref="BN49:BN74"/>
    <mergeCell ref="BO49:BO74"/>
    <mergeCell ref="BP49:BP74"/>
    <mergeCell ref="I60:I71"/>
    <mergeCell ref="J60:J71"/>
    <mergeCell ref="K60:K71"/>
    <mergeCell ref="L60:L71"/>
    <mergeCell ref="M60:M71"/>
    <mergeCell ref="P60:P71"/>
    <mergeCell ref="BG49:BG74"/>
    <mergeCell ref="BH49:BH74"/>
    <mergeCell ref="BI49:BI74"/>
    <mergeCell ref="BJ49:BJ74"/>
    <mergeCell ref="BK49:BK74"/>
    <mergeCell ref="BL49:BL74"/>
    <mergeCell ref="AV49:AV74"/>
    <mergeCell ref="AX49:AX74"/>
    <mergeCell ref="AZ49:AZ74"/>
    <mergeCell ref="BB49:BB74"/>
    <mergeCell ref="BD49:BD74"/>
    <mergeCell ref="BF49:BF74"/>
    <mergeCell ref="AJ49:AJ74"/>
    <mergeCell ref="AL49:AL74"/>
  </mergeCells>
  <pageMargins left="1.1023622047244095" right="0" top="0.74803149606299213" bottom="0.74803149606299213" header="0.31496062992125984" footer="0.31496062992125984"/>
  <pageSetup paperSize="258"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L140"/>
  <sheetViews>
    <sheetView showGridLines="0" zoomScale="60" zoomScaleNormal="60" workbookViewId="0">
      <selection activeCell="Q8" sqref="Q8:Q9"/>
    </sheetView>
  </sheetViews>
  <sheetFormatPr baseColWidth="10" defaultColWidth="11.42578125" defaultRowHeight="27" customHeight="1" x14ac:dyDescent="0.2"/>
  <cols>
    <col min="1" max="1" width="16.5703125" style="1112" customWidth="1"/>
    <col min="2" max="2" width="18.5703125" style="855" customWidth="1"/>
    <col min="3" max="3" width="9.7109375" style="855" customWidth="1"/>
    <col min="4" max="4" width="14.7109375" style="855" customWidth="1"/>
    <col min="5" max="5" width="10" style="855" customWidth="1"/>
    <col min="6" max="6" width="13.5703125" style="855" customWidth="1"/>
    <col min="7" max="7" width="14.28515625" style="855" customWidth="1"/>
    <col min="8" max="8" width="8.5703125" style="855" customWidth="1"/>
    <col min="9" max="9" width="16.85546875" style="855" customWidth="1"/>
    <col min="10" max="10" width="23.42578125" style="855" customWidth="1"/>
    <col min="11" max="11" width="44" style="1113" customWidth="1"/>
    <col min="12" max="12" width="27.7109375" style="1114" customWidth="1"/>
    <col min="13" max="14" width="12.85546875" style="854" hidden="1" customWidth="1"/>
    <col min="15" max="15" width="31.7109375" style="1115" customWidth="1"/>
    <col min="16" max="16" width="18.42578125" style="1115" bestFit="1" customWidth="1"/>
    <col min="17" max="17" width="31.28515625" style="1116" customWidth="1"/>
    <col min="18" max="18" width="19.5703125" style="1117" customWidth="1"/>
    <col min="19" max="19" width="26.5703125" style="1118" customWidth="1"/>
    <col min="20" max="20" width="24.140625" style="1116" customWidth="1"/>
    <col min="21" max="21" width="30.5703125" style="1116" customWidth="1"/>
    <col min="22" max="22" width="41.140625" style="1113" customWidth="1"/>
    <col min="23" max="23" width="33.5703125" style="1119" customWidth="1"/>
    <col min="24" max="24" width="35.42578125" style="1128" customWidth="1"/>
    <col min="25" max="25" width="25.42578125" style="1121" customWidth="1"/>
    <col min="26" max="26" width="12.28515625" style="1121" customWidth="1"/>
    <col min="27" max="27" width="25.5703125" style="1121" bestFit="1" customWidth="1"/>
    <col min="28" max="28" width="10.5703125" style="855" customWidth="1"/>
    <col min="29" max="29" width="10.5703125" style="1122" customWidth="1"/>
    <col min="30" max="30" width="10.5703125" style="855" customWidth="1"/>
    <col min="31" max="31" width="10.5703125" style="1122" customWidth="1"/>
    <col min="32" max="32" width="10.5703125" style="855" customWidth="1"/>
    <col min="33" max="33" width="10.5703125" style="1122" customWidth="1"/>
    <col min="34" max="34" width="10.5703125" style="855" customWidth="1"/>
    <col min="35" max="35" width="10.5703125" style="1122" customWidth="1"/>
    <col min="36" max="36" width="10.5703125" style="855" customWidth="1"/>
    <col min="37" max="37" width="10.5703125" style="1122" customWidth="1"/>
    <col min="38" max="38" width="10.5703125" style="855" customWidth="1"/>
    <col min="39" max="39" width="10.5703125" style="1122" customWidth="1"/>
    <col min="40" max="40" width="10.5703125" style="855" customWidth="1"/>
    <col min="41" max="41" width="10.5703125" style="1122" customWidth="1"/>
    <col min="42" max="42" width="10.5703125" style="855" customWidth="1"/>
    <col min="43" max="43" width="10.5703125" style="1122" customWidth="1"/>
    <col min="44" max="44" width="10.5703125" style="855" customWidth="1"/>
    <col min="45" max="45" width="10.5703125" style="1122" customWidth="1"/>
    <col min="46" max="46" width="10.5703125" style="855" customWidth="1"/>
    <col min="47" max="47" width="10.5703125" style="1122" customWidth="1"/>
    <col min="48" max="48" width="10.5703125" style="855" customWidth="1"/>
    <col min="49" max="49" width="10.5703125" style="1122" customWidth="1"/>
    <col min="50" max="50" width="10.5703125" style="855" customWidth="1"/>
    <col min="51" max="51" width="10.5703125" style="1122" customWidth="1"/>
    <col min="52" max="52" width="10.5703125" style="855" customWidth="1"/>
    <col min="53" max="53" width="10.5703125" style="1122" customWidth="1"/>
    <col min="54" max="54" width="10.5703125" style="855" customWidth="1"/>
    <col min="55" max="55" width="10.5703125" style="1122" customWidth="1"/>
    <col min="56" max="56" width="10.5703125" style="855" customWidth="1"/>
    <col min="57" max="57" width="10.5703125" style="1122" customWidth="1"/>
    <col min="58" max="58" width="10.5703125" style="855" customWidth="1"/>
    <col min="59" max="59" width="10.5703125" style="1122" customWidth="1"/>
    <col min="60" max="60" width="18.85546875" style="855" customWidth="1"/>
    <col min="61" max="61" width="23.140625" style="855" customWidth="1"/>
    <col min="62" max="62" width="21.42578125" style="855" customWidth="1"/>
    <col min="63" max="63" width="18.140625" style="855" hidden="1" customWidth="1"/>
    <col min="64" max="64" width="19" style="855" bestFit="1" customWidth="1"/>
    <col min="65" max="65" width="29.28515625" style="855" customWidth="1"/>
    <col min="66" max="67" width="13" style="1123" customWidth="1"/>
    <col min="68" max="68" width="14" style="857" customWidth="1"/>
    <col min="69" max="69" width="13.5703125" style="857" customWidth="1"/>
    <col min="70" max="70" width="23" style="1124" customWidth="1"/>
    <col min="71" max="16384" width="11.42578125" style="855"/>
  </cols>
  <sheetData>
    <row r="1" spans="1:90" ht="16.5" customHeight="1" x14ac:dyDescent="0.2">
      <c r="A1" s="2762" t="s">
        <v>834</v>
      </c>
      <c r="B1" s="2763"/>
      <c r="C1" s="2763"/>
      <c r="D1" s="2763"/>
      <c r="E1" s="2763"/>
      <c r="F1" s="2763"/>
      <c r="G1" s="2763"/>
      <c r="H1" s="2763"/>
      <c r="I1" s="2763"/>
      <c r="J1" s="2763"/>
      <c r="K1" s="2763"/>
      <c r="L1" s="2763"/>
      <c r="M1" s="2763"/>
      <c r="N1" s="2763"/>
      <c r="O1" s="2763"/>
      <c r="P1" s="2763"/>
      <c r="Q1" s="2763"/>
      <c r="R1" s="2763"/>
      <c r="S1" s="2763"/>
      <c r="T1" s="2763"/>
      <c r="U1" s="2763"/>
      <c r="V1" s="2763"/>
      <c r="W1" s="2763"/>
      <c r="X1" s="2763"/>
      <c r="Y1" s="2763"/>
      <c r="Z1" s="2763"/>
      <c r="AA1" s="2763"/>
      <c r="AB1" s="2763"/>
      <c r="AC1" s="2763"/>
      <c r="AD1" s="2763"/>
      <c r="AE1" s="2763"/>
      <c r="AF1" s="2763"/>
      <c r="AG1" s="2763"/>
      <c r="AH1" s="2763"/>
      <c r="AI1" s="2763"/>
      <c r="AJ1" s="2763"/>
      <c r="AK1" s="2763"/>
      <c r="AL1" s="2763"/>
      <c r="AM1" s="2763"/>
      <c r="AN1" s="2763"/>
      <c r="AO1" s="2763"/>
      <c r="AP1" s="2763"/>
      <c r="AQ1" s="2763"/>
      <c r="AR1" s="2763"/>
      <c r="AS1" s="2763"/>
      <c r="AT1" s="2763"/>
      <c r="AU1" s="2763"/>
      <c r="AV1" s="2763"/>
      <c r="AW1" s="2763"/>
      <c r="AX1" s="2763"/>
      <c r="AY1" s="2763"/>
      <c r="AZ1" s="2763"/>
      <c r="BA1" s="2763"/>
      <c r="BB1" s="2763"/>
      <c r="BC1" s="2763"/>
      <c r="BD1" s="2763"/>
      <c r="BE1" s="2763"/>
      <c r="BF1" s="2763"/>
      <c r="BG1" s="2763"/>
      <c r="BH1" s="2763"/>
      <c r="BI1" s="2763"/>
      <c r="BJ1" s="2763"/>
      <c r="BK1" s="2763"/>
      <c r="BL1" s="2763"/>
      <c r="BM1" s="2763"/>
      <c r="BN1" s="2763"/>
      <c r="BO1" s="850"/>
      <c r="BP1" s="851"/>
      <c r="BQ1" s="852" t="s">
        <v>0</v>
      </c>
      <c r="BR1" s="853" t="s">
        <v>1</v>
      </c>
      <c r="BS1" s="854"/>
      <c r="BT1" s="854"/>
      <c r="BU1" s="854"/>
      <c r="BV1" s="854"/>
      <c r="BW1" s="854"/>
      <c r="BX1" s="854"/>
      <c r="BY1" s="854"/>
      <c r="BZ1" s="854"/>
      <c r="CA1" s="854"/>
      <c r="CB1" s="854"/>
      <c r="CC1" s="854"/>
      <c r="CD1" s="854"/>
      <c r="CE1" s="854"/>
      <c r="CF1" s="854"/>
      <c r="CG1" s="854"/>
      <c r="CH1" s="854"/>
      <c r="CI1" s="854"/>
      <c r="CJ1" s="854"/>
      <c r="CK1" s="854"/>
      <c r="CL1" s="854"/>
    </row>
    <row r="2" spans="1:90" ht="16.5" customHeight="1" x14ac:dyDescent="0.2">
      <c r="A2" s="2764"/>
      <c r="B2" s="2765"/>
      <c r="C2" s="2765"/>
      <c r="D2" s="2765"/>
      <c r="E2" s="2765"/>
      <c r="F2" s="2765"/>
      <c r="G2" s="2765"/>
      <c r="H2" s="2765"/>
      <c r="I2" s="2765"/>
      <c r="J2" s="2765"/>
      <c r="K2" s="2765"/>
      <c r="L2" s="2765"/>
      <c r="M2" s="2765"/>
      <c r="N2" s="2765"/>
      <c r="O2" s="2765"/>
      <c r="P2" s="2765"/>
      <c r="Q2" s="2765"/>
      <c r="R2" s="2765"/>
      <c r="S2" s="2765"/>
      <c r="T2" s="2765"/>
      <c r="U2" s="2765"/>
      <c r="V2" s="2765"/>
      <c r="W2" s="2765"/>
      <c r="X2" s="2765"/>
      <c r="Y2" s="2765"/>
      <c r="Z2" s="2765"/>
      <c r="AA2" s="2765"/>
      <c r="AB2" s="2765"/>
      <c r="AC2" s="2765"/>
      <c r="AD2" s="2765"/>
      <c r="AE2" s="2765"/>
      <c r="AF2" s="2765"/>
      <c r="AG2" s="2765"/>
      <c r="AH2" s="2765"/>
      <c r="AI2" s="2765"/>
      <c r="AJ2" s="2765"/>
      <c r="AK2" s="2765"/>
      <c r="AL2" s="2765"/>
      <c r="AM2" s="2765"/>
      <c r="AN2" s="2765"/>
      <c r="AO2" s="2765"/>
      <c r="AP2" s="2765"/>
      <c r="AQ2" s="2765"/>
      <c r="AR2" s="2765"/>
      <c r="AS2" s="2765"/>
      <c r="AT2" s="2765"/>
      <c r="AU2" s="2765"/>
      <c r="AV2" s="2765"/>
      <c r="AW2" s="2765"/>
      <c r="AX2" s="2765"/>
      <c r="AY2" s="2765"/>
      <c r="AZ2" s="2765"/>
      <c r="BA2" s="2765"/>
      <c r="BB2" s="2765"/>
      <c r="BC2" s="2765"/>
      <c r="BD2" s="2765"/>
      <c r="BE2" s="2765"/>
      <c r="BF2" s="2765"/>
      <c r="BG2" s="2765"/>
      <c r="BH2" s="2765"/>
      <c r="BI2" s="2765"/>
      <c r="BJ2" s="2765"/>
      <c r="BK2" s="2765"/>
      <c r="BL2" s="2765"/>
      <c r="BM2" s="2765"/>
      <c r="BN2" s="2765"/>
      <c r="BO2" s="856"/>
      <c r="BQ2" s="858" t="s">
        <v>2</v>
      </c>
      <c r="BR2" s="859" t="s">
        <v>96</v>
      </c>
      <c r="BS2" s="854"/>
      <c r="BT2" s="854"/>
      <c r="BU2" s="854"/>
      <c r="BV2" s="854"/>
      <c r="BW2" s="854"/>
      <c r="BX2" s="854"/>
      <c r="BY2" s="854"/>
      <c r="BZ2" s="854"/>
      <c r="CA2" s="854"/>
      <c r="CB2" s="854"/>
      <c r="CC2" s="854"/>
      <c r="CD2" s="854"/>
      <c r="CE2" s="854"/>
      <c r="CF2" s="854"/>
      <c r="CG2" s="854"/>
      <c r="CH2" s="854"/>
      <c r="CI2" s="854"/>
      <c r="CJ2" s="854"/>
      <c r="CK2" s="854"/>
      <c r="CL2" s="854"/>
    </row>
    <row r="3" spans="1:90" ht="16.5" customHeight="1" x14ac:dyDescent="0.2">
      <c r="A3" s="2764"/>
      <c r="B3" s="2765"/>
      <c r="C3" s="2765"/>
      <c r="D3" s="2765"/>
      <c r="E3" s="2765"/>
      <c r="F3" s="2765"/>
      <c r="G3" s="2765"/>
      <c r="H3" s="2765"/>
      <c r="I3" s="2765"/>
      <c r="J3" s="2765"/>
      <c r="K3" s="2765"/>
      <c r="L3" s="2765"/>
      <c r="M3" s="2765"/>
      <c r="N3" s="2765"/>
      <c r="O3" s="2765"/>
      <c r="P3" s="2765"/>
      <c r="Q3" s="2765"/>
      <c r="R3" s="2765"/>
      <c r="S3" s="2765"/>
      <c r="T3" s="2765"/>
      <c r="U3" s="2765"/>
      <c r="V3" s="2765"/>
      <c r="W3" s="2765"/>
      <c r="X3" s="2765"/>
      <c r="Y3" s="2765"/>
      <c r="Z3" s="2765"/>
      <c r="AA3" s="2765"/>
      <c r="AB3" s="2765"/>
      <c r="AC3" s="2765"/>
      <c r="AD3" s="2765"/>
      <c r="AE3" s="2765"/>
      <c r="AF3" s="2765"/>
      <c r="AG3" s="2765"/>
      <c r="AH3" s="2765"/>
      <c r="AI3" s="2765"/>
      <c r="AJ3" s="2765"/>
      <c r="AK3" s="2765"/>
      <c r="AL3" s="2765"/>
      <c r="AM3" s="2765"/>
      <c r="AN3" s="2765"/>
      <c r="AO3" s="2765"/>
      <c r="AP3" s="2765"/>
      <c r="AQ3" s="2765"/>
      <c r="AR3" s="2765"/>
      <c r="AS3" s="2765"/>
      <c r="AT3" s="2765"/>
      <c r="AU3" s="2765"/>
      <c r="AV3" s="2765"/>
      <c r="AW3" s="2765"/>
      <c r="AX3" s="2765"/>
      <c r="AY3" s="2765"/>
      <c r="AZ3" s="2765"/>
      <c r="BA3" s="2765"/>
      <c r="BB3" s="2765"/>
      <c r="BC3" s="2765"/>
      <c r="BD3" s="2765"/>
      <c r="BE3" s="2765"/>
      <c r="BF3" s="2765"/>
      <c r="BG3" s="2765"/>
      <c r="BH3" s="2765"/>
      <c r="BI3" s="2765"/>
      <c r="BJ3" s="2765"/>
      <c r="BK3" s="2765"/>
      <c r="BL3" s="2765"/>
      <c r="BM3" s="2765"/>
      <c r="BN3" s="2765"/>
      <c r="BO3" s="856"/>
      <c r="BQ3" s="708" t="s">
        <v>3</v>
      </c>
      <c r="BR3" s="859" t="s">
        <v>4</v>
      </c>
      <c r="BS3" s="854"/>
      <c r="BT3" s="854"/>
      <c r="BU3" s="854"/>
      <c r="BV3" s="854"/>
      <c r="BW3" s="854"/>
      <c r="BX3" s="854"/>
      <c r="BY3" s="854"/>
      <c r="BZ3" s="854"/>
      <c r="CA3" s="854"/>
      <c r="CB3" s="854"/>
      <c r="CC3" s="854"/>
      <c r="CD3" s="854"/>
      <c r="CE3" s="854"/>
      <c r="CF3" s="854"/>
      <c r="CG3" s="854"/>
      <c r="CH3" s="854"/>
      <c r="CI3" s="854"/>
      <c r="CJ3" s="854"/>
      <c r="CK3" s="854"/>
      <c r="CL3" s="854"/>
    </row>
    <row r="4" spans="1:90" ht="16.5" customHeight="1" x14ac:dyDescent="0.2">
      <c r="A4" s="2766"/>
      <c r="B4" s="2767"/>
      <c r="C4" s="2767"/>
      <c r="D4" s="2767"/>
      <c r="E4" s="2767"/>
      <c r="F4" s="2767"/>
      <c r="G4" s="2767"/>
      <c r="H4" s="2767"/>
      <c r="I4" s="2767"/>
      <c r="J4" s="2767"/>
      <c r="K4" s="2767"/>
      <c r="L4" s="2767"/>
      <c r="M4" s="2767"/>
      <c r="N4" s="2767"/>
      <c r="O4" s="2767"/>
      <c r="P4" s="2767"/>
      <c r="Q4" s="2767"/>
      <c r="R4" s="2767"/>
      <c r="S4" s="2767"/>
      <c r="T4" s="2767"/>
      <c r="U4" s="2767"/>
      <c r="V4" s="2767"/>
      <c r="W4" s="2767"/>
      <c r="X4" s="2767"/>
      <c r="Y4" s="2767"/>
      <c r="Z4" s="2767"/>
      <c r="AA4" s="2767"/>
      <c r="AB4" s="2767"/>
      <c r="AC4" s="2767"/>
      <c r="AD4" s="2767"/>
      <c r="AE4" s="2767"/>
      <c r="AF4" s="2767"/>
      <c r="AG4" s="2767"/>
      <c r="AH4" s="2767"/>
      <c r="AI4" s="2767"/>
      <c r="AJ4" s="2767"/>
      <c r="AK4" s="2767"/>
      <c r="AL4" s="2767"/>
      <c r="AM4" s="2767"/>
      <c r="AN4" s="2767"/>
      <c r="AO4" s="2767"/>
      <c r="AP4" s="2767"/>
      <c r="AQ4" s="2767"/>
      <c r="AR4" s="2767"/>
      <c r="AS4" s="2767"/>
      <c r="AT4" s="2767"/>
      <c r="AU4" s="2767"/>
      <c r="AV4" s="2767"/>
      <c r="AW4" s="2767"/>
      <c r="AX4" s="2767"/>
      <c r="AY4" s="2767"/>
      <c r="AZ4" s="2767"/>
      <c r="BA4" s="2767"/>
      <c r="BB4" s="2767"/>
      <c r="BC4" s="2767"/>
      <c r="BD4" s="2767"/>
      <c r="BE4" s="2767"/>
      <c r="BF4" s="2767"/>
      <c r="BG4" s="2767"/>
      <c r="BH4" s="2767"/>
      <c r="BI4" s="2767"/>
      <c r="BJ4" s="2767"/>
      <c r="BK4" s="2767"/>
      <c r="BL4" s="2767"/>
      <c r="BM4" s="2767"/>
      <c r="BN4" s="2767"/>
      <c r="BO4" s="860"/>
      <c r="BQ4" s="708" t="s">
        <v>5</v>
      </c>
      <c r="BR4" s="861" t="s">
        <v>97</v>
      </c>
      <c r="BS4" s="854"/>
      <c r="BT4" s="854"/>
      <c r="BU4" s="854"/>
      <c r="BV4" s="854"/>
      <c r="BW4" s="854"/>
      <c r="BX4" s="854"/>
      <c r="BY4" s="854"/>
      <c r="BZ4" s="854"/>
      <c r="CA4" s="854"/>
      <c r="CB4" s="854"/>
      <c r="CC4" s="854"/>
      <c r="CD4" s="854"/>
      <c r="CE4" s="854"/>
      <c r="CF4" s="854"/>
      <c r="CG4" s="854"/>
      <c r="CH4" s="854"/>
      <c r="CI4" s="854"/>
      <c r="CJ4" s="854"/>
      <c r="CK4" s="854"/>
      <c r="CL4" s="854"/>
    </row>
    <row r="5" spans="1:90" ht="18" customHeight="1" x14ac:dyDescent="0.2">
      <c r="A5" s="2768" t="s">
        <v>835</v>
      </c>
      <c r="B5" s="2769"/>
      <c r="C5" s="2769"/>
      <c r="D5" s="2769"/>
      <c r="E5" s="2769"/>
      <c r="F5" s="2769"/>
      <c r="G5" s="2769"/>
      <c r="H5" s="2769"/>
      <c r="I5" s="2769"/>
      <c r="J5" s="2769"/>
      <c r="K5" s="2769"/>
      <c r="L5" s="2769"/>
      <c r="M5" s="2769"/>
      <c r="N5" s="862"/>
      <c r="O5" s="2772" t="s">
        <v>8</v>
      </c>
      <c r="P5" s="2772"/>
      <c r="Q5" s="2772"/>
      <c r="R5" s="2772"/>
      <c r="S5" s="2772"/>
      <c r="T5" s="2772"/>
      <c r="U5" s="2772"/>
      <c r="V5" s="2772"/>
      <c r="W5" s="2772"/>
      <c r="X5" s="2772"/>
      <c r="Y5" s="2772"/>
      <c r="Z5" s="2772"/>
      <c r="AA5" s="2772"/>
      <c r="AB5" s="2772"/>
      <c r="AC5" s="2772"/>
      <c r="AD5" s="2772"/>
      <c r="AE5" s="2772"/>
      <c r="AF5" s="2772"/>
      <c r="AG5" s="2772"/>
      <c r="AH5" s="2772"/>
      <c r="AI5" s="2772"/>
      <c r="AJ5" s="2772"/>
      <c r="AK5" s="2772"/>
      <c r="AL5" s="2772"/>
      <c r="AM5" s="2772"/>
      <c r="AN5" s="2772"/>
      <c r="AO5" s="2772"/>
      <c r="AP5" s="2772"/>
      <c r="AQ5" s="2772"/>
      <c r="AR5" s="2772"/>
      <c r="AS5" s="2772"/>
      <c r="AT5" s="2772"/>
      <c r="AU5" s="2772"/>
      <c r="AV5" s="2772"/>
      <c r="AW5" s="2772"/>
      <c r="AX5" s="2772"/>
      <c r="AY5" s="2772"/>
      <c r="AZ5" s="2772"/>
      <c r="BA5" s="2772"/>
      <c r="BB5" s="2772"/>
      <c r="BC5" s="2772"/>
      <c r="BD5" s="2772"/>
      <c r="BE5" s="2772"/>
      <c r="BF5" s="2772"/>
      <c r="BG5" s="2772"/>
      <c r="BH5" s="2772"/>
      <c r="BI5" s="2772"/>
      <c r="BJ5" s="2772"/>
      <c r="BK5" s="2772"/>
      <c r="BL5" s="2772"/>
      <c r="BM5" s="2772"/>
      <c r="BN5" s="2772"/>
      <c r="BO5" s="2772"/>
      <c r="BP5" s="2772"/>
      <c r="BQ5" s="2773"/>
      <c r="BR5" s="2774"/>
      <c r="BS5" s="854"/>
      <c r="BT5" s="854"/>
      <c r="BU5" s="854"/>
      <c r="BV5" s="854"/>
      <c r="BW5" s="854"/>
      <c r="BX5" s="854"/>
      <c r="BY5" s="854"/>
      <c r="BZ5" s="854"/>
      <c r="CA5" s="854"/>
      <c r="CB5" s="854"/>
      <c r="CC5" s="854"/>
      <c r="CD5" s="854"/>
      <c r="CE5" s="854"/>
      <c r="CF5" s="854"/>
      <c r="CG5" s="854"/>
      <c r="CH5" s="854"/>
      <c r="CI5" s="854"/>
      <c r="CJ5" s="854"/>
      <c r="CK5" s="854"/>
      <c r="CL5" s="854"/>
    </row>
    <row r="6" spans="1:90" ht="18.75" customHeight="1" x14ac:dyDescent="0.2">
      <c r="A6" s="2770"/>
      <c r="B6" s="2771"/>
      <c r="C6" s="2771"/>
      <c r="D6" s="2771"/>
      <c r="E6" s="2771"/>
      <c r="F6" s="2771"/>
      <c r="G6" s="2771"/>
      <c r="H6" s="2771"/>
      <c r="I6" s="2771"/>
      <c r="J6" s="2771"/>
      <c r="K6" s="2771"/>
      <c r="L6" s="2771"/>
      <c r="M6" s="2771"/>
      <c r="N6" s="863"/>
      <c r="O6" s="864"/>
      <c r="P6" s="865"/>
      <c r="Q6" s="866"/>
      <c r="R6" s="867"/>
      <c r="S6" s="867"/>
      <c r="T6" s="866"/>
      <c r="U6" s="866"/>
      <c r="V6" s="868"/>
      <c r="W6" s="869"/>
      <c r="X6" s="867"/>
      <c r="Y6" s="863"/>
      <c r="Z6" s="863"/>
      <c r="AA6" s="863"/>
      <c r="AB6" s="2773" t="s">
        <v>270</v>
      </c>
      <c r="AC6" s="2775"/>
      <c r="AD6" s="2775"/>
      <c r="AE6" s="2775"/>
      <c r="AF6" s="2775"/>
      <c r="AG6" s="2775"/>
      <c r="AH6" s="2775"/>
      <c r="AI6" s="2775"/>
      <c r="AJ6" s="2775"/>
      <c r="AK6" s="2775"/>
      <c r="AL6" s="2775"/>
      <c r="AM6" s="2775"/>
      <c r="AN6" s="2775"/>
      <c r="AO6" s="2775"/>
      <c r="AP6" s="2775"/>
      <c r="AQ6" s="2775"/>
      <c r="AR6" s="2775"/>
      <c r="AS6" s="2775"/>
      <c r="AT6" s="2775"/>
      <c r="AU6" s="2775"/>
      <c r="AV6" s="2775"/>
      <c r="AW6" s="2775"/>
      <c r="AX6" s="2775"/>
      <c r="AY6" s="2775"/>
      <c r="AZ6" s="2775"/>
      <c r="BA6" s="2775"/>
      <c r="BB6" s="2775"/>
      <c r="BC6" s="2775"/>
      <c r="BD6" s="2776"/>
      <c r="BE6" s="870"/>
      <c r="BF6" s="863"/>
      <c r="BG6" s="870"/>
      <c r="BH6" s="863"/>
      <c r="BI6" s="863"/>
      <c r="BJ6" s="863"/>
      <c r="BK6" s="863"/>
      <c r="BL6" s="863"/>
      <c r="BM6" s="863"/>
      <c r="BN6" s="867"/>
      <c r="BO6" s="867"/>
      <c r="BP6" s="867"/>
      <c r="BQ6" s="867"/>
      <c r="BR6" s="871"/>
      <c r="BS6" s="854"/>
      <c r="BT6" s="854"/>
      <c r="BU6" s="854"/>
      <c r="BV6" s="854"/>
      <c r="BW6" s="854"/>
      <c r="BX6" s="854"/>
      <c r="BY6" s="854"/>
      <c r="BZ6" s="854"/>
      <c r="CA6" s="854"/>
      <c r="CB6" s="854"/>
      <c r="CC6" s="854"/>
      <c r="CD6" s="854"/>
      <c r="CE6" s="854"/>
      <c r="CF6" s="854"/>
      <c r="CG6" s="854"/>
      <c r="CH6" s="854"/>
      <c r="CI6" s="854"/>
      <c r="CJ6" s="854"/>
      <c r="CK6" s="854"/>
      <c r="CL6" s="854"/>
    </row>
    <row r="7" spans="1:90" ht="30.75" customHeight="1" x14ac:dyDescent="0.2">
      <c r="A7" s="872"/>
      <c r="B7" s="863"/>
      <c r="C7" s="863"/>
      <c r="D7" s="863"/>
      <c r="E7" s="863"/>
      <c r="F7" s="863"/>
      <c r="G7" s="863"/>
      <c r="H7" s="863"/>
      <c r="I7" s="863"/>
      <c r="J7" s="863"/>
      <c r="K7" s="868"/>
      <c r="L7" s="866"/>
      <c r="M7" s="863"/>
      <c r="N7" s="863"/>
      <c r="O7" s="864"/>
      <c r="P7" s="865"/>
      <c r="Q7" s="866"/>
      <c r="R7" s="867"/>
      <c r="S7" s="867"/>
      <c r="T7" s="866"/>
      <c r="U7" s="866"/>
      <c r="V7" s="868"/>
      <c r="W7" s="869"/>
      <c r="X7" s="867"/>
      <c r="Y7" s="863"/>
      <c r="Z7" s="863"/>
      <c r="AA7" s="863"/>
      <c r="AB7" s="2777" t="s">
        <v>24</v>
      </c>
      <c r="AC7" s="2778"/>
      <c r="AD7" s="2778"/>
      <c r="AE7" s="2779"/>
      <c r="AF7" s="2780" t="s">
        <v>25</v>
      </c>
      <c r="AG7" s="2781"/>
      <c r="AH7" s="2781"/>
      <c r="AI7" s="2781"/>
      <c r="AJ7" s="2781"/>
      <c r="AK7" s="2781"/>
      <c r="AL7" s="2781"/>
      <c r="AM7" s="2782"/>
      <c r="AN7" s="2783" t="s">
        <v>26</v>
      </c>
      <c r="AO7" s="2784"/>
      <c r="AP7" s="2784"/>
      <c r="AQ7" s="2784"/>
      <c r="AR7" s="2784"/>
      <c r="AS7" s="2784"/>
      <c r="AT7" s="2784"/>
      <c r="AU7" s="2784"/>
      <c r="AV7" s="2784"/>
      <c r="AW7" s="2784"/>
      <c r="AX7" s="2784"/>
      <c r="AY7" s="2785"/>
      <c r="AZ7" s="2780" t="s">
        <v>27</v>
      </c>
      <c r="BA7" s="2781"/>
      <c r="BB7" s="2781"/>
      <c r="BC7" s="2781"/>
      <c r="BD7" s="2781"/>
      <c r="BE7" s="2782"/>
      <c r="BF7" s="2786" t="s">
        <v>28</v>
      </c>
      <c r="BG7" s="2787"/>
      <c r="BH7" s="2790"/>
      <c r="BI7" s="2790"/>
      <c r="BJ7" s="2790"/>
      <c r="BK7" s="2790"/>
      <c r="BL7" s="2790"/>
      <c r="BM7" s="2790"/>
      <c r="BN7" s="2790"/>
      <c r="BO7" s="2790"/>
      <c r="BP7" s="2790"/>
      <c r="BQ7" s="2790"/>
      <c r="BR7" s="2791"/>
      <c r="BS7" s="854"/>
      <c r="BT7" s="854"/>
      <c r="BU7" s="854"/>
      <c r="BV7" s="854"/>
      <c r="BW7" s="854"/>
      <c r="BX7" s="854"/>
      <c r="BY7" s="854"/>
      <c r="BZ7" s="854"/>
      <c r="CA7" s="854"/>
      <c r="CB7" s="854"/>
      <c r="CC7" s="854"/>
      <c r="CD7" s="854"/>
      <c r="CE7" s="854"/>
      <c r="CF7" s="854"/>
      <c r="CG7" s="854"/>
      <c r="CH7" s="854"/>
      <c r="CI7" s="854"/>
      <c r="CJ7" s="854"/>
      <c r="CK7" s="854"/>
      <c r="CL7" s="854"/>
    </row>
    <row r="8" spans="1:90" s="874" customFormat="1" ht="91.5" customHeight="1" x14ac:dyDescent="0.25">
      <c r="A8" s="2760" t="s">
        <v>9</v>
      </c>
      <c r="B8" s="2761" t="s">
        <v>10</v>
      </c>
      <c r="C8" s="2761"/>
      <c r="D8" s="2761" t="s">
        <v>9</v>
      </c>
      <c r="E8" s="2761" t="s">
        <v>11</v>
      </c>
      <c r="F8" s="2761"/>
      <c r="G8" s="2761" t="s">
        <v>9</v>
      </c>
      <c r="H8" s="2761" t="s">
        <v>12</v>
      </c>
      <c r="I8" s="2761"/>
      <c r="J8" s="2761" t="s">
        <v>9</v>
      </c>
      <c r="K8" s="2761" t="s">
        <v>13</v>
      </c>
      <c r="L8" s="2761" t="s">
        <v>14</v>
      </c>
      <c r="M8" s="2795" t="s">
        <v>836</v>
      </c>
      <c r="N8" s="2796"/>
      <c r="O8" s="2761" t="s">
        <v>16</v>
      </c>
      <c r="P8" s="2761" t="s">
        <v>98</v>
      </c>
      <c r="Q8" s="2792" t="s">
        <v>8</v>
      </c>
      <c r="R8" s="2793" t="s">
        <v>18</v>
      </c>
      <c r="S8" s="2794" t="s">
        <v>19</v>
      </c>
      <c r="T8" s="2761" t="s">
        <v>20</v>
      </c>
      <c r="U8" s="2761" t="s">
        <v>21</v>
      </c>
      <c r="V8" s="2761" t="s">
        <v>22</v>
      </c>
      <c r="W8" s="2794" t="s">
        <v>432</v>
      </c>
      <c r="X8" s="2794"/>
      <c r="Y8" s="2794"/>
      <c r="Z8" s="2814" t="s">
        <v>837</v>
      </c>
      <c r="AA8" s="2816" t="s">
        <v>838</v>
      </c>
      <c r="AB8" s="2812" t="s">
        <v>33</v>
      </c>
      <c r="AC8" s="2813"/>
      <c r="AD8" s="2812" t="s">
        <v>34</v>
      </c>
      <c r="AE8" s="2813"/>
      <c r="AF8" s="2812" t="s">
        <v>35</v>
      </c>
      <c r="AG8" s="2813"/>
      <c r="AH8" s="2812" t="s">
        <v>36</v>
      </c>
      <c r="AI8" s="2813"/>
      <c r="AJ8" s="2812" t="s">
        <v>839</v>
      </c>
      <c r="AK8" s="2813"/>
      <c r="AL8" s="2812" t="s">
        <v>38</v>
      </c>
      <c r="AM8" s="2813"/>
      <c r="AN8" s="2812" t="s">
        <v>39</v>
      </c>
      <c r="AO8" s="2813"/>
      <c r="AP8" s="2812" t="s">
        <v>40</v>
      </c>
      <c r="AQ8" s="2813"/>
      <c r="AR8" s="2812" t="s">
        <v>41</v>
      </c>
      <c r="AS8" s="2813"/>
      <c r="AT8" s="2812" t="s">
        <v>42</v>
      </c>
      <c r="AU8" s="2813"/>
      <c r="AV8" s="2812" t="s">
        <v>43</v>
      </c>
      <c r="AW8" s="2813"/>
      <c r="AX8" s="2812" t="s">
        <v>44</v>
      </c>
      <c r="AY8" s="2813"/>
      <c r="AZ8" s="2812" t="s">
        <v>45</v>
      </c>
      <c r="BA8" s="2813"/>
      <c r="BB8" s="2812" t="s">
        <v>46</v>
      </c>
      <c r="BC8" s="2813"/>
      <c r="BD8" s="2812" t="s">
        <v>47</v>
      </c>
      <c r="BE8" s="2813"/>
      <c r="BF8" s="2788"/>
      <c r="BG8" s="2789"/>
      <c r="BH8" s="2827" t="s">
        <v>29</v>
      </c>
      <c r="BI8" s="2827"/>
      <c r="BJ8" s="2827"/>
      <c r="BK8" s="2827"/>
      <c r="BL8" s="2827"/>
      <c r="BM8" s="2828"/>
      <c r="BN8" s="2829" t="s">
        <v>30</v>
      </c>
      <c r="BO8" s="2830"/>
      <c r="BP8" s="2831" t="s">
        <v>840</v>
      </c>
      <c r="BQ8" s="2831"/>
      <c r="BR8" s="2797" t="s">
        <v>32</v>
      </c>
      <c r="BS8" s="873"/>
      <c r="BT8" s="873"/>
      <c r="BU8" s="873"/>
      <c r="BV8" s="873"/>
      <c r="BW8" s="873"/>
      <c r="BX8" s="873"/>
      <c r="BY8" s="873"/>
      <c r="BZ8" s="873"/>
      <c r="CA8" s="873"/>
      <c r="CB8" s="873"/>
      <c r="CC8" s="873"/>
      <c r="CD8" s="873"/>
      <c r="CE8" s="873"/>
      <c r="CF8" s="873"/>
      <c r="CG8" s="873"/>
      <c r="CH8" s="873"/>
      <c r="CI8" s="873"/>
      <c r="CJ8" s="873"/>
      <c r="CK8" s="873"/>
      <c r="CL8" s="873"/>
    </row>
    <row r="9" spans="1:90" s="874" customFormat="1" ht="47.25" customHeight="1" x14ac:dyDescent="0.25">
      <c r="A9" s="2760"/>
      <c r="B9" s="2761"/>
      <c r="C9" s="2761"/>
      <c r="D9" s="2761"/>
      <c r="E9" s="2761"/>
      <c r="F9" s="2761"/>
      <c r="G9" s="2761"/>
      <c r="H9" s="2761"/>
      <c r="I9" s="2761"/>
      <c r="J9" s="2761"/>
      <c r="K9" s="2761"/>
      <c r="L9" s="2761"/>
      <c r="M9" s="875" t="s">
        <v>54</v>
      </c>
      <c r="N9" s="876" t="s">
        <v>55</v>
      </c>
      <c r="O9" s="2761"/>
      <c r="P9" s="2761"/>
      <c r="Q9" s="2792"/>
      <c r="R9" s="2793"/>
      <c r="S9" s="2794"/>
      <c r="T9" s="2761"/>
      <c r="U9" s="2761"/>
      <c r="V9" s="2761"/>
      <c r="W9" s="877" t="s">
        <v>56</v>
      </c>
      <c r="X9" s="875" t="s">
        <v>57</v>
      </c>
      <c r="Y9" s="875" t="s">
        <v>58</v>
      </c>
      <c r="Z9" s="2815"/>
      <c r="AA9" s="2817"/>
      <c r="AB9" s="508" t="s">
        <v>54</v>
      </c>
      <c r="AC9" s="16" t="s">
        <v>55</v>
      </c>
      <c r="AD9" s="508" t="s">
        <v>54</v>
      </c>
      <c r="AE9" s="16" t="s">
        <v>55</v>
      </c>
      <c r="AF9" s="508" t="s">
        <v>54</v>
      </c>
      <c r="AG9" s="16" t="s">
        <v>55</v>
      </c>
      <c r="AH9" s="508" t="s">
        <v>54</v>
      </c>
      <c r="AI9" s="16" t="s">
        <v>55</v>
      </c>
      <c r="AJ9" s="508" t="s">
        <v>54</v>
      </c>
      <c r="AK9" s="16" t="s">
        <v>55</v>
      </c>
      <c r="AL9" s="508" t="s">
        <v>54</v>
      </c>
      <c r="AM9" s="16" t="s">
        <v>55</v>
      </c>
      <c r="AN9" s="508" t="s">
        <v>54</v>
      </c>
      <c r="AO9" s="16" t="s">
        <v>55</v>
      </c>
      <c r="AP9" s="508" t="s">
        <v>54</v>
      </c>
      <c r="AQ9" s="16" t="s">
        <v>55</v>
      </c>
      <c r="AR9" s="508" t="s">
        <v>54</v>
      </c>
      <c r="AS9" s="16" t="s">
        <v>55</v>
      </c>
      <c r="AT9" s="508" t="s">
        <v>54</v>
      </c>
      <c r="AU9" s="16" t="s">
        <v>55</v>
      </c>
      <c r="AV9" s="508" t="s">
        <v>54</v>
      </c>
      <c r="AW9" s="16" t="s">
        <v>55</v>
      </c>
      <c r="AX9" s="508" t="s">
        <v>54</v>
      </c>
      <c r="AY9" s="16" t="s">
        <v>55</v>
      </c>
      <c r="AZ9" s="508" t="s">
        <v>54</v>
      </c>
      <c r="BA9" s="16" t="s">
        <v>55</v>
      </c>
      <c r="BB9" s="508" t="s">
        <v>54</v>
      </c>
      <c r="BC9" s="16" t="s">
        <v>55</v>
      </c>
      <c r="BD9" s="508" t="s">
        <v>54</v>
      </c>
      <c r="BE9" s="16" t="s">
        <v>55</v>
      </c>
      <c r="BF9" s="508" t="s">
        <v>54</v>
      </c>
      <c r="BG9" s="16" t="s">
        <v>55</v>
      </c>
      <c r="BH9" s="878" t="s">
        <v>48</v>
      </c>
      <c r="BI9" s="878" t="s">
        <v>49</v>
      </c>
      <c r="BJ9" s="878" t="s">
        <v>50</v>
      </c>
      <c r="BK9" s="878" t="s">
        <v>51</v>
      </c>
      <c r="BL9" s="878" t="s">
        <v>52</v>
      </c>
      <c r="BM9" s="878" t="s">
        <v>53</v>
      </c>
      <c r="BN9" s="879" t="s">
        <v>54</v>
      </c>
      <c r="BO9" s="879" t="s">
        <v>55</v>
      </c>
      <c r="BP9" s="879" t="s">
        <v>54</v>
      </c>
      <c r="BQ9" s="879" t="s">
        <v>55</v>
      </c>
      <c r="BR9" s="2797"/>
      <c r="BS9" s="873"/>
      <c r="BT9" s="873"/>
      <c r="BU9" s="873"/>
      <c r="BV9" s="873"/>
      <c r="BW9" s="873"/>
      <c r="BX9" s="873"/>
      <c r="BY9" s="873"/>
      <c r="BZ9" s="873"/>
      <c r="CA9" s="873"/>
      <c r="CB9" s="873"/>
      <c r="CC9" s="873"/>
      <c r="CD9" s="873"/>
      <c r="CE9" s="873"/>
      <c r="CF9" s="873"/>
      <c r="CG9" s="873"/>
      <c r="CH9" s="873"/>
      <c r="CI9" s="873"/>
      <c r="CJ9" s="873"/>
      <c r="CK9" s="873"/>
      <c r="CL9" s="873"/>
    </row>
    <row r="10" spans="1:90" s="458" customFormat="1" ht="18.75" customHeight="1" x14ac:dyDescent="0.2">
      <c r="A10" s="880">
        <v>4</v>
      </c>
      <c r="B10" s="266" t="s">
        <v>841</v>
      </c>
      <c r="C10" s="266"/>
      <c r="D10" s="881"/>
      <c r="E10" s="881"/>
      <c r="F10" s="881"/>
      <c r="G10" s="881"/>
      <c r="H10" s="881"/>
      <c r="I10" s="881"/>
      <c r="J10" s="882"/>
      <c r="K10" s="883"/>
      <c r="L10" s="884"/>
      <c r="M10" s="881"/>
      <c r="N10" s="881"/>
      <c r="O10" s="885"/>
      <c r="P10" s="882"/>
      <c r="Q10" s="884"/>
      <c r="R10" s="886"/>
      <c r="S10" s="887"/>
      <c r="T10" s="884"/>
      <c r="U10" s="883"/>
      <c r="V10" s="883"/>
      <c r="W10" s="883"/>
      <c r="X10" s="883"/>
      <c r="Y10" s="883"/>
      <c r="Z10" s="883"/>
      <c r="AA10" s="883"/>
      <c r="AB10" s="881"/>
      <c r="AC10" s="888"/>
      <c r="AD10" s="881"/>
      <c r="AE10" s="888"/>
      <c r="AF10" s="881"/>
      <c r="AG10" s="888"/>
      <c r="AH10" s="881"/>
      <c r="AI10" s="888"/>
      <c r="AJ10" s="881"/>
      <c r="AK10" s="888"/>
      <c r="AL10" s="881"/>
      <c r="AM10" s="888"/>
      <c r="AN10" s="881"/>
      <c r="AO10" s="888"/>
      <c r="AP10" s="881"/>
      <c r="AQ10" s="888"/>
      <c r="AR10" s="881"/>
      <c r="AS10" s="888"/>
      <c r="AT10" s="881"/>
      <c r="AU10" s="888"/>
      <c r="AV10" s="881"/>
      <c r="AW10" s="888"/>
      <c r="AX10" s="881"/>
      <c r="AY10" s="888"/>
      <c r="AZ10" s="889"/>
      <c r="BA10" s="890"/>
      <c r="BB10" s="889"/>
      <c r="BC10" s="890"/>
      <c r="BD10" s="884"/>
      <c r="BE10" s="891"/>
      <c r="BF10" s="884"/>
      <c r="BG10" s="891"/>
      <c r="BH10" s="884"/>
      <c r="BI10" s="884"/>
      <c r="BJ10" s="884"/>
      <c r="BK10" s="884"/>
      <c r="BL10" s="884"/>
      <c r="BM10" s="884"/>
      <c r="BN10" s="884"/>
      <c r="BO10" s="884"/>
      <c r="BP10" s="884"/>
      <c r="BQ10" s="884"/>
      <c r="BR10" s="892"/>
    </row>
    <row r="11" spans="1:90" s="908" customFormat="1" ht="21.75" customHeight="1" x14ac:dyDescent="0.2">
      <c r="A11" s="2798"/>
      <c r="B11" s="2800"/>
      <c r="C11" s="2801"/>
      <c r="D11" s="893">
        <v>23</v>
      </c>
      <c r="E11" s="273" t="s">
        <v>842</v>
      </c>
      <c r="F11" s="273"/>
      <c r="G11" s="894"/>
      <c r="H11" s="894"/>
      <c r="I11" s="894"/>
      <c r="J11" s="895"/>
      <c r="K11" s="896"/>
      <c r="L11" s="897"/>
      <c r="M11" s="894"/>
      <c r="N11" s="894"/>
      <c r="O11" s="898"/>
      <c r="P11" s="895"/>
      <c r="Q11" s="897"/>
      <c r="R11" s="899"/>
      <c r="S11" s="900"/>
      <c r="T11" s="897"/>
      <c r="U11" s="896"/>
      <c r="V11" s="896"/>
      <c r="W11" s="901"/>
      <c r="X11" s="901"/>
      <c r="Y11" s="902"/>
      <c r="Z11" s="902"/>
      <c r="AA11" s="902"/>
      <c r="AB11" s="894"/>
      <c r="AC11" s="903"/>
      <c r="AD11" s="894"/>
      <c r="AE11" s="903"/>
      <c r="AF11" s="894"/>
      <c r="AG11" s="903"/>
      <c r="AH11" s="894"/>
      <c r="AI11" s="903"/>
      <c r="AJ11" s="894"/>
      <c r="AK11" s="903"/>
      <c r="AL11" s="894"/>
      <c r="AM11" s="903"/>
      <c r="AN11" s="894"/>
      <c r="AO11" s="903"/>
      <c r="AP11" s="894"/>
      <c r="AQ11" s="903"/>
      <c r="AR11" s="894"/>
      <c r="AS11" s="903"/>
      <c r="AT11" s="894"/>
      <c r="AU11" s="903"/>
      <c r="AV11" s="894"/>
      <c r="AW11" s="903"/>
      <c r="AX11" s="894"/>
      <c r="AY11" s="903"/>
      <c r="AZ11" s="904"/>
      <c r="BA11" s="905"/>
      <c r="BB11" s="904"/>
      <c r="BC11" s="905"/>
      <c r="BD11" s="897"/>
      <c r="BE11" s="906"/>
      <c r="BF11" s="897"/>
      <c r="BG11" s="906"/>
      <c r="BH11" s="897"/>
      <c r="BI11" s="897"/>
      <c r="BJ11" s="897"/>
      <c r="BK11" s="897"/>
      <c r="BL11" s="897"/>
      <c r="BM11" s="897"/>
      <c r="BN11" s="897"/>
      <c r="BO11" s="897"/>
      <c r="BP11" s="897"/>
      <c r="BQ11" s="897"/>
      <c r="BR11" s="907"/>
    </row>
    <row r="12" spans="1:90" s="908" customFormat="1" ht="24.75" customHeight="1" x14ac:dyDescent="0.2">
      <c r="A12" s="2799"/>
      <c r="B12" s="2802"/>
      <c r="C12" s="2803"/>
      <c r="D12" s="2804"/>
      <c r="E12" s="2805"/>
      <c r="F12" s="2805"/>
      <c r="G12" s="909">
        <v>75</v>
      </c>
      <c r="H12" s="286" t="s">
        <v>843</v>
      </c>
      <c r="I12" s="286"/>
      <c r="J12" s="910"/>
      <c r="K12" s="911"/>
      <c r="L12" s="912"/>
      <c r="M12" s="913"/>
      <c r="N12" s="913"/>
      <c r="O12" s="554"/>
      <c r="P12" s="295"/>
      <c r="Q12" s="287"/>
      <c r="R12" s="914"/>
      <c r="S12" s="915"/>
      <c r="T12" s="912"/>
      <c r="U12" s="911"/>
      <c r="V12" s="911"/>
      <c r="W12" s="916"/>
      <c r="X12" s="916"/>
      <c r="Y12" s="917"/>
      <c r="Z12" s="917"/>
      <c r="AA12" s="917"/>
      <c r="AB12" s="913"/>
      <c r="AC12" s="918"/>
      <c r="AD12" s="913"/>
      <c r="AE12" s="918"/>
      <c r="AF12" s="913"/>
      <c r="AG12" s="918"/>
      <c r="AH12" s="913"/>
      <c r="AI12" s="918"/>
      <c r="AJ12" s="913"/>
      <c r="AK12" s="918"/>
      <c r="AL12" s="913"/>
      <c r="AM12" s="918"/>
      <c r="AN12" s="913"/>
      <c r="AO12" s="918"/>
      <c r="AP12" s="913"/>
      <c r="AQ12" s="918"/>
      <c r="AR12" s="913"/>
      <c r="AS12" s="918"/>
      <c r="AT12" s="913"/>
      <c r="AU12" s="918"/>
      <c r="AV12" s="913"/>
      <c r="AW12" s="918"/>
      <c r="AX12" s="913"/>
      <c r="AY12" s="918"/>
      <c r="AZ12" s="919"/>
      <c r="BA12" s="920"/>
      <c r="BB12" s="919"/>
      <c r="BC12" s="920"/>
      <c r="BD12" s="912"/>
      <c r="BE12" s="921"/>
      <c r="BF12" s="912"/>
      <c r="BG12" s="921"/>
      <c r="BH12" s="912"/>
      <c r="BI12" s="912"/>
      <c r="BJ12" s="917"/>
      <c r="BK12" s="912"/>
      <c r="BL12" s="912"/>
      <c r="BM12" s="912"/>
      <c r="BN12" s="912"/>
      <c r="BO12" s="912"/>
      <c r="BP12" s="912"/>
      <c r="BQ12" s="912"/>
      <c r="BR12" s="922"/>
    </row>
    <row r="13" spans="1:90" s="458" customFormat="1" ht="71.25" x14ac:dyDescent="0.2">
      <c r="A13" s="2799"/>
      <c r="B13" s="2802"/>
      <c r="C13" s="2803"/>
      <c r="D13" s="2804"/>
      <c r="E13" s="2805"/>
      <c r="F13" s="2805"/>
      <c r="G13" s="908"/>
      <c r="H13" s="1180"/>
      <c r="I13" s="923"/>
      <c r="J13" s="1181">
        <v>214</v>
      </c>
      <c r="K13" s="1037" t="s">
        <v>844</v>
      </c>
      <c r="L13" s="1017" t="s">
        <v>845</v>
      </c>
      <c r="M13" s="1015">
        <v>1</v>
      </c>
      <c r="N13" s="1016"/>
      <c r="O13" s="2806" t="s">
        <v>846</v>
      </c>
      <c r="P13" s="2808" t="s">
        <v>847</v>
      </c>
      <c r="Q13" s="2810" t="s">
        <v>848</v>
      </c>
      <c r="R13" s="1182">
        <f>SUM(W13:W13)/S13</f>
        <v>8.3798882681564244E-3</v>
      </c>
      <c r="S13" s="2818">
        <f>SUM(W13:W26)</f>
        <v>1790000000</v>
      </c>
      <c r="T13" s="2819" t="s">
        <v>849</v>
      </c>
      <c r="U13" s="2819" t="s">
        <v>850</v>
      </c>
      <c r="V13" s="924" t="s">
        <v>851</v>
      </c>
      <c r="W13" s="1183">
        <v>15000000</v>
      </c>
      <c r="X13" s="925">
        <v>620000</v>
      </c>
      <c r="Y13" s="925">
        <v>0</v>
      </c>
      <c r="Z13" s="926">
        <v>20</v>
      </c>
      <c r="AA13" s="927" t="s">
        <v>852</v>
      </c>
      <c r="AB13" s="2821">
        <v>295972</v>
      </c>
      <c r="AC13" s="2823"/>
      <c r="AD13" s="2821">
        <v>285580</v>
      </c>
      <c r="AE13" s="2825"/>
      <c r="AF13" s="2821">
        <v>135545</v>
      </c>
      <c r="AG13" s="2823"/>
      <c r="AH13" s="2821">
        <v>44254</v>
      </c>
      <c r="AI13" s="2823"/>
      <c r="AJ13" s="2821">
        <v>309146</v>
      </c>
      <c r="AK13" s="2823"/>
      <c r="AL13" s="2821">
        <v>92607</v>
      </c>
      <c r="AM13" s="2832"/>
      <c r="AN13" s="2821">
        <v>2145</v>
      </c>
      <c r="AO13" s="2825"/>
      <c r="AP13" s="2821">
        <v>12718</v>
      </c>
      <c r="AQ13" s="2825"/>
      <c r="AR13" s="2821">
        <v>26</v>
      </c>
      <c r="AS13" s="1014"/>
      <c r="AT13" s="2821">
        <v>12</v>
      </c>
      <c r="AU13" s="2834"/>
      <c r="AV13" s="2821">
        <v>0</v>
      </c>
      <c r="AW13" s="2834"/>
      <c r="AX13" s="2821">
        <v>0</v>
      </c>
      <c r="AY13" s="2834"/>
      <c r="AZ13" s="2821">
        <v>44697</v>
      </c>
      <c r="BA13" s="2834"/>
      <c r="BB13" s="2821">
        <v>21944</v>
      </c>
      <c r="BC13" s="2834"/>
      <c r="BD13" s="2821">
        <v>72128</v>
      </c>
      <c r="BE13" s="1014"/>
      <c r="BF13" s="2821">
        <f>SUM(AB13:AD26)</f>
        <v>581552</v>
      </c>
      <c r="BG13" s="2834"/>
      <c r="BH13" s="2863">
        <v>2</v>
      </c>
      <c r="BI13" s="2864">
        <f>SUM(X13:X26)</f>
        <v>19840000</v>
      </c>
      <c r="BJ13" s="2867">
        <f>SUM(Y13:Y26)</f>
        <v>0</v>
      </c>
      <c r="BK13" s="2854"/>
      <c r="BL13" s="2856"/>
      <c r="BM13" s="2857" t="s">
        <v>853</v>
      </c>
      <c r="BN13" s="2860">
        <v>43832</v>
      </c>
      <c r="BO13" s="2860">
        <v>43892</v>
      </c>
      <c r="BP13" s="2836">
        <v>44196</v>
      </c>
      <c r="BQ13" s="2836">
        <v>44082</v>
      </c>
      <c r="BR13" s="2839" t="s">
        <v>854</v>
      </c>
      <c r="BS13" s="2686"/>
      <c r="BT13" s="2686"/>
    </row>
    <row r="14" spans="1:90" s="458" customFormat="1" ht="57" customHeight="1" x14ac:dyDescent="0.2">
      <c r="A14" s="2799"/>
      <c r="B14" s="2802"/>
      <c r="C14" s="2803"/>
      <c r="D14" s="2804"/>
      <c r="E14" s="2805"/>
      <c r="F14" s="2805"/>
      <c r="G14" s="908"/>
      <c r="H14" s="928"/>
      <c r="I14" s="929"/>
      <c r="J14" s="930">
        <v>215</v>
      </c>
      <c r="K14" s="931" t="s">
        <v>855</v>
      </c>
      <c r="L14" s="1020" t="s">
        <v>856</v>
      </c>
      <c r="M14" s="1028">
        <v>2</v>
      </c>
      <c r="N14" s="1028"/>
      <c r="O14" s="2807"/>
      <c r="P14" s="2809"/>
      <c r="Q14" s="2811"/>
      <c r="R14" s="1182">
        <f>SUM(W14:W14)/S13</f>
        <v>8.3798882681564244E-3</v>
      </c>
      <c r="S14" s="2818"/>
      <c r="T14" s="2819"/>
      <c r="U14" s="2819"/>
      <c r="V14" s="924" t="s">
        <v>857</v>
      </c>
      <c r="W14" s="932">
        <v>15000000</v>
      </c>
      <c r="X14" s="933">
        <v>620000</v>
      </c>
      <c r="Y14" s="933">
        <v>0</v>
      </c>
      <c r="Z14" s="926">
        <v>20</v>
      </c>
      <c r="AA14" s="927" t="s">
        <v>852</v>
      </c>
      <c r="AB14" s="2450"/>
      <c r="AC14" s="2824"/>
      <c r="AD14" s="2450"/>
      <c r="AE14" s="2826"/>
      <c r="AF14" s="2450"/>
      <c r="AG14" s="2824"/>
      <c r="AH14" s="2450"/>
      <c r="AI14" s="2824"/>
      <c r="AJ14" s="2450"/>
      <c r="AK14" s="2824"/>
      <c r="AL14" s="2450"/>
      <c r="AM14" s="2833"/>
      <c r="AN14" s="2450"/>
      <c r="AO14" s="2826"/>
      <c r="AP14" s="2450"/>
      <c r="AQ14" s="2826"/>
      <c r="AR14" s="2450"/>
      <c r="AS14" s="934"/>
      <c r="AT14" s="2450"/>
      <c r="AU14" s="2835"/>
      <c r="AV14" s="2450"/>
      <c r="AW14" s="2835"/>
      <c r="AX14" s="2450"/>
      <c r="AY14" s="2835"/>
      <c r="AZ14" s="2450"/>
      <c r="BA14" s="2835"/>
      <c r="BB14" s="2450"/>
      <c r="BC14" s="2835"/>
      <c r="BD14" s="2450"/>
      <c r="BE14" s="934"/>
      <c r="BF14" s="2450"/>
      <c r="BG14" s="2835"/>
      <c r="BH14" s="2858"/>
      <c r="BI14" s="2865"/>
      <c r="BJ14" s="2868"/>
      <c r="BK14" s="2855"/>
      <c r="BL14" s="2856"/>
      <c r="BM14" s="2858"/>
      <c r="BN14" s="2861"/>
      <c r="BO14" s="2861"/>
      <c r="BP14" s="2837"/>
      <c r="BQ14" s="2837"/>
      <c r="BR14" s="2840"/>
      <c r="BS14" s="2686"/>
      <c r="BT14" s="2686"/>
    </row>
    <row r="15" spans="1:90" s="458" customFormat="1" ht="66.75" customHeight="1" x14ac:dyDescent="0.2">
      <c r="A15" s="2799"/>
      <c r="B15" s="2802"/>
      <c r="C15" s="2803"/>
      <c r="D15" s="2804"/>
      <c r="E15" s="2805"/>
      <c r="F15" s="2805"/>
      <c r="G15" s="908"/>
      <c r="H15" s="928"/>
      <c r="I15" s="929"/>
      <c r="J15" s="2841">
        <v>217</v>
      </c>
      <c r="K15" s="2806" t="s">
        <v>858</v>
      </c>
      <c r="L15" s="2845" t="s">
        <v>859</v>
      </c>
      <c r="M15" s="2848">
        <v>5</v>
      </c>
      <c r="N15" s="2848"/>
      <c r="O15" s="2807"/>
      <c r="P15" s="2809"/>
      <c r="Q15" s="2811"/>
      <c r="R15" s="2851">
        <v>1</v>
      </c>
      <c r="S15" s="2818"/>
      <c r="T15" s="2819"/>
      <c r="U15" s="2820"/>
      <c r="V15" s="935" t="s">
        <v>860</v>
      </c>
      <c r="W15" s="936">
        <v>63150000</v>
      </c>
      <c r="X15" s="978">
        <v>0</v>
      </c>
      <c r="Y15" s="925">
        <v>0</v>
      </c>
      <c r="Z15" s="1078">
        <v>42</v>
      </c>
      <c r="AA15" s="937" t="s">
        <v>861</v>
      </c>
      <c r="AB15" s="2450"/>
      <c r="AC15" s="2824"/>
      <c r="AD15" s="2450"/>
      <c r="AE15" s="2826"/>
      <c r="AF15" s="2450"/>
      <c r="AG15" s="2824"/>
      <c r="AH15" s="2450"/>
      <c r="AI15" s="2824"/>
      <c r="AJ15" s="2450"/>
      <c r="AK15" s="2824"/>
      <c r="AL15" s="2450"/>
      <c r="AM15" s="2833"/>
      <c r="AN15" s="2450"/>
      <c r="AO15" s="2826"/>
      <c r="AP15" s="2450"/>
      <c r="AQ15" s="2826"/>
      <c r="AR15" s="2450"/>
      <c r="AS15" s="934"/>
      <c r="AT15" s="2450"/>
      <c r="AU15" s="2835"/>
      <c r="AV15" s="2450"/>
      <c r="AW15" s="2835"/>
      <c r="AX15" s="2450"/>
      <c r="AY15" s="2835"/>
      <c r="AZ15" s="2450"/>
      <c r="BA15" s="2835"/>
      <c r="BB15" s="2450"/>
      <c r="BC15" s="2835"/>
      <c r="BD15" s="2450"/>
      <c r="BE15" s="934"/>
      <c r="BF15" s="2450"/>
      <c r="BG15" s="2835"/>
      <c r="BH15" s="2858"/>
      <c r="BI15" s="2865"/>
      <c r="BJ15" s="2868"/>
      <c r="BK15" s="2855"/>
      <c r="BL15" s="2841">
        <v>42</v>
      </c>
      <c r="BM15" s="2858"/>
      <c r="BN15" s="2861"/>
      <c r="BO15" s="2861"/>
      <c r="BP15" s="2837"/>
      <c r="BQ15" s="2837"/>
      <c r="BR15" s="2840"/>
      <c r="BS15" s="846"/>
      <c r="BT15" s="846"/>
    </row>
    <row r="16" spans="1:90" s="458" customFormat="1" ht="35.25" customHeight="1" x14ac:dyDescent="0.2">
      <c r="A16" s="2799"/>
      <c r="B16" s="2802"/>
      <c r="C16" s="2803"/>
      <c r="D16" s="2804"/>
      <c r="E16" s="2805"/>
      <c r="F16" s="2805"/>
      <c r="G16" s="908"/>
      <c r="H16" s="928"/>
      <c r="I16" s="929"/>
      <c r="J16" s="2842"/>
      <c r="K16" s="2807"/>
      <c r="L16" s="2846"/>
      <c r="M16" s="2849"/>
      <c r="N16" s="2849"/>
      <c r="O16" s="2807"/>
      <c r="P16" s="2809"/>
      <c r="Q16" s="2811"/>
      <c r="R16" s="2852"/>
      <c r="S16" s="2818"/>
      <c r="T16" s="2819"/>
      <c r="U16" s="2820"/>
      <c r="V16" s="924" t="s">
        <v>862</v>
      </c>
      <c r="W16" s="936">
        <v>600000000</v>
      </c>
      <c r="X16" s="925">
        <v>14000000</v>
      </c>
      <c r="Y16" s="925">
        <v>0</v>
      </c>
      <c r="Z16" s="926">
        <v>42</v>
      </c>
      <c r="AA16" s="937" t="s">
        <v>861</v>
      </c>
      <c r="AB16" s="2450"/>
      <c r="AC16" s="2824"/>
      <c r="AD16" s="2450"/>
      <c r="AE16" s="2826"/>
      <c r="AF16" s="2450"/>
      <c r="AG16" s="2824"/>
      <c r="AH16" s="2450"/>
      <c r="AI16" s="2824"/>
      <c r="AJ16" s="2450"/>
      <c r="AK16" s="2824"/>
      <c r="AL16" s="2450"/>
      <c r="AM16" s="2833"/>
      <c r="AN16" s="2450"/>
      <c r="AO16" s="2826"/>
      <c r="AP16" s="2450"/>
      <c r="AQ16" s="2826"/>
      <c r="AR16" s="2450"/>
      <c r="AS16" s="934"/>
      <c r="AT16" s="2450"/>
      <c r="AU16" s="2835"/>
      <c r="AV16" s="2450"/>
      <c r="AW16" s="2835"/>
      <c r="AX16" s="2450"/>
      <c r="AY16" s="2835"/>
      <c r="AZ16" s="2450"/>
      <c r="BA16" s="2835"/>
      <c r="BB16" s="2450"/>
      <c r="BC16" s="2835"/>
      <c r="BD16" s="2450"/>
      <c r="BE16" s="934"/>
      <c r="BF16" s="2450"/>
      <c r="BG16" s="2835"/>
      <c r="BH16" s="2858"/>
      <c r="BI16" s="2865"/>
      <c r="BJ16" s="2868"/>
      <c r="BK16" s="2855"/>
      <c r="BL16" s="2842"/>
      <c r="BM16" s="2858"/>
      <c r="BN16" s="2861"/>
      <c r="BO16" s="2861"/>
      <c r="BP16" s="2837"/>
      <c r="BQ16" s="2837"/>
      <c r="BR16" s="2840"/>
      <c r="BS16" s="908"/>
      <c r="BT16" s="908"/>
    </row>
    <row r="17" spans="1:72" s="458" customFormat="1" ht="35.25" customHeight="1" x14ac:dyDescent="0.2">
      <c r="A17" s="2799"/>
      <c r="B17" s="2802"/>
      <c r="C17" s="2803"/>
      <c r="D17" s="2804"/>
      <c r="E17" s="2805"/>
      <c r="F17" s="2805"/>
      <c r="G17" s="908"/>
      <c r="H17" s="928"/>
      <c r="I17" s="929"/>
      <c r="J17" s="2842"/>
      <c r="K17" s="2807"/>
      <c r="L17" s="2846"/>
      <c r="M17" s="2849"/>
      <c r="N17" s="2849"/>
      <c r="O17" s="2807"/>
      <c r="P17" s="2809"/>
      <c r="Q17" s="2811"/>
      <c r="R17" s="2852"/>
      <c r="S17" s="2818"/>
      <c r="T17" s="2819"/>
      <c r="U17" s="2820"/>
      <c r="V17" s="924" t="s">
        <v>863</v>
      </c>
      <c r="W17" s="936">
        <v>300000000</v>
      </c>
      <c r="X17" s="925">
        <v>0</v>
      </c>
      <c r="Y17" s="925"/>
      <c r="Z17" s="926">
        <v>42</v>
      </c>
      <c r="AA17" s="937" t="s">
        <v>861</v>
      </c>
      <c r="AB17" s="2450"/>
      <c r="AC17" s="2824"/>
      <c r="AD17" s="2450"/>
      <c r="AE17" s="2826"/>
      <c r="AF17" s="2450"/>
      <c r="AG17" s="2824"/>
      <c r="AH17" s="2450"/>
      <c r="AI17" s="2824"/>
      <c r="AJ17" s="2450"/>
      <c r="AK17" s="2824"/>
      <c r="AL17" s="2450"/>
      <c r="AM17" s="2833"/>
      <c r="AN17" s="2450"/>
      <c r="AO17" s="2826"/>
      <c r="AP17" s="2450"/>
      <c r="AQ17" s="2826"/>
      <c r="AR17" s="2450"/>
      <c r="AS17" s="934"/>
      <c r="AT17" s="2450"/>
      <c r="AU17" s="2835"/>
      <c r="AV17" s="2450"/>
      <c r="AW17" s="2835"/>
      <c r="AX17" s="2450"/>
      <c r="AY17" s="2835"/>
      <c r="AZ17" s="2450"/>
      <c r="BA17" s="2835"/>
      <c r="BB17" s="2450"/>
      <c r="BC17" s="2835"/>
      <c r="BD17" s="2450"/>
      <c r="BE17" s="934"/>
      <c r="BF17" s="2450"/>
      <c r="BG17" s="2835"/>
      <c r="BH17" s="2858"/>
      <c r="BI17" s="2865"/>
      <c r="BJ17" s="2868"/>
      <c r="BK17" s="2855"/>
      <c r="BL17" s="2842"/>
      <c r="BM17" s="2858"/>
      <c r="BN17" s="2861"/>
      <c r="BO17" s="2861"/>
      <c r="BP17" s="2837"/>
      <c r="BQ17" s="2837"/>
      <c r="BR17" s="2840"/>
      <c r="BS17" s="908"/>
      <c r="BT17" s="908"/>
    </row>
    <row r="18" spans="1:72" s="458" customFormat="1" ht="26.25" customHeight="1" x14ac:dyDescent="0.2">
      <c r="A18" s="2799"/>
      <c r="B18" s="2802"/>
      <c r="C18" s="2803"/>
      <c r="D18" s="2804"/>
      <c r="E18" s="2805"/>
      <c r="F18" s="2805"/>
      <c r="G18" s="908"/>
      <c r="H18" s="928"/>
      <c r="I18" s="929"/>
      <c r="J18" s="2842"/>
      <c r="K18" s="2807"/>
      <c r="L18" s="2846"/>
      <c r="M18" s="2849"/>
      <c r="N18" s="2849"/>
      <c r="O18" s="2807"/>
      <c r="P18" s="2809"/>
      <c r="Q18" s="2811"/>
      <c r="R18" s="2852"/>
      <c r="S18" s="2818"/>
      <c r="T18" s="2819"/>
      <c r="U18" s="2820"/>
      <c r="V18" s="924" t="s">
        <v>864</v>
      </c>
      <c r="W18" s="936">
        <v>100000000</v>
      </c>
      <c r="X18" s="925"/>
      <c r="Y18" s="925">
        <v>0</v>
      </c>
      <c r="Z18" s="926">
        <v>42</v>
      </c>
      <c r="AA18" s="937" t="s">
        <v>861</v>
      </c>
      <c r="AB18" s="2450"/>
      <c r="AC18" s="2824"/>
      <c r="AD18" s="2450"/>
      <c r="AE18" s="2826"/>
      <c r="AF18" s="2450"/>
      <c r="AG18" s="2824"/>
      <c r="AH18" s="2450"/>
      <c r="AI18" s="2824"/>
      <c r="AJ18" s="2450"/>
      <c r="AK18" s="2824"/>
      <c r="AL18" s="2450"/>
      <c r="AM18" s="2833"/>
      <c r="AN18" s="2450"/>
      <c r="AO18" s="2826"/>
      <c r="AP18" s="2450"/>
      <c r="AQ18" s="2826"/>
      <c r="AR18" s="2450"/>
      <c r="AS18" s="934"/>
      <c r="AT18" s="2450"/>
      <c r="AU18" s="2835"/>
      <c r="AV18" s="2450"/>
      <c r="AW18" s="2835"/>
      <c r="AX18" s="2450"/>
      <c r="AY18" s="2835"/>
      <c r="AZ18" s="2450"/>
      <c r="BA18" s="2835"/>
      <c r="BB18" s="2450"/>
      <c r="BC18" s="2835"/>
      <c r="BD18" s="2450"/>
      <c r="BE18" s="934"/>
      <c r="BF18" s="2450"/>
      <c r="BG18" s="2835"/>
      <c r="BH18" s="2858"/>
      <c r="BI18" s="2865"/>
      <c r="BJ18" s="2868"/>
      <c r="BK18" s="2855"/>
      <c r="BL18" s="2842"/>
      <c r="BM18" s="2858"/>
      <c r="BN18" s="2861"/>
      <c r="BO18" s="2861"/>
      <c r="BP18" s="2837"/>
      <c r="BQ18" s="2837"/>
      <c r="BR18" s="2840"/>
      <c r="BS18" s="908"/>
      <c r="BT18" s="908"/>
    </row>
    <row r="19" spans="1:72" s="458" customFormat="1" ht="32.25" customHeight="1" x14ac:dyDescent="0.2">
      <c r="A19" s="2799"/>
      <c r="B19" s="2802"/>
      <c r="C19" s="2803"/>
      <c r="D19" s="2804"/>
      <c r="E19" s="2805"/>
      <c r="F19" s="2805"/>
      <c r="G19" s="908"/>
      <c r="H19" s="928"/>
      <c r="I19" s="929"/>
      <c r="J19" s="2842"/>
      <c r="K19" s="2807"/>
      <c r="L19" s="2846"/>
      <c r="M19" s="2849"/>
      <c r="N19" s="2849"/>
      <c r="O19" s="2807"/>
      <c r="P19" s="2809"/>
      <c r="Q19" s="2811"/>
      <c r="R19" s="2852"/>
      <c r="S19" s="2818"/>
      <c r="T19" s="2819"/>
      <c r="U19" s="2820"/>
      <c r="V19" s="924" t="s">
        <v>865</v>
      </c>
      <c r="W19" s="936">
        <v>100000000</v>
      </c>
      <c r="X19" s="925">
        <v>0</v>
      </c>
      <c r="Y19" s="925"/>
      <c r="Z19" s="926">
        <v>42</v>
      </c>
      <c r="AA19" s="937" t="s">
        <v>861</v>
      </c>
      <c r="AB19" s="2450"/>
      <c r="AC19" s="2824"/>
      <c r="AD19" s="2450"/>
      <c r="AE19" s="2826"/>
      <c r="AF19" s="2450"/>
      <c r="AG19" s="2824"/>
      <c r="AH19" s="2450"/>
      <c r="AI19" s="2824"/>
      <c r="AJ19" s="2450"/>
      <c r="AK19" s="2824"/>
      <c r="AL19" s="2450"/>
      <c r="AM19" s="2833"/>
      <c r="AN19" s="2450"/>
      <c r="AO19" s="2826"/>
      <c r="AP19" s="2450"/>
      <c r="AQ19" s="2826"/>
      <c r="AR19" s="2450"/>
      <c r="AS19" s="934"/>
      <c r="AT19" s="2450"/>
      <c r="AU19" s="2835"/>
      <c r="AV19" s="2450"/>
      <c r="AW19" s="2835"/>
      <c r="AX19" s="2450"/>
      <c r="AY19" s="2835"/>
      <c r="AZ19" s="2450"/>
      <c r="BA19" s="2835"/>
      <c r="BB19" s="2450"/>
      <c r="BC19" s="2835"/>
      <c r="BD19" s="2450"/>
      <c r="BE19" s="934"/>
      <c r="BF19" s="2450"/>
      <c r="BG19" s="2835"/>
      <c r="BH19" s="2858"/>
      <c r="BI19" s="2865"/>
      <c r="BJ19" s="2868"/>
      <c r="BK19" s="2855"/>
      <c r="BL19" s="2842"/>
      <c r="BM19" s="2858"/>
      <c r="BN19" s="2861"/>
      <c r="BO19" s="2861"/>
      <c r="BP19" s="2837"/>
      <c r="BQ19" s="2837"/>
      <c r="BR19" s="2840"/>
      <c r="BS19" s="908"/>
      <c r="BT19" s="908"/>
    </row>
    <row r="20" spans="1:72" s="458" customFormat="1" ht="23.25" customHeight="1" x14ac:dyDescent="0.2">
      <c r="A20" s="2799"/>
      <c r="B20" s="2802"/>
      <c r="C20" s="2803"/>
      <c r="D20" s="2804"/>
      <c r="E20" s="2805"/>
      <c r="F20" s="2805"/>
      <c r="G20" s="908"/>
      <c r="H20" s="928"/>
      <c r="I20" s="929"/>
      <c r="J20" s="2842"/>
      <c r="K20" s="2807"/>
      <c r="L20" s="2846"/>
      <c r="M20" s="2849"/>
      <c r="N20" s="2849"/>
      <c r="O20" s="2807"/>
      <c r="P20" s="2809"/>
      <c r="Q20" s="2811"/>
      <c r="R20" s="2852"/>
      <c r="S20" s="2818"/>
      <c r="T20" s="2819"/>
      <c r="U20" s="2820"/>
      <c r="V20" s="924" t="s">
        <v>866</v>
      </c>
      <c r="W20" s="936">
        <v>50000000</v>
      </c>
      <c r="X20" s="925">
        <v>0</v>
      </c>
      <c r="Y20" s="925"/>
      <c r="Z20" s="926">
        <v>42</v>
      </c>
      <c r="AA20" s="937" t="s">
        <v>861</v>
      </c>
      <c r="AB20" s="2450"/>
      <c r="AC20" s="2824"/>
      <c r="AD20" s="2450"/>
      <c r="AE20" s="2826"/>
      <c r="AF20" s="2450"/>
      <c r="AG20" s="2824"/>
      <c r="AH20" s="2450"/>
      <c r="AI20" s="2824"/>
      <c r="AJ20" s="2450"/>
      <c r="AK20" s="2824"/>
      <c r="AL20" s="2450"/>
      <c r="AM20" s="2833"/>
      <c r="AN20" s="2450"/>
      <c r="AO20" s="2826"/>
      <c r="AP20" s="2450"/>
      <c r="AQ20" s="2826"/>
      <c r="AR20" s="2450"/>
      <c r="AS20" s="934"/>
      <c r="AT20" s="2450"/>
      <c r="AU20" s="2835"/>
      <c r="AV20" s="2450"/>
      <c r="AW20" s="2835"/>
      <c r="AX20" s="2450"/>
      <c r="AY20" s="2835"/>
      <c r="AZ20" s="2450"/>
      <c r="BA20" s="2835"/>
      <c r="BB20" s="2450"/>
      <c r="BC20" s="2835"/>
      <c r="BD20" s="2450"/>
      <c r="BE20" s="934"/>
      <c r="BF20" s="2450"/>
      <c r="BG20" s="2835"/>
      <c r="BH20" s="2858"/>
      <c r="BI20" s="2865"/>
      <c r="BJ20" s="2868"/>
      <c r="BK20" s="2855"/>
      <c r="BL20" s="2842"/>
      <c r="BM20" s="2858"/>
      <c r="BN20" s="2861"/>
      <c r="BO20" s="2861"/>
      <c r="BP20" s="2837"/>
      <c r="BQ20" s="2837"/>
      <c r="BR20" s="2840"/>
      <c r="BS20" s="908"/>
      <c r="BT20" s="908"/>
    </row>
    <row r="21" spans="1:72" s="458" customFormat="1" ht="71.25" x14ac:dyDescent="0.2">
      <c r="A21" s="2799"/>
      <c r="B21" s="2802"/>
      <c r="C21" s="2803"/>
      <c r="D21" s="2804"/>
      <c r="E21" s="2805"/>
      <c r="F21" s="2805"/>
      <c r="G21" s="908"/>
      <c r="H21" s="928"/>
      <c r="I21" s="929"/>
      <c r="J21" s="2842"/>
      <c r="K21" s="2807"/>
      <c r="L21" s="2846"/>
      <c r="M21" s="2849"/>
      <c r="N21" s="2849"/>
      <c r="O21" s="2807"/>
      <c r="P21" s="2809"/>
      <c r="Q21" s="2811"/>
      <c r="R21" s="2852"/>
      <c r="S21" s="2818"/>
      <c r="T21" s="2819"/>
      <c r="U21" s="2820"/>
      <c r="V21" s="938" t="s">
        <v>867</v>
      </c>
      <c r="W21" s="936">
        <v>150000000</v>
      </c>
      <c r="X21" s="925">
        <v>0</v>
      </c>
      <c r="Y21" s="925"/>
      <c r="Z21" s="926">
        <v>42</v>
      </c>
      <c r="AA21" s="937" t="s">
        <v>861</v>
      </c>
      <c r="AB21" s="2450"/>
      <c r="AC21" s="2824"/>
      <c r="AD21" s="2450"/>
      <c r="AE21" s="2826"/>
      <c r="AF21" s="2450"/>
      <c r="AG21" s="2824"/>
      <c r="AH21" s="2450"/>
      <c r="AI21" s="2824"/>
      <c r="AJ21" s="2450"/>
      <c r="AK21" s="2824"/>
      <c r="AL21" s="2450"/>
      <c r="AM21" s="2833"/>
      <c r="AN21" s="2450"/>
      <c r="AO21" s="2826"/>
      <c r="AP21" s="2450"/>
      <c r="AQ21" s="2826"/>
      <c r="AR21" s="2450"/>
      <c r="AS21" s="934"/>
      <c r="AT21" s="2450"/>
      <c r="AU21" s="2835"/>
      <c r="AV21" s="2450"/>
      <c r="AW21" s="2835"/>
      <c r="AX21" s="2450"/>
      <c r="AY21" s="2835"/>
      <c r="AZ21" s="2450"/>
      <c r="BA21" s="2835"/>
      <c r="BB21" s="2450"/>
      <c r="BC21" s="2835"/>
      <c r="BD21" s="2450"/>
      <c r="BE21" s="934"/>
      <c r="BF21" s="2450"/>
      <c r="BG21" s="2835"/>
      <c r="BH21" s="2858"/>
      <c r="BI21" s="2865"/>
      <c r="BJ21" s="2868"/>
      <c r="BK21" s="2855"/>
      <c r="BL21" s="2842"/>
      <c r="BM21" s="2858"/>
      <c r="BN21" s="2861"/>
      <c r="BO21" s="2861"/>
      <c r="BP21" s="2837"/>
      <c r="BQ21" s="2837"/>
      <c r="BR21" s="2840"/>
      <c r="BS21" s="908"/>
      <c r="BT21" s="908"/>
    </row>
    <row r="22" spans="1:72" s="458" customFormat="1" ht="48" customHeight="1" x14ac:dyDescent="0.2">
      <c r="A22" s="2799"/>
      <c r="B22" s="2802"/>
      <c r="C22" s="2803"/>
      <c r="D22" s="2804"/>
      <c r="E22" s="2805"/>
      <c r="F22" s="2805"/>
      <c r="G22" s="908"/>
      <c r="H22" s="928"/>
      <c r="I22" s="929"/>
      <c r="J22" s="2842"/>
      <c r="K22" s="2807"/>
      <c r="L22" s="2846"/>
      <c r="M22" s="2849"/>
      <c r="N22" s="2849"/>
      <c r="O22" s="2807"/>
      <c r="P22" s="2809"/>
      <c r="Q22" s="2811"/>
      <c r="R22" s="2852"/>
      <c r="S22" s="2818"/>
      <c r="T22" s="2819"/>
      <c r="U22" s="2820"/>
      <c r="V22" s="938" t="s">
        <v>868</v>
      </c>
      <c r="W22" s="936">
        <v>170000000</v>
      </c>
      <c r="X22" s="925"/>
      <c r="Y22" s="925"/>
      <c r="Z22" s="926">
        <v>42</v>
      </c>
      <c r="AA22" s="937" t="s">
        <v>861</v>
      </c>
      <c r="AB22" s="2450"/>
      <c r="AC22" s="2824"/>
      <c r="AD22" s="2450"/>
      <c r="AE22" s="2826"/>
      <c r="AF22" s="2450"/>
      <c r="AG22" s="2824"/>
      <c r="AH22" s="2450"/>
      <c r="AI22" s="2824"/>
      <c r="AJ22" s="2450"/>
      <c r="AK22" s="2824"/>
      <c r="AL22" s="2450"/>
      <c r="AM22" s="2833"/>
      <c r="AN22" s="2450"/>
      <c r="AO22" s="2826"/>
      <c r="AP22" s="2450"/>
      <c r="AQ22" s="2826"/>
      <c r="AR22" s="2450"/>
      <c r="AS22" s="934"/>
      <c r="AT22" s="2450"/>
      <c r="AU22" s="2835"/>
      <c r="AV22" s="2450"/>
      <c r="AW22" s="2835"/>
      <c r="AX22" s="2450"/>
      <c r="AY22" s="2835"/>
      <c r="AZ22" s="2450"/>
      <c r="BA22" s="2835"/>
      <c r="BB22" s="2450"/>
      <c r="BC22" s="2835"/>
      <c r="BD22" s="2450"/>
      <c r="BE22" s="934"/>
      <c r="BF22" s="2450"/>
      <c r="BG22" s="2835"/>
      <c r="BH22" s="2858"/>
      <c r="BI22" s="2865"/>
      <c r="BJ22" s="2868"/>
      <c r="BK22" s="2855"/>
      <c r="BL22" s="2842"/>
      <c r="BM22" s="2858"/>
      <c r="BN22" s="2861"/>
      <c r="BO22" s="2861"/>
      <c r="BP22" s="2837"/>
      <c r="BQ22" s="2837"/>
      <c r="BR22" s="2840"/>
      <c r="BS22" s="908"/>
      <c r="BT22" s="908"/>
    </row>
    <row r="23" spans="1:72" s="458" customFormat="1" ht="42.75" x14ac:dyDescent="0.2">
      <c r="A23" s="2799"/>
      <c r="B23" s="2802"/>
      <c r="C23" s="2803"/>
      <c r="D23" s="2804"/>
      <c r="E23" s="2805"/>
      <c r="F23" s="2805"/>
      <c r="G23" s="908"/>
      <c r="H23" s="928"/>
      <c r="I23" s="929"/>
      <c r="J23" s="2842"/>
      <c r="K23" s="2807"/>
      <c r="L23" s="2846"/>
      <c r="M23" s="2849"/>
      <c r="N23" s="2849"/>
      <c r="O23" s="2807"/>
      <c r="P23" s="2809"/>
      <c r="Q23" s="2811"/>
      <c r="R23" s="2852"/>
      <c r="S23" s="2818"/>
      <c r="T23" s="2819"/>
      <c r="U23" s="2820"/>
      <c r="V23" s="939" t="s">
        <v>869</v>
      </c>
      <c r="W23" s="936">
        <v>6850000</v>
      </c>
      <c r="X23" s="925">
        <v>2000000</v>
      </c>
      <c r="Y23" s="925">
        <v>0</v>
      </c>
      <c r="Z23" s="926">
        <v>42</v>
      </c>
      <c r="AA23" s="937" t="s">
        <v>861</v>
      </c>
      <c r="AB23" s="2450"/>
      <c r="AC23" s="2824"/>
      <c r="AD23" s="2450"/>
      <c r="AE23" s="2826"/>
      <c r="AF23" s="2450"/>
      <c r="AG23" s="2824"/>
      <c r="AH23" s="2450"/>
      <c r="AI23" s="2824"/>
      <c r="AJ23" s="2450"/>
      <c r="AK23" s="2824"/>
      <c r="AL23" s="2450"/>
      <c r="AM23" s="2833"/>
      <c r="AN23" s="2450"/>
      <c r="AO23" s="2826"/>
      <c r="AP23" s="2450"/>
      <c r="AQ23" s="2826"/>
      <c r="AR23" s="2450"/>
      <c r="AS23" s="934"/>
      <c r="AT23" s="2450"/>
      <c r="AU23" s="2835"/>
      <c r="AV23" s="2450"/>
      <c r="AW23" s="2835"/>
      <c r="AX23" s="2450"/>
      <c r="AY23" s="2835"/>
      <c r="AZ23" s="2450"/>
      <c r="BA23" s="2835"/>
      <c r="BB23" s="2450"/>
      <c r="BC23" s="2835"/>
      <c r="BD23" s="2450"/>
      <c r="BE23" s="934"/>
      <c r="BF23" s="2450"/>
      <c r="BG23" s="2835"/>
      <c r="BH23" s="2858"/>
      <c r="BI23" s="2865"/>
      <c r="BJ23" s="2868"/>
      <c r="BK23" s="2855"/>
      <c r="BL23" s="2842"/>
      <c r="BM23" s="2858"/>
      <c r="BN23" s="2861"/>
      <c r="BO23" s="2861"/>
      <c r="BP23" s="2837"/>
      <c r="BQ23" s="2837"/>
      <c r="BR23" s="2840"/>
      <c r="BS23" s="908"/>
      <c r="BT23" s="908"/>
    </row>
    <row r="24" spans="1:72" s="458" customFormat="1" ht="57" x14ac:dyDescent="0.2">
      <c r="A24" s="2799"/>
      <c r="B24" s="2802"/>
      <c r="C24" s="2803"/>
      <c r="D24" s="2804"/>
      <c r="E24" s="2805"/>
      <c r="F24" s="2805"/>
      <c r="G24" s="908"/>
      <c r="H24" s="928"/>
      <c r="I24" s="929"/>
      <c r="J24" s="2842"/>
      <c r="K24" s="2807"/>
      <c r="L24" s="2846"/>
      <c r="M24" s="2849"/>
      <c r="N24" s="2849"/>
      <c r="O24" s="2807"/>
      <c r="P24" s="2809"/>
      <c r="Q24" s="2811"/>
      <c r="R24" s="2852"/>
      <c r="S24" s="2818"/>
      <c r="T24" s="2819"/>
      <c r="U24" s="2820"/>
      <c r="V24" s="939" t="s">
        <v>870</v>
      </c>
      <c r="W24" s="936">
        <v>10000000</v>
      </c>
      <c r="X24" s="925">
        <v>0</v>
      </c>
      <c r="Y24" s="925"/>
      <c r="Z24" s="926">
        <v>42</v>
      </c>
      <c r="AA24" s="937" t="s">
        <v>861</v>
      </c>
      <c r="AB24" s="2450"/>
      <c r="AC24" s="2824"/>
      <c r="AD24" s="2450"/>
      <c r="AE24" s="2826"/>
      <c r="AF24" s="2450"/>
      <c r="AG24" s="2824"/>
      <c r="AH24" s="2450"/>
      <c r="AI24" s="2824"/>
      <c r="AJ24" s="2450"/>
      <c r="AK24" s="2824"/>
      <c r="AL24" s="2450"/>
      <c r="AM24" s="2833"/>
      <c r="AN24" s="2450"/>
      <c r="AO24" s="2826"/>
      <c r="AP24" s="2450"/>
      <c r="AQ24" s="2826"/>
      <c r="AR24" s="2450"/>
      <c r="AS24" s="934"/>
      <c r="AT24" s="2450"/>
      <c r="AU24" s="2835"/>
      <c r="AV24" s="2450"/>
      <c r="AW24" s="2835"/>
      <c r="AX24" s="2450"/>
      <c r="AY24" s="2835"/>
      <c r="AZ24" s="2450"/>
      <c r="BA24" s="2835"/>
      <c r="BB24" s="2450"/>
      <c r="BC24" s="2835"/>
      <c r="BD24" s="2450"/>
      <c r="BE24" s="934"/>
      <c r="BF24" s="2450"/>
      <c r="BG24" s="2835"/>
      <c r="BH24" s="2858"/>
      <c r="BI24" s="2865"/>
      <c r="BJ24" s="2868"/>
      <c r="BK24" s="2855"/>
      <c r="BL24" s="2842"/>
      <c r="BM24" s="2858"/>
      <c r="BN24" s="2861"/>
      <c r="BO24" s="2861"/>
      <c r="BP24" s="2837"/>
      <c r="BQ24" s="2837"/>
      <c r="BR24" s="2840"/>
      <c r="BS24" s="908"/>
      <c r="BT24" s="908"/>
    </row>
    <row r="25" spans="1:72" s="458" customFormat="1" ht="57" x14ac:dyDescent="0.2">
      <c r="A25" s="2799"/>
      <c r="B25" s="2802"/>
      <c r="C25" s="2803"/>
      <c r="D25" s="2804"/>
      <c r="E25" s="2805"/>
      <c r="F25" s="2805"/>
      <c r="G25" s="908"/>
      <c r="H25" s="928"/>
      <c r="I25" s="929"/>
      <c r="J25" s="2842"/>
      <c r="K25" s="2807"/>
      <c r="L25" s="2846"/>
      <c r="M25" s="2849"/>
      <c r="N25" s="2849"/>
      <c r="O25" s="2807"/>
      <c r="P25" s="2809"/>
      <c r="Q25" s="2811"/>
      <c r="R25" s="2852"/>
      <c r="S25" s="2818"/>
      <c r="T25" s="2819"/>
      <c r="U25" s="2820"/>
      <c r="V25" s="939" t="s">
        <v>871</v>
      </c>
      <c r="W25" s="936">
        <v>10000000</v>
      </c>
      <c r="X25" s="925">
        <v>2600000</v>
      </c>
      <c r="Y25" s="925">
        <v>0</v>
      </c>
      <c r="Z25" s="926">
        <v>42</v>
      </c>
      <c r="AA25" s="937" t="s">
        <v>861</v>
      </c>
      <c r="AB25" s="2450"/>
      <c r="AC25" s="2824"/>
      <c r="AD25" s="2450"/>
      <c r="AE25" s="2826"/>
      <c r="AF25" s="2450"/>
      <c r="AG25" s="2824"/>
      <c r="AH25" s="2450"/>
      <c r="AI25" s="2824"/>
      <c r="AJ25" s="2450"/>
      <c r="AK25" s="2824"/>
      <c r="AL25" s="2450"/>
      <c r="AM25" s="2833"/>
      <c r="AN25" s="2450"/>
      <c r="AO25" s="2826"/>
      <c r="AP25" s="2450"/>
      <c r="AQ25" s="2826"/>
      <c r="AR25" s="2450"/>
      <c r="AS25" s="934"/>
      <c r="AT25" s="2450"/>
      <c r="AU25" s="2835"/>
      <c r="AV25" s="2450"/>
      <c r="AW25" s="2835"/>
      <c r="AX25" s="2450"/>
      <c r="AY25" s="2835"/>
      <c r="AZ25" s="2450"/>
      <c r="BA25" s="2835"/>
      <c r="BB25" s="2450"/>
      <c r="BC25" s="2835"/>
      <c r="BD25" s="2450"/>
      <c r="BE25" s="934"/>
      <c r="BF25" s="2450"/>
      <c r="BG25" s="2835"/>
      <c r="BH25" s="2858"/>
      <c r="BI25" s="2865"/>
      <c r="BJ25" s="2868"/>
      <c r="BK25" s="2855"/>
      <c r="BL25" s="2842"/>
      <c r="BM25" s="2858"/>
      <c r="BN25" s="2861"/>
      <c r="BO25" s="2861"/>
      <c r="BP25" s="2837"/>
      <c r="BQ25" s="2837"/>
      <c r="BR25" s="2840"/>
      <c r="BS25" s="908"/>
      <c r="BT25" s="908"/>
    </row>
    <row r="26" spans="1:72" s="458" customFormat="1" ht="57" customHeight="1" x14ac:dyDescent="0.2">
      <c r="A26" s="2799"/>
      <c r="B26" s="2802"/>
      <c r="C26" s="2803"/>
      <c r="D26" s="2804"/>
      <c r="E26" s="2805"/>
      <c r="F26" s="2805"/>
      <c r="G26" s="908"/>
      <c r="H26" s="928"/>
      <c r="I26" s="929"/>
      <c r="J26" s="2843"/>
      <c r="K26" s="2844"/>
      <c r="L26" s="2847"/>
      <c r="M26" s="2850"/>
      <c r="N26" s="2850"/>
      <c r="O26" s="2807"/>
      <c r="P26" s="2809"/>
      <c r="Q26" s="2811"/>
      <c r="R26" s="2853"/>
      <c r="S26" s="2818"/>
      <c r="T26" s="2819"/>
      <c r="U26" s="2820"/>
      <c r="V26" s="935" t="s">
        <v>872</v>
      </c>
      <c r="W26" s="936">
        <v>200000000</v>
      </c>
      <c r="X26" s="925">
        <v>0</v>
      </c>
      <c r="Y26" s="925"/>
      <c r="Z26" s="926">
        <v>42</v>
      </c>
      <c r="AA26" s="937" t="s">
        <v>861</v>
      </c>
      <c r="AB26" s="2822"/>
      <c r="AC26" s="2824"/>
      <c r="AD26" s="2822"/>
      <c r="AE26" s="2826"/>
      <c r="AF26" s="2822"/>
      <c r="AG26" s="2824"/>
      <c r="AH26" s="2822"/>
      <c r="AI26" s="2824"/>
      <c r="AJ26" s="2822"/>
      <c r="AK26" s="2824"/>
      <c r="AL26" s="2822"/>
      <c r="AM26" s="2833"/>
      <c r="AN26" s="2822"/>
      <c r="AO26" s="2826"/>
      <c r="AP26" s="2822"/>
      <c r="AQ26" s="2826"/>
      <c r="AR26" s="2822"/>
      <c r="AS26" s="934"/>
      <c r="AT26" s="2822"/>
      <c r="AU26" s="2835"/>
      <c r="AV26" s="2822"/>
      <c r="AW26" s="2835"/>
      <c r="AX26" s="2822"/>
      <c r="AY26" s="2835"/>
      <c r="AZ26" s="2822"/>
      <c r="BA26" s="2835"/>
      <c r="BB26" s="2822"/>
      <c r="BC26" s="2835"/>
      <c r="BD26" s="2822">
        <v>72128</v>
      </c>
      <c r="BE26" s="934"/>
      <c r="BF26" s="2822"/>
      <c r="BG26" s="2835"/>
      <c r="BH26" s="2858"/>
      <c r="BI26" s="2866"/>
      <c r="BJ26" s="2868"/>
      <c r="BK26" s="2855"/>
      <c r="BL26" s="2843"/>
      <c r="BM26" s="2859"/>
      <c r="BN26" s="2862"/>
      <c r="BO26" s="2862"/>
      <c r="BP26" s="2838"/>
      <c r="BQ26" s="2838"/>
      <c r="BR26" s="2840"/>
      <c r="BS26" s="908"/>
      <c r="BT26" s="908"/>
    </row>
    <row r="27" spans="1:72" s="908" customFormat="1" ht="33.75" customHeight="1" x14ac:dyDescent="0.2">
      <c r="A27" s="2799"/>
      <c r="B27" s="2802"/>
      <c r="C27" s="2803"/>
      <c r="D27" s="2805"/>
      <c r="E27" s="2805"/>
      <c r="F27" s="2805"/>
      <c r="G27" s="940">
        <v>76</v>
      </c>
      <c r="H27" s="320" t="s">
        <v>873</v>
      </c>
      <c r="I27" s="320"/>
      <c r="J27" s="941"/>
      <c r="K27" s="435"/>
      <c r="L27" s="942"/>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943"/>
    </row>
    <row r="28" spans="1:72" s="458" customFormat="1" ht="66" customHeight="1" x14ac:dyDescent="0.25">
      <c r="A28" s="2799"/>
      <c r="B28" s="2802"/>
      <c r="C28" s="2803"/>
      <c r="D28" s="2805"/>
      <c r="E28" s="2805"/>
      <c r="F28" s="2805"/>
      <c r="G28" s="908"/>
      <c r="H28" s="928"/>
      <c r="I28" s="929"/>
      <c r="J28" s="2869">
        <v>220</v>
      </c>
      <c r="K28" s="2819" t="s">
        <v>874</v>
      </c>
      <c r="L28" s="2819" t="s">
        <v>875</v>
      </c>
      <c r="M28" s="2870">
        <v>12</v>
      </c>
      <c r="N28" s="2871"/>
      <c r="O28" s="2806" t="s">
        <v>876</v>
      </c>
      <c r="P28" s="2808" t="s">
        <v>877</v>
      </c>
      <c r="Q28" s="2811" t="s">
        <v>878</v>
      </c>
      <c r="R28" s="2937">
        <f>SUM(W28:W30)/S28</f>
        <v>0.90476190476190477</v>
      </c>
      <c r="S28" s="2818">
        <f>SUM(W28:W32)</f>
        <v>210000000</v>
      </c>
      <c r="T28" s="2819" t="s">
        <v>879</v>
      </c>
      <c r="U28" s="2819" t="s">
        <v>880</v>
      </c>
      <c r="V28" s="944" t="s">
        <v>881</v>
      </c>
      <c r="W28" s="945">
        <v>120000000</v>
      </c>
      <c r="X28" s="946">
        <v>0</v>
      </c>
      <c r="Y28" s="947"/>
      <c r="Z28" s="948">
        <v>20</v>
      </c>
      <c r="AA28" s="949" t="s">
        <v>882</v>
      </c>
      <c r="AB28" s="2887">
        <v>1018</v>
      </c>
      <c r="AC28" s="2890">
        <v>234</v>
      </c>
      <c r="AD28" s="2881">
        <v>982</v>
      </c>
      <c r="AE28" s="2881">
        <v>132</v>
      </c>
      <c r="AF28" s="2881">
        <v>466</v>
      </c>
      <c r="AG28" s="2881">
        <v>0</v>
      </c>
      <c r="AH28" s="2881">
        <v>152</v>
      </c>
      <c r="AI28" s="2884">
        <v>10</v>
      </c>
      <c r="AJ28" s="2884">
        <v>1063</v>
      </c>
      <c r="AK28" s="2884">
        <v>281</v>
      </c>
      <c r="AL28" s="2884">
        <v>319</v>
      </c>
      <c r="AM28" s="2884">
        <v>76</v>
      </c>
      <c r="AN28" s="2884">
        <v>0</v>
      </c>
      <c r="AO28" s="950"/>
      <c r="AP28" s="2878">
        <v>0</v>
      </c>
      <c r="AQ28" s="950"/>
      <c r="AR28" s="2878">
        <v>0</v>
      </c>
      <c r="AS28" s="950"/>
      <c r="AT28" s="2878">
        <v>0</v>
      </c>
      <c r="AU28" s="950"/>
      <c r="AV28" s="2878">
        <v>0</v>
      </c>
      <c r="AW28" s="950"/>
      <c r="AX28" s="2878">
        <v>0</v>
      </c>
      <c r="AY28" s="950"/>
      <c r="AZ28" s="2878">
        <v>0</v>
      </c>
      <c r="BA28" s="950"/>
      <c r="BB28" s="2912">
        <v>0</v>
      </c>
      <c r="BC28" s="2914"/>
      <c r="BD28" s="2912">
        <v>0</v>
      </c>
      <c r="BE28" s="2914"/>
      <c r="BF28" s="2916">
        <f>SUM(AB28:AD32)</f>
        <v>2234</v>
      </c>
      <c r="BG28" s="2904">
        <f>AC28+AE28+AG28+AI28+AK28+AM28</f>
        <v>733</v>
      </c>
      <c r="BH28" s="2905">
        <v>1</v>
      </c>
      <c r="BI28" s="2906">
        <f>SUM(X28:X32)</f>
        <v>11200000</v>
      </c>
      <c r="BJ28" s="2908">
        <f>SUM(Y28:Y32)</f>
        <v>5600000</v>
      </c>
      <c r="BK28" s="2910"/>
      <c r="BL28" s="2857">
        <v>20</v>
      </c>
      <c r="BM28" s="2857" t="s">
        <v>853</v>
      </c>
      <c r="BN28" s="2898">
        <v>43832</v>
      </c>
      <c r="BO28" s="2898">
        <v>43892</v>
      </c>
      <c r="BP28" s="2898">
        <v>44196</v>
      </c>
      <c r="BQ28" s="2898">
        <v>44014</v>
      </c>
      <c r="BR28" s="2901" t="s">
        <v>854</v>
      </c>
      <c r="BS28" s="846"/>
      <c r="BT28" s="908"/>
    </row>
    <row r="29" spans="1:72" s="458" customFormat="1" ht="55.5" customHeight="1" x14ac:dyDescent="0.25">
      <c r="A29" s="2799"/>
      <c r="B29" s="2802"/>
      <c r="C29" s="2803"/>
      <c r="D29" s="2805"/>
      <c r="E29" s="2805"/>
      <c r="F29" s="2805"/>
      <c r="G29" s="908"/>
      <c r="H29" s="928"/>
      <c r="I29" s="929"/>
      <c r="J29" s="2869"/>
      <c r="K29" s="2819"/>
      <c r="L29" s="2819"/>
      <c r="M29" s="2870"/>
      <c r="N29" s="2871"/>
      <c r="O29" s="2807"/>
      <c r="P29" s="2809"/>
      <c r="Q29" s="2811"/>
      <c r="R29" s="2937"/>
      <c r="S29" s="2818"/>
      <c r="T29" s="2819"/>
      <c r="U29" s="2819"/>
      <c r="V29" s="951" t="s">
        <v>883</v>
      </c>
      <c r="W29" s="945">
        <v>30000000</v>
      </c>
      <c r="X29" s="946">
        <v>0</v>
      </c>
      <c r="Y29" s="978"/>
      <c r="Z29" s="952">
        <v>20</v>
      </c>
      <c r="AA29" s="949" t="s">
        <v>884</v>
      </c>
      <c r="AB29" s="2888"/>
      <c r="AC29" s="2891"/>
      <c r="AD29" s="2882"/>
      <c r="AE29" s="2882"/>
      <c r="AF29" s="2882"/>
      <c r="AG29" s="2882"/>
      <c r="AH29" s="2882"/>
      <c r="AI29" s="2885"/>
      <c r="AJ29" s="2885"/>
      <c r="AK29" s="2885"/>
      <c r="AL29" s="2885"/>
      <c r="AM29" s="2885"/>
      <c r="AN29" s="2885"/>
      <c r="AO29" s="950"/>
      <c r="AP29" s="2879"/>
      <c r="AQ29" s="950"/>
      <c r="AR29" s="2879"/>
      <c r="AS29" s="950"/>
      <c r="AT29" s="2879"/>
      <c r="AU29" s="950"/>
      <c r="AV29" s="2879"/>
      <c r="AW29" s="950"/>
      <c r="AX29" s="2879"/>
      <c r="AY29" s="950"/>
      <c r="AZ29" s="2879"/>
      <c r="BA29" s="950"/>
      <c r="BB29" s="2912"/>
      <c r="BC29" s="2914"/>
      <c r="BD29" s="2912"/>
      <c r="BE29" s="2914"/>
      <c r="BF29" s="2916"/>
      <c r="BG29" s="2904"/>
      <c r="BH29" s="2905"/>
      <c r="BI29" s="2906"/>
      <c r="BJ29" s="2908"/>
      <c r="BK29" s="2910"/>
      <c r="BL29" s="2896"/>
      <c r="BM29" s="2896"/>
      <c r="BN29" s="2899"/>
      <c r="BO29" s="2899"/>
      <c r="BP29" s="2899"/>
      <c r="BQ29" s="2899"/>
      <c r="BR29" s="2902"/>
      <c r="BS29" s="846"/>
      <c r="BT29" s="908"/>
    </row>
    <row r="30" spans="1:72" s="458" customFormat="1" ht="48.75" customHeight="1" x14ac:dyDescent="0.25">
      <c r="A30" s="2799"/>
      <c r="B30" s="2802"/>
      <c r="C30" s="2803"/>
      <c r="D30" s="2805"/>
      <c r="E30" s="2805"/>
      <c r="F30" s="2805"/>
      <c r="G30" s="908"/>
      <c r="H30" s="928"/>
      <c r="I30" s="929"/>
      <c r="J30" s="2869"/>
      <c r="K30" s="2819"/>
      <c r="L30" s="2819"/>
      <c r="M30" s="2870"/>
      <c r="N30" s="2871"/>
      <c r="O30" s="2807"/>
      <c r="P30" s="2809"/>
      <c r="Q30" s="2811"/>
      <c r="R30" s="2937"/>
      <c r="S30" s="2818"/>
      <c r="T30" s="2819"/>
      <c r="U30" s="2819"/>
      <c r="V30" s="951" t="s">
        <v>885</v>
      </c>
      <c r="W30" s="945">
        <v>40000000</v>
      </c>
      <c r="X30" s="946">
        <v>0</v>
      </c>
      <c r="Y30" s="947"/>
      <c r="Z30" s="948">
        <v>20</v>
      </c>
      <c r="AA30" s="949" t="s">
        <v>884</v>
      </c>
      <c r="AB30" s="2888"/>
      <c r="AC30" s="2891"/>
      <c r="AD30" s="2882"/>
      <c r="AE30" s="2882"/>
      <c r="AF30" s="2882"/>
      <c r="AG30" s="2882"/>
      <c r="AH30" s="2882"/>
      <c r="AI30" s="2885"/>
      <c r="AJ30" s="2885"/>
      <c r="AK30" s="2885"/>
      <c r="AL30" s="2885"/>
      <c r="AM30" s="2885"/>
      <c r="AN30" s="2885"/>
      <c r="AO30" s="950"/>
      <c r="AP30" s="2879"/>
      <c r="AQ30" s="950"/>
      <c r="AR30" s="2879"/>
      <c r="AS30" s="950"/>
      <c r="AT30" s="2879"/>
      <c r="AU30" s="950"/>
      <c r="AV30" s="2879"/>
      <c r="AW30" s="950"/>
      <c r="AX30" s="2879"/>
      <c r="AY30" s="950"/>
      <c r="AZ30" s="2879"/>
      <c r="BA30" s="950"/>
      <c r="BB30" s="2912"/>
      <c r="BC30" s="2914"/>
      <c r="BD30" s="2912"/>
      <c r="BE30" s="2914"/>
      <c r="BF30" s="2916"/>
      <c r="BG30" s="2904"/>
      <c r="BH30" s="2905"/>
      <c r="BI30" s="2906"/>
      <c r="BJ30" s="2908"/>
      <c r="BK30" s="2910"/>
      <c r="BL30" s="2896"/>
      <c r="BM30" s="2896"/>
      <c r="BN30" s="2899"/>
      <c r="BO30" s="2899"/>
      <c r="BP30" s="2899"/>
      <c r="BQ30" s="2899"/>
      <c r="BR30" s="2902"/>
      <c r="BS30" s="908"/>
      <c r="BT30" s="908"/>
    </row>
    <row r="31" spans="1:72" s="458" customFormat="1" ht="48.75" customHeight="1" x14ac:dyDescent="0.25">
      <c r="A31" s="2799"/>
      <c r="B31" s="2802"/>
      <c r="C31" s="2803"/>
      <c r="D31" s="2805"/>
      <c r="E31" s="2805"/>
      <c r="F31" s="2805"/>
      <c r="G31" s="908"/>
      <c r="H31" s="928"/>
      <c r="I31" s="929"/>
      <c r="J31" s="2872">
        <v>222</v>
      </c>
      <c r="K31" s="2874" t="s">
        <v>886</v>
      </c>
      <c r="L31" s="2874" t="s">
        <v>887</v>
      </c>
      <c r="M31" s="2876">
        <v>1</v>
      </c>
      <c r="N31" s="2876" t="s">
        <v>888</v>
      </c>
      <c r="O31" s="2807"/>
      <c r="P31" s="2809"/>
      <c r="Q31" s="2811"/>
      <c r="R31" s="2918">
        <f>SUM(W31:W32)/S28</f>
        <v>9.5238095238095233E-2</v>
      </c>
      <c r="S31" s="2818"/>
      <c r="T31" s="2819"/>
      <c r="U31" s="2819"/>
      <c r="V31" s="163" t="s">
        <v>889</v>
      </c>
      <c r="W31" s="945">
        <v>5000000</v>
      </c>
      <c r="X31" s="953"/>
      <c r="Y31" s="947"/>
      <c r="Z31" s="948"/>
      <c r="AA31" s="949" t="s">
        <v>884</v>
      </c>
      <c r="AB31" s="2888"/>
      <c r="AC31" s="2891"/>
      <c r="AD31" s="2882"/>
      <c r="AE31" s="2882"/>
      <c r="AF31" s="2882"/>
      <c r="AG31" s="2882"/>
      <c r="AH31" s="2882"/>
      <c r="AI31" s="2885"/>
      <c r="AJ31" s="2885"/>
      <c r="AK31" s="2885"/>
      <c r="AL31" s="2885"/>
      <c r="AM31" s="2885"/>
      <c r="AN31" s="2885"/>
      <c r="AO31" s="950"/>
      <c r="AP31" s="2879"/>
      <c r="AQ31" s="950"/>
      <c r="AR31" s="2879"/>
      <c r="AS31" s="950"/>
      <c r="AT31" s="2879"/>
      <c r="AU31" s="950"/>
      <c r="AV31" s="2879"/>
      <c r="AW31" s="950"/>
      <c r="AX31" s="2879"/>
      <c r="AY31" s="950"/>
      <c r="AZ31" s="2879"/>
      <c r="BA31" s="950"/>
      <c r="BB31" s="2912"/>
      <c r="BC31" s="2914"/>
      <c r="BD31" s="2912"/>
      <c r="BE31" s="2914"/>
      <c r="BF31" s="2916"/>
      <c r="BG31" s="2904"/>
      <c r="BH31" s="2905"/>
      <c r="BI31" s="2906"/>
      <c r="BJ31" s="2908"/>
      <c r="BK31" s="2910"/>
      <c r="BL31" s="2896"/>
      <c r="BM31" s="2896"/>
      <c r="BN31" s="2899"/>
      <c r="BO31" s="2899"/>
      <c r="BP31" s="2899"/>
      <c r="BQ31" s="2899"/>
      <c r="BR31" s="2902"/>
      <c r="BS31" s="908"/>
      <c r="BT31" s="908"/>
    </row>
    <row r="32" spans="1:72" s="458" customFormat="1" ht="82.5" customHeight="1" x14ac:dyDescent="0.25">
      <c r="A32" s="2799"/>
      <c r="B32" s="2802"/>
      <c r="C32" s="2803"/>
      <c r="D32" s="2805"/>
      <c r="E32" s="2805"/>
      <c r="F32" s="2805"/>
      <c r="G32" s="908"/>
      <c r="H32" s="954"/>
      <c r="I32" s="955"/>
      <c r="J32" s="2873"/>
      <c r="K32" s="2875"/>
      <c r="L32" s="2875"/>
      <c r="M32" s="2877"/>
      <c r="N32" s="2877"/>
      <c r="O32" s="2844"/>
      <c r="P32" s="2935"/>
      <c r="Q32" s="2936"/>
      <c r="R32" s="2919"/>
      <c r="S32" s="2818"/>
      <c r="T32" s="2819"/>
      <c r="U32" s="2819"/>
      <c r="V32" s="163" t="s">
        <v>890</v>
      </c>
      <c r="W32" s="936">
        <v>15000000</v>
      </c>
      <c r="X32" s="956">
        <v>11200000</v>
      </c>
      <c r="Y32" s="925">
        <v>5600000</v>
      </c>
      <c r="Z32" s="948">
        <v>20</v>
      </c>
      <c r="AA32" s="949" t="s">
        <v>884</v>
      </c>
      <c r="AB32" s="2889"/>
      <c r="AC32" s="2892"/>
      <c r="AD32" s="2883"/>
      <c r="AE32" s="2883"/>
      <c r="AF32" s="2883"/>
      <c r="AG32" s="2883"/>
      <c r="AH32" s="2883"/>
      <c r="AI32" s="2886"/>
      <c r="AJ32" s="2886"/>
      <c r="AK32" s="2886"/>
      <c r="AL32" s="2886"/>
      <c r="AM32" s="2886"/>
      <c r="AN32" s="2886"/>
      <c r="AO32" s="957"/>
      <c r="AP32" s="2880"/>
      <c r="AQ32" s="957"/>
      <c r="AR32" s="2880"/>
      <c r="AS32" s="957"/>
      <c r="AT32" s="2880"/>
      <c r="AU32" s="957"/>
      <c r="AV32" s="2880"/>
      <c r="AW32" s="957"/>
      <c r="AX32" s="2880"/>
      <c r="AY32" s="957"/>
      <c r="AZ32" s="2880"/>
      <c r="BA32" s="957"/>
      <c r="BB32" s="2913"/>
      <c r="BC32" s="2915"/>
      <c r="BD32" s="2913"/>
      <c r="BE32" s="2915"/>
      <c r="BF32" s="2916"/>
      <c r="BG32" s="2904"/>
      <c r="BH32" s="2905"/>
      <c r="BI32" s="2907"/>
      <c r="BJ32" s="2909"/>
      <c r="BK32" s="2911"/>
      <c r="BL32" s="2897"/>
      <c r="BM32" s="2897"/>
      <c r="BN32" s="2900"/>
      <c r="BO32" s="2900"/>
      <c r="BP32" s="2900"/>
      <c r="BQ32" s="2900"/>
      <c r="BR32" s="2903"/>
      <c r="BS32" s="908"/>
      <c r="BT32" s="908"/>
    </row>
    <row r="33" spans="1:73" s="908" customFormat="1" ht="22.5" customHeight="1" x14ac:dyDescent="0.2">
      <c r="A33" s="2799"/>
      <c r="B33" s="2802"/>
      <c r="C33" s="2803"/>
      <c r="D33" s="958">
        <v>24</v>
      </c>
      <c r="E33" s="959" t="s">
        <v>891</v>
      </c>
      <c r="F33" s="959"/>
      <c r="G33" s="894"/>
      <c r="H33" s="894"/>
      <c r="I33" s="894"/>
      <c r="J33" s="960"/>
      <c r="K33" s="961"/>
      <c r="L33" s="962"/>
      <c r="M33" s="963"/>
      <c r="N33" s="963"/>
      <c r="O33" s="898"/>
      <c r="P33" s="895"/>
      <c r="Q33" s="897"/>
      <c r="R33" s="964"/>
      <c r="S33" s="965"/>
      <c r="T33" s="962"/>
      <c r="U33" s="961"/>
      <c r="V33" s="961"/>
      <c r="W33" s="966"/>
      <c r="X33" s="966"/>
      <c r="Y33" s="966"/>
      <c r="Z33" s="967"/>
      <c r="AA33" s="967"/>
      <c r="AB33" s="901"/>
      <c r="AC33" s="968"/>
      <c r="AD33" s="901"/>
      <c r="AE33" s="968"/>
      <c r="AF33" s="901"/>
      <c r="AG33" s="968"/>
      <c r="AH33" s="901"/>
      <c r="AI33" s="968"/>
      <c r="AJ33" s="901"/>
      <c r="AK33" s="968"/>
      <c r="AL33" s="901"/>
      <c r="AM33" s="968"/>
      <c r="AN33" s="901"/>
      <c r="AO33" s="968"/>
      <c r="AP33" s="901"/>
      <c r="AQ33" s="968"/>
      <c r="AR33" s="901"/>
      <c r="AS33" s="968"/>
      <c r="AT33" s="901"/>
      <c r="AU33" s="968"/>
      <c r="AV33" s="901"/>
      <c r="AW33" s="968"/>
      <c r="AX33" s="901"/>
      <c r="AY33" s="968"/>
      <c r="AZ33" s="901"/>
      <c r="BA33" s="968"/>
      <c r="BB33" s="904"/>
      <c r="BC33" s="905"/>
      <c r="BD33" s="897"/>
      <c r="BE33" s="906"/>
      <c r="BF33" s="897"/>
      <c r="BG33" s="906"/>
      <c r="BH33" s="897"/>
      <c r="BI33" s="969"/>
      <c r="BJ33" s="969"/>
      <c r="BK33" s="897"/>
      <c r="BL33" s="897"/>
      <c r="BM33" s="897"/>
      <c r="BN33" s="897"/>
      <c r="BO33" s="897"/>
      <c r="BP33" s="897"/>
      <c r="BQ33" s="897"/>
      <c r="BR33" s="907"/>
    </row>
    <row r="34" spans="1:73" s="908" customFormat="1" ht="22.5" customHeight="1" x14ac:dyDescent="0.2">
      <c r="A34" s="2799"/>
      <c r="B34" s="2802"/>
      <c r="C34" s="2803"/>
      <c r="D34" s="2920"/>
      <c r="E34" s="2920"/>
      <c r="F34" s="2920"/>
      <c r="G34" s="909">
        <v>78</v>
      </c>
      <c r="H34" s="913" t="s">
        <v>892</v>
      </c>
      <c r="I34" s="913"/>
      <c r="J34" s="910"/>
      <c r="K34" s="911"/>
      <c r="L34" s="912"/>
      <c r="M34" s="913"/>
      <c r="N34" s="913"/>
      <c r="O34" s="554"/>
      <c r="P34" s="295"/>
      <c r="Q34" s="287"/>
      <c r="R34" s="914"/>
      <c r="S34" s="970"/>
      <c r="T34" s="912"/>
      <c r="U34" s="911"/>
      <c r="V34" s="911"/>
      <c r="W34" s="971"/>
      <c r="X34" s="971"/>
      <c r="Y34" s="971"/>
      <c r="Z34" s="972"/>
      <c r="AA34" s="972"/>
      <c r="AB34" s="973"/>
      <c r="AC34" s="974"/>
      <c r="AD34" s="973"/>
      <c r="AE34" s="974"/>
      <c r="AF34" s="973"/>
      <c r="AG34" s="974"/>
      <c r="AH34" s="973"/>
      <c r="AI34" s="974"/>
      <c r="AJ34" s="973"/>
      <c r="AK34" s="974"/>
      <c r="AL34" s="973"/>
      <c r="AM34" s="974"/>
      <c r="AN34" s="973"/>
      <c r="AO34" s="974"/>
      <c r="AP34" s="973"/>
      <c r="AQ34" s="974"/>
      <c r="AR34" s="973"/>
      <c r="AS34" s="974"/>
      <c r="AT34" s="973"/>
      <c r="AU34" s="974"/>
      <c r="AV34" s="973"/>
      <c r="AW34" s="974"/>
      <c r="AX34" s="973"/>
      <c r="AY34" s="974"/>
      <c r="AZ34" s="973"/>
      <c r="BA34" s="974"/>
      <c r="BB34" s="973"/>
      <c r="BC34" s="974"/>
      <c r="BD34" s="973"/>
      <c r="BE34" s="974"/>
      <c r="BF34" s="973"/>
      <c r="BG34" s="974"/>
      <c r="BH34" s="973"/>
      <c r="BI34" s="975"/>
      <c r="BJ34" s="975"/>
      <c r="BK34" s="973"/>
      <c r="BL34" s="973"/>
      <c r="BM34" s="973"/>
      <c r="BN34" s="973"/>
      <c r="BO34" s="973"/>
      <c r="BP34" s="973"/>
      <c r="BQ34" s="973"/>
      <c r="BR34" s="976"/>
    </row>
    <row r="35" spans="1:73" s="458" customFormat="1" ht="42.75" customHeight="1" x14ac:dyDescent="0.2">
      <c r="A35" s="2799"/>
      <c r="B35" s="2802"/>
      <c r="C35" s="2803"/>
      <c r="D35" s="2920"/>
      <c r="E35" s="2920"/>
      <c r="F35" s="2920"/>
      <c r="G35" s="2922"/>
      <c r="H35" s="2925"/>
      <c r="I35" s="2928"/>
      <c r="J35" s="2931">
        <v>226</v>
      </c>
      <c r="K35" s="2874" t="s">
        <v>893</v>
      </c>
      <c r="L35" s="2874" t="s">
        <v>894</v>
      </c>
      <c r="M35" s="2933">
        <v>12</v>
      </c>
      <c r="N35" s="2876">
        <v>3</v>
      </c>
      <c r="O35" s="2806" t="s">
        <v>895</v>
      </c>
      <c r="P35" s="2808" t="s">
        <v>896</v>
      </c>
      <c r="Q35" s="2810" t="s">
        <v>897</v>
      </c>
      <c r="R35" s="2851">
        <f>SUM(W35:W43)/S35</f>
        <v>0.5</v>
      </c>
      <c r="S35" s="2818">
        <f>SUM(W35:W57)</f>
        <v>400000000</v>
      </c>
      <c r="T35" s="2819" t="s">
        <v>898</v>
      </c>
      <c r="U35" s="2963" t="s">
        <v>899</v>
      </c>
      <c r="V35" s="951" t="s">
        <v>900</v>
      </c>
      <c r="W35" s="936">
        <v>10000000</v>
      </c>
      <c r="X35" s="1184"/>
      <c r="Y35" s="977">
        <v>0</v>
      </c>
      <c r="Z35" s="1060">
        <v>20</v>
      </c>
      <c r="AA35" s="1185" t="s">
        <v>90</v>
      </c>
      <c r="AB35" s="2942">
        <v>1018</v>
      </c>
      <c r="AC35" s="2942">
        <v>40</v>
      </c>
      <c r="AD35" s="2942">
        <v>982</v>
      </c>
      <c r="AE35" s="2942">
        <v>20</v>
      </c>
      <c r="AF35" s="2942">
        <v>466</v>
      </c>
      <c r="AG35" s="2942"/>
      <c r="AH35" s="2942">
        <v>152</v>
      </c>
      <c r="AI35" s="2942"/>
      <c r="AJ35" s="2942">
        <v>1063</v>
      </c>
      <c r="AK35" s="2942"/>
      <c r="AL35" s="2942">
        <v>319</v>
      </c>
      <c r="AM35" s="2942"/>
      <c r="AN35" s="2942">
        <v>0</v>
      </c>
      <c r="AO35" s="2942"/>
      <c r="AP35" s="2942">
        <v>0</v>
      </c>
      <c r="AQ35" s="2945"/>
      <c r="AR35" s="2856">
        <v>0</v>
      </c>
      <c r="AS35" s="2949"/>
      <c r="AT35" s="2856">
        <v>0</v>
      </c>
      <c r="AU35" s="2949"/>
      <c r="AV35" s="2856">
        <v>0</v>
      </c>
      <c r="AW35" s="2949"/>
      <c r="AX35" s="2856">
        <v>0</v>
      </c>
      <c r="AY35" s="2949"/>
      <c r="AZ35" s="2856">
        <v>2000</v>
      </c>
      <c r="BA35" s="2946"/>
      <c r="BB35" s="2947">
        <v>0</v>
      </c>
      <c r="BC35" s="2948"/>
      <c r="BD35" s="2947">
        <v>2000</v>
      </c>
      <c r="BE35" s="2957"/>
      <c r="BF35" s="2916">
        <f>SUM(AB35:AD57)</f>
        <v>2040</v>
      </c>
      <c r="BG35" s="2949">
        <f>AC35+AE35+AG35+AI35+AK35+AM35</f>
        <v>60</v>
      </c>
      <c r="BH35" s="2856">
        <v>6</v>
      </c>
      <c r="BI35" s="2958">
        <f>SUM(X35:X57)</f>
        <v>35383390</v>
      </c>
      <c r="BJ35" s="2951">
        <f>SUM(Y35:Y57)</f>
        <v>16813390</v>
      </c>
      <c r="BK35" s="2952"/>
      <c r="BL35" s="2953">
        <v>20</v>
      </c>
      <c r="BM35" s="2954" t="s">
        <v>901</v>
      </c>
      <c r="BN35" s="2836">
        <v>43832</v>
      </c>
      <c r="BO35" s="2836">
        <v>43872</v>
      </c>
      <c r="BP35" s="2836">
        <v>44196</v>
      </c>
      <c r="BQ35" s="2836">
        <v>43993</v>
      </c>
      <c r="BR35" s="2950" t="s">
        <v>854</v>
      </c>
    </row>
    <row r="36" spans="1:73" s="458" customFormat="1" ht="28.5" x14ac:dyDescent="0.2">
      <c r="A36" s="2799"/>
      <c r="B36" s="2802"/>
      <c r="C36" s="2803"/>
      <c r="D36" s="2920"/>
      <c r="E36" s="2920"/>
      <c r="F36" s="2920"/>
      <c r="G36" s="2923"/>
      <c r="H36" s="2926"/>
      <c r="I36" s="2929"/>
      <c r="J36" s="2932"/>
      <c r="K36" s="2893"/>
      <c r="L36" s="2893"/>
      <c r="M36" s="2934"/>
      <c r="N36" s="2917"/>
      <c r="O36" s="2807"/>
      <c r="P36" s="2809"/>
      <c r="Q36" s="2811"/>
      <c r="R36" s="2852"/>
      <c r="S36" s="2818"/>
      <c r="T36" s="2819"/>
      <c r="U36" s="2963"/>
      <c r="V36" s="951" t="s">
        <v>902</v>
      </c>
      <c r="W36" s="979">
        <v>10000000</v>
      </c>
      <c r="X36" s="980">
        <v>3000000</v>
      </c>
      <c r="Y36" s="978">
        <v>2150000</v>
      </c>
      <c r="Z36" s="1186">
        <v>20</v>
      </c>
      <c r="AA36" s="981" t="s">
        <v>70</v>
      </c>
      <c r="AB36" s="2964"/>
      <c r="AC36" s="2943"/>
      <c r="AD36" s="2943"/>
      <c r="AE36" s="2943"/>
      <c r="AF36" s="2943"/>
      <c r="AG36" s="2943"/>
      <c r="AH36" s="2943"/>
      <c r="AI36" s="2943"/>
      <c r="AJ36" s="2943"/>
      <c r="AK36" s="2943"/>
      <c r="AL36" s="2943"/>
      <c r="AM36" s="2943"/>
      <c r="AN36" s="2943"/>
      <c r="AO36" s="2943"/>
      <c r="AP36" s="2943"/>
      <c r="AQ36" s="2945"/>
      <c r="AR36" s="2856"/>
      <c r="AS36" s="2949"/>
      <c r="AT36" s="2856"/>
      <c r="AU36" s="2949"/>
      <c r="AV36" s="2856"/>
      <c r="AW36" s="2949"/>
      <c r="AX36" s="2856"/>
      <c r="AY36" s="2949"/>
      <c r="AZ36" s="2856"/>
      <c r="BA36" s="2946"/>
      <c r="BB36" s="2947"/>
      <c r="BC36" s="2948"/>
      <c r="BD36" s="2947"/>
      <c r="BE36" s="2957"/>
      <c r="BF36" s="2916"/>
      <c r="BG36" s="2949"/>
      <c r="BH36" s="2856"/>
      <c r="BI36" s="2958"/>
      <c r="BJ36" s="2951"/>
      <c r="BK36" s="2952"/>
      <c r="BL36" s="2870"/>
      <c r="BM36" s="2955"/>
      <c r="BN36" s="2837"/>
      <c r="BO36" s="2837"/>
      <c r="BP36" s="2837"/>
      <c r="BQ36" s="2837"/>
      <c r="BR36" s="2950"/>
      <c r="BS36" s="908"/>
      <c r="BT36" s="908"/>
    </row>
    <row r="37" spans="1:73" s="458" customFormat="1" ht="28.5" x14ac:dyDescent="0.2">
      <c r="A37" s="2799"/>
      <c r="B37" s="2802"/>
      <c r="C37" s="2803"/>
      <c r="D37" s="2920"/>
      <c r="E37" s="2920"/>
      <c r="F37" s="2920"/>
      <c r="G37" s="2923"/>
      <c r="H37" s="2926"/>
      <c r="I37" s="2929"/>
      <c r="J37" s="2932"/>
      <c r="K37" s="2893"/>
      <c r="L37" s="2893"/>
      <c r="M37" s="2934"/>
      <c r="N37" s="2917"/>
      <c r="O37" s="2807"/>
      <c r="P37" s="2809"/>
      <c r="Q37" s="2811"/>
      <c r="R37" s="2852"/>
      <c r="S37" s="2818"/>
      <c r="T37" s="2819"/>
      <c r="U37" s="2963"/>
      <c r="V37" s="982" t="s">
        <v>903</v>
      </c>
      <c r="W37" s="979">
        <v>20000000</v>
      </c>
      <c r="X37" s="980">
        <v>1200000</v>
      </c>
      <c r="Y37" s="978">
        <v>0</v>
      </c>
      <c r="Z37" s="926">
        <v>20</v>
      </c>
      <c r="AA37" s="981" t="s">
        <v>70</v>
      </c>
      <c r="AB37" s="2964"/>
      <c r="AC37" s="2943"/>
      <c r="AD37" s="2943"/>
      <c r="AE37" s="2943"/>
      <c r="AF37" s="2943"/>
      <c r="AG37" s="2943"/>
      <c r="AH37" s="2943"/>
      <c r="AI37" s="2943"/>
      <c r="AJ37" s="2943"/>
      <c r="AK37" s="2943"/>
      <c r="AL37" s="2943"/>
      <c r="AM37" s="2943"/>
      <c r="AN37" s="2943"/>
      <c r="AO37" s="2943"/>
      <c r="AP37" s="2943"/>
      <c r="AQ37" s="2945"/>
      <c r="AR37" s="2856"/>
      <c r="AS37" s="2949"/>
      <c r="AT37" s="2856"/>
      <c r="AU37" s="2949"/>
      <c r="AV37" s="2856"/>
      <c r="AW37" s="2949"/>
      <c r="AX37" s="2856"/>
      <c r="AY37" s="2949"/>
      <c r="AZ37" s="2856"/>
      <c r="BA37" s="2946"/>
      <c r="BB37" s="2947"/>
      <c r="BC37" s="2948"/>
      <c r="BD37" s="2947"/>
      <c r="BE37" s="2957"/>
      <c r="BF37" s="2916"/>
      <c r="BG37" s="2949"/>
      <c r="BH37" s="2856"/>
      <c r="BI37" s="2958"/>
      <c r="BJ37" s="2951"/>
      <c r="BK37" s="2952"/>
      <c r="BL37" s="2870"/>
      <c r="BM37" s="2955"/>
      <c r="BN37" s="2837"/>
      <c r="BO37" s="2837"/>
      <c r="BP37" s="2837"/>
      <c r="BQ37" s="2837"/>
      <c r="BR37" s="2950"/>
      <c r="BS37" s="908"/>
      <c r="BT37" s="908"/>
    </row>
    <row r="38" spans="1:73" s="458" customFormat="1" ht="42.75" x14ac:dyDescent="0.2">
      <c r="A38" s="2799"/>
      <c r="B38" s="2802"/>
      <c r="C38" s="2803"/>
      <c r="D38" s="2920"/>
      <c r="E38" s="2920"/>
      <c r="F38" s="2920"/>
      <c r="G38" s="2923"/>
      <c r="H38" s="2926"/>
      <c r="I38" s="2929"/>
      <c r="J38" s="2932"/>
      <c r="K38" s="2893"/>
      <c r="L38" s="2893"/>
      <c r="M38" s="2934"/>
      <c r="N38" s="2917"/>
      <c r="O38" s="2807"/>
      <c r="P38" s="2809"/>
      <c r="Q38" s="2811"/>
      <c r="R38" s="2852"/>
      <c r="S38" s="2818"/>
      <c r="T38" s="2819"/>
      <c r="U38" s="2963"/>
      <c r="V38" s="951" t="s">
        <v>904</v>
      </c>
      <c r="W38" s="979">
        <v>30000000</v>
      </c>
      <c r="X38" s="980">
        <v>7000000</v>
      </c>
      <c r="Y38" s="925">
        <v>1600000</v>
      </c>
      <c r="Z38" s="926">
        <v>20</v>
      </c>
      <c r="AA38" s="981" t="s">
        <v>70</v>
      </c>
      <c r="AB38" s="2964"/>
      <c r="AC38" s="2943"/>
      <c r="AD38" s="2943"/>
      <c r="AE38" s="2943"/>
      <c r="AF38" s="2943"/>
      <c r="AG38" s="2943"/>
      <c r="AH38" s="2943"/>
      <c r="AI38" s="2943"/>
      <c r="AJ38" s="2943"/>
      <c r="AK38" s="2943"/>
      <c r="AL38" s="2943"/>
      <c r="AM38" s="2943"/>
      <c r="AN38" s="2943"/>
      <c r="AO38" s="2943"/>
      <c r="AP38" s="2943"/>
      <c r="AQ38" s="2945"/>
      <c r="AR38" s="2856"/>
      <c r="AS38" s="2949"/>
      <c r="AT38" s="2856"/>
      <c r="AU38" s="2949"/>
      <c r="AV38" s="2856"/>
      <c r="AW38" s="2949"/>
      <c r="AX38" s="2856"/>
      <c r="AY38" s="2949"/>
      <c r="AZ38" s="2856"/>
      <c r="BA38" s="2946"/>
      <c r="BB38" s="2947"/>
      <c r="BC38" s="2948"/>
      <c r="BD38" s="2947"/>
      <c r="BE38" s="2957"/>
      <c r="BF38" s="2916"/>
      <c r="BG38" s="2949"/>
      <c r="BH38" s="2856"/>
      <c r="BI38" s="2958"/>
      <c r="BJ38" s="2951"/>
      <c r="BK38" s="2952"/>
      <c r="BL38" s="2870"/>
      <c r="BM38" s="2955"/>
      <c r="BN38" s="2837"/>
      <c r="BO38" s="2837"/>
      <c r="BP38" s="2837"/>
      <c r="BQ38" s="2837"/>
      <c r="BR38" s="2950"/>
      <c r="BS38" s="908"/>
      <c r="BT38" s="908"/>
      <c r="BU38" s="983"/>
    </row>
    <row r="39" spans="1:73" s="458" customFormat="1" ht="71.25" x14ac:dyDescent="0.2">
      <c r="A39" s="2799"/>
      <c r="B39" s="2802"/>
      <c r="C39" s="2803"/>
      <c r="D39" s="2920"/>
      <c r="E39" s="2920"/>
      <c r="F39" s="2920"/>
      <c r="G39" s="2923"/>
      <c r="H39" s="2926"/>
      <c r="I39" s="2929"/>
      <c r="J39" s="2932"/>
      <c r="K39" s="2893"/>
      <c r="L39" s="2893"/>
      <c r="M39" s="2934"/>
      <c r="N39" s="2917"/>
      <c r="O39" s="2807"/>
      <c r="P39" s="2809"/>
      <c r="Q39" s="2811"/>
      <c r="R39" s="2852"/>
      <c r="S39" s="2818"/>
      <c r="T39" s="2819"/>
      <c r="U39" s="2963"/>
      <c r="V39" s="951" t="s">
        <v>905</v>
      </c>
      <c r="W39" s="979">
        <v>20000000</v>
      </c>
      <c r="X39" s="980">
        <v>2477840</v>
      </c>
      <c r="Y39" s="925"/>
      <c r="Z39" s="926">
        <v>20</v>
      </c>
      <c r="AA39" s="981" t="s">
        <v>70</v>
      </c>
      <c r="AB39" s="2964"/>
      <c r="AC39" s="2943"/>
      <c r="AD39" s="2943"/>
      <c r="AE39" s="2943"/>
      <c r="AF39" s="2943"/>
      <c r="AG39" s="2943"/>
      <c r="AH39" s="2943"/>
      <c r="AI39" s="2943"/>
      <c r="AJ39" s="2943"/>
      <c r="AK39" s="2943"/>
      <c r="AL39" s="2943"/>
      <c r="AM39" s="2943"/>
      <c r="AN39" s="2943"/>
      <c r="AO39" s="2943"/>
      <c r="AP39" s="2943"/>
      <c r="AQ39" s="2945"/>
      <c r="AR39" s="2856"/>
      <c r="AS39" s="2949"/>
      <c r="AT39" s="2856"/>
      <c r="AU39" s="2949"/>
      <c r="AV39" s="2856"/>
      <c r="AW39" s="2949"/>
      <c r="AX39" s="2856"/>
      <c r="AY39" s="2949"/>
      <c r="AZ39" s="2856"/>
      <c r="BA39" s="2946"/>
      <c r="BB39" s="2947"/>
      <c r="BC39" s="2948"/>
      <c r="BD39" s="2947"/>
      <c r="BE39" s="2957"/>
      <c r="BF39" s="2916"/>
      <c r="BG39" s="2949"/>
      <c r="BH39" s="2856"/>
      <c r="BI39" s="2958"/>
      <c r="BJ39" s="2951"/>
      <c r="BK39" s="2952"/>
      <c r="BL39" s="2870"/>
      <c r="BM39" s="2955"/>
      <c r="BN39" s="2837"/>
      <c r="BO39" s="2837"/>
      <c r="BP39" s="2837"/>
      <c r="BQ39" s="2837"/>
      <c r="BR39" s="2950"/>
      <c r="BS39" s="2686"/>
      <c r="BT39" s="908"/>
    </row>
    <row r="40" spans="1:73" s="458" customFormat="1" ht="42.75" x14ac:dyDescent="0.2">
      <c r="A40" s="2799"/>
      <c r="B40" s="2802"/>
      <c r="C40" s="2803"/>
      <c r="D40" s="2920"/>
      <c r="E40" s="2920"/>
      <c r="F40" s="2920"/>
      <c r="G40" s="2923"/>
      <c r="H40" s="2926"/>
      <c r="I40" s="2929"/>
      <c r="J40" s="2932"/>
      <c r="K40" s="2893"/>
      <c r="L40" s="2893"/>
      <c r="M40" s="2934"/>
      <c r="N40" s="2917"/>
      <c r="O40" s="2807"/>
      <c r="P40" s="2809"/>
      <c r="Q40" s="2811"/>
      <c r="R40" s="2852"/>
      <c r="S40" s="2818"/>
      <c r="T40" s="2819"/>
      <c r="U40" s="2963"/>
      <c r="V40" s="984" t="s">
        <v>906</v>
      </c>
      <c r="W40" s="979">
        <v>10000000</v>
      </c>
      <c r="X40" s="980"/>
      <c r="Y40" s="978">
        <v>0</v>
      </c>
      <c r="Z40" s="926">
        <v>20</v>
      </c>
      <c r="AA40" s="981" t="s">
        <v>70</v>
      </c>
      <c r="AB40" s="2964"/>
      <c r="AC40" s="2943"/>
      <c r="AD40" s="2943"/>
      <c r="AE40" s="2943"/>
      <c r="AF40" s="2943"/>
      <c r="AG40" s="2943"/>
      <c r="AH40" s="2943"/>
      <c r="AI40" s="2943"/>
      <c r="AJ40" s="2943"/>
      <c r="AK40" s="2943"/>
      <c r="AL40" s="2943"/>
      <c r="AM40" s="2943"/>
      <c r="AN40" s="2943"/>
      <c r="AO40" s="2943"/>
      <c r="AP40" s="2943"/>
      <c r="AQ40" s="2945"/>
      <c r="AR40" s="2856"/>
      <c r="AS40" s="2949"/>
      <c r="AT40" s="2856"/>
      <c r="AU40" s="2949"/>
      <c r="AV40" s="2856"/>
      <c r="AW40" s="2949"/>
      <c r="AX40" s="2856"/>
      <c r="AY40" s="2949"/>
      <c r="AZ40" s="2856"/>
      <c r="BA40" s="2946"/>
      <c r="BB40" s="2947"/>
      <c r="BC40" s="2948"/>
      <c r="BD40" s="2947"/>
      <c r="BE40" s="2957"/>
      <c r="BF40" s="2916"/>
      <c r="BG40" s="2949"/>
      <c r="BH40" s="2856"/>
      <c r="BI40" s="2958"/>
      <c r="BJ40" s="2951"/>
      <c r="BK40" s="2952"/>
      <c r="BL40" s="2870"/>
      <c r="BM40" s="2955"/>
      <c r="BN40" s="2837"/>
      <c r="BO40" s="2837"/>
      <c r="BP40" s="2837"/>
      <c r="BQ40" s="2837"/>
      <c r="BR40" s="2950"/>
      <c r="BS40" s="2686"/>
      <c r="BT40" s="908"/>
    </row>
    <row r="41" spans="1:73" s="458" customFormat="1" ht="59.25" customHeight="1" x14ac:dyDescent="0.2">
      <c r="A41" s="2799"/>
      <c r="B41" s="2802"/>
      <c r="C41" s="2803"/>
      <c r="D41" s="2920"/>
      <c r="E41" s="2920"/>
      <c r="F41" s="2920"/>
      <c r="G41" s="2923"/>
      <c r="H41" s="2926"/>
      <c r="I41" s="2929"/>
      <c r="J41" s="2932"/>
      <c r="K41" s="2893"/>
      <c r="L41" s="2893"/>
      <c r="M41" s="2934"/>
      <c r="N41" s="2917"/>
      <c r="O41" s="2807"/>
      <c r="P41" s="2809"/>
      <c r="Q41" s="2811"/>
      <c r="R41" s="2852"/>
      <c r="S41" s="2818"/>
      <c r="T41" s="2819"/>
      <c r="U41" s="2963"/>
      <c r="V41" s="951" t="s">
        <v>907</v>
      </c>
      <c r="W41" s="979">
        <v>10000000</v>
      </c>
      <c r="X41" s="980"/>
      <c r="Y41" s="925">
        <v>0</v>
      </c>
      <c r="Z41" s="926">
        <v>20</v>
      </c>
      <c r="AA41" s="981" t="s">
        <v>70</v>
      </c>
      <c r="AB41" s="2964"/>
      <c r="AC41" s="2943"/>
      <c r="AD41" s="2943"/>
      <c r="AE41" s="2943"/>
      <c r="AF41" s="2943"/>
      <c r="AG41" s="2943"/>
      <c r="AH41" s="2943"/>
      <c r="AI41" s="2943"/>
      <c r="AJ41" s="2943"/>
      <c r="AK41" s="2943"/>
      <c r="AL41" s="2943"/>
      <c r="AM41" s="2943"/>
      <c r="AN41" s="2943"/>
      <c r="AO41" s="2943"/>
      <c r="AP41" s="2943"/>
      <c r="AQ41" s="2945"/>
      <c r="AR41" s="2856"/>
      <c r="AS41" s="2949"/>
      <c r="AT41" s="2856"/>
      <c r="AU41" s="2949"/>
      <c r="AV41" s="2856"/>
      <c r="AW41" s="2949"/>
      <c r="AX41" s="2856"/>
      <c r="AY41" s="2949"/>
      <c r="AZ41" s="2856"/>
      <c r="BA41" s="2946"/>
      <c r="BB41" s="2947"/>
      <c r="BC41" s="2948"/>
      <c r="BD41" s="2947"/>
      <c r="BE41" s="2957"/>
      <c r="BF41" s="2916"/>
      <c r="BG41" s="2949"/>
      <c r="BH41" s="2856"/>
      <c r="BI41" s="2958"/>
      <c r="BJ41" s="2951"/>
      <c r="BK41" s="2952"/>
      <c r="BL41" s="2870"/>
      <c r="BM41" s="2955"/>
      <c r="BN41" s="2837"/>
      <c r="BO41" s="2837"/>
      <c r="BP41" s="2837"/>
      <c r="BQ41" s="2837"/>
      <c r="BR41" s="2950"/>
      <c r="BS41" s="908"/>
      <c r="BT41" s="908"/>
    </row>
    <row r="42" spans="1:73" s="458" customFormat="1" ht="28.5" x14ac:dyDescent="0.2">
      <c r="A42" s="2799"/>
      <c r="B42" s="2802"/>
      <c r="C42" s="2803"/>
      <c r="D42" s="2920"/>
      <c r="E42" s="2920"/>
      <c r="F42" s="2920"/>
      <c r="G42" s="2923"/>
      <c r="H42" s="2926"/>
      <c r="I42" s="2929"/>
      <c r="J42" s="2932"/>
      <c r="K42" s="2893"/>
      <c r="L42" s="2893"/>
      <c r="M42" s="2934"/>
      <c r="N42" s="2917"/>
      <c r="O42" s="2807"/>
      <c r="P42" s="2809"/>
      <c r="Q42" s="2811"/>
      <c r="R42" s="2852"/>
      <c r="S42" s="2818"/>
      <c r="T42" s="2819"/>
      <c r="U42" s="2963"/>
      <c r="V42" s="951" t="s">
        <v>908</v>
      </c>
      <c r="W42" s="979">
        <v>80000000</v>
      </c>
      <c r="X42" s="980">
        <f>1120000</f>
        <v>1120000</v>
      </c>
      <c r="Y42" s="978">
        <v>1120000</v>
      </c>
      <c r="Z42" s="926">
        <v>20</v>
      </c>
      <c r="AA42" s="981" t="s">
        <v>70</v>
      </c>
      <c r="AB42" s="2964"/>
      <c r="AC42" s="2943"/>
      <c r="AD42" s="2943"/>
      <c r="AE42" s="2943"/>
      <c r="AF42" s="2943"/>
      <c r="AG42" s="2943"/>
      <c r="AH42" s="2943"/>
      <c r="AI42" s="2943"/>
      <c r="AJ42" s="2943"/>
      <c r="AK42" s="2943"/>
      <c r="AL42" s="2943"/>
      <c r="AM42" s="2943"/>
      <c r="AN42" s="2943"/>
      <c r="AO42" s="2943"/>
      <c r="AP42" s="2943"/>
      <c r="AQ42" s="2945"/>
      <c r="AR42" s="2856"/>
      <c r="AS42" s="2949"/>
      <c r="AT42" s="2856"/>
      <c r="AU42" s="2949"/>
      <c r="AV42" s="2856"/>
      <c r="AW42" s="2949"/>
      <c r="AX42" s="2856"/>
      <c r="AY42" s="2949"/>
      <c r="AZ42" s="2856"/>
      <c r="BA42" s="2946"/>
      <c r="BB42" s="2947"/>
      <c r="BC42" s="2948"/>
      <c r="BD42" s="2947"/>
      <c r="BE42" s="2957"/>
      <c r="BF42" s="2916"/>
      <c r="BG42" s="2949"/>
      <c r="BH42" s="2856"/>
      <c r="BI42" s="2958"/>
      <c r="BJ42" s="2951"/>
      <c r="BK42" s="2952"/>
      <c r="BL42" s="2870"/>
      <c r="BM42" s="2955"/>
      <c r="BN42" s="2837"/>
      <c r="BO42" s="2837"/>
      <c r="BP42" s="2837"/>
      <c r="BQ42" s="2837"/>
      <c r="BR42" s="2950"/>
      <c r="BS42" s="908"/>
      <c r="BT42" s="908"/>
    </row>
    <row r="43" spans="1:73" s="458" customFormat="1" ht="22.5" customHeight="1" x14ac:dyDescent="0.2">
      <c r="A43" s="2799"/>
      <c r="B43" s="2802"/>
      <c r="C43" s="2803"/>
      <c r="D43" s="2920"/>
      <c r="E43" s="2920"/>
      <c r="F43" s="2920"/>
      <c r="G43" s="2923"/>
      <c r="H43" s="2926"/>
      <c r="I43" s="2929"/>
      <c r="J43" s="2932"/>
      <c r="K43" s="2893"/>
      <c r="L43" s="2893"/>
      <c r="M43" s="2934"/>
      <c r="N43" s="2917"/>
      <c r="O43" s="2807"/>
      <c r="P43" s="2809"/>
      <c r="Q43" s="2811"/>
      <c r="R43" s="2852"/>
      <c r="S43" s="2818"/>
      <c r="T43" s="2819"/>
      <c r="U43" s="2963"/>
      <c r="V43" s="951" t="s">
        <v>909</v>
      </c>
      <c r="W43" s="979">
        <v>10000000</v>
      </c>
      <c r="X43" s="980"/>
      <c r="Y43" s="925"/>
      <c r="Z43" s="926">
        <v>88</v>
      </c>
      <c r="AA43" s="981" t="s">
        <v>70</v>
      </c>
      <c r="AB43" s="2964"/>
      <c r="AC43" s="2943"/>
      <c r="AD43" s="2943"/>
      <c r="AE43" s="2943"/>
      <c r="AF43" s="2943"/>
      <c r="AG43" s="2943"/>
      <c r="AH43" s="2943"/>
      <c r="AI43" s="2943"/>
      <c r="AJ43" s="2943"/>
      <c r="AK43" s="2943"/>
      <c r="AL43" s="2943"/>
      <c r="AM43" s="2943"/>
      <c r="AN43" s="2943"/>
      <c r="AO43" s="2943"/>
      <c r="AP43" s="2943"/>
      <c r="AQ43" s="2945"/>
      <c r="AR43" s="2856"/>
      <c r="AS43" s="2949"/>
      <c r="AT43" s="2856"/>
      <c r="AU43" s="2949"/>
      <c r="AV43" s="2856"/>
      <c r="AW43" s="2949"/>
      <c r="AX43" s="2856"/>
      <c r="AY43" s="2949"/>
      <c r="AZ43" s="2856"/>
      <c r="BA43" s="2946"/>
      <c r="BB43" s="2947"/>
      <c r="BC43" s="2948"/>
      <c r="BD43" s="2947"/>
      <c r="BE43" s="2957"/>
      <c r="BF43" s="2916"/>
      <c r="BG43" s="2949"/>
      <c r="BH43" s="2856"/>
      <c r="BI43" s="2958"/>
      <c r="BJ43" s="2951"/>
      <c r="BK43" s="2952"/>
      <c r="BL43" s="2870"/>
      <c r="BM43" s="2955"/>
      <c r="BN43" s="2837"/>
      <c r="BO43" s="2837"/>
      <c r="BP43" s="2837"/>
      <c r="BQ43" s="2837"/>
      <c r="BR43" s="2950"/>
      <c r="BS43" s="908"/>
      <c r="BT43" s="908"/>
    </row>
    <row r="44" spans="1:73" s="458" customFormat="1" ht="42.75" x14ac:dyDescent="0.2">
      <c r="A44" s="2799"/>
      <c r="B44" s="2802"/>
      <c r="C44" s="2803"/>
      <c r="D44" s="2920"/>
      <c r="E44" s="2920"/>
      <c r="F44" s="2920"/>
      <c r="G44" s="2923"/>
      <c r="H44" s="2926"/>
      <c r="I44" s="2929"/>
      <c r="J44" s="2938">
        <v>227</v>
      </c>
      <c r="K44" s="2810" t="s">
        <v>910</v>
      </c>
      <c r="L44" s="2874" t="s">
        <v>911</v>
      </c>
      <c r="M44" s="2933">
        <v>12</v>
      </c>
      <c r="N44" s="2876">
        <v>12</v>
      </c>
      <c r="O44" s="2807"/>
      <c r="P44" s="2809"/>
      <c r="Q44" s="2811"/>
      <c r="R44" s="2851">
        <f>SUM(W44:W45)/S35</f>
        <v>0.1</v>
      </c>
      <c r="S44" s="2818"/>
      <c r="T44" s="2819"/>
      <c r="U44" s="2963"/>
      <c r="V44" s="951" t="s">
        <v>912</v>
      </c>
      <c r="W44" s="979">
        <v>10000000</v>
      </c>
      <c r="X44" s="980"/>
      <c r="Y44" s="978"/>
      <c r="Z44" s="926">
        <v>20</v>
      </c>
      <c r="AA44" s="981" t="s">
        <v>70</v>
      </c>
      <c r="AB44" s="2964"/>
      <c r="AC44" s="2943"/>
      <c r="AD44" s="2943"/>
      <c r="AE44" s="2943"/>
      <c r="AF44" s="2943"/>
      <c r="AG44" s="2943"/>
      <c r="AH44" s="2943"/>
      <c r="AI44" s="2943"/>
      <c r="AJ44" s="2943"/>
      <c r="AK44" s="2943"/>
      <c r="AL44" s="2943"/>
      <c r="AM44" s="2943"/>
      <c r="AN44" s="2943"/>
      <c r="AO44" s="2943"/>
      <c r="AP44" s="2943"/>
      <c r="AQ44" s="2945"/>
      <c r="AR44" s="2856"/>
      <c r="AS44" s="2949"/>
      <c r="AT44" s="2856"/>
      <c r="AU44" s="2949"/>
      <c r="AV44" s="2856"/>
      <c r="AW44" s="2949"/>
      <c r="AX44" s="2856"/>
      <c r="AY44" s="2949"/>
      <c r="AZ44" s="2856"/>
      <c r="BA44" s="2946"/>
      <c r="BB44" s="2947"/>
      <c r="BC44" s="2948"/>
      <c r="BD44" s="2947"/>
      <c r="BE44" s="2957"/>
      <c r="BF44" s="2916"/>
      <c r="BG44" s="2949"/>
      <c r="BH44" s="2856"/>
      <c r="BI44" s="2958"/>
      <c r="BJ44" s="2951"/>
      <c r="BK44" s="2952"/>
      <c r="BL44" s="2870"/>
      <c r="BM44" s="2955"/>
      <c r="BN44" s="2837"/>
      <c r="BO44" s="2837"/>
      <c r="BP44" s="2837"/>
      <c r="BQ44" s="2837"/>
      <c r="BR44" s="2950"/>
      <c r="BS44" s="908"/>
      <c r="BT44" s="908"/>
    </row>
    <row r="45" spans="1:73" s="458" customFormat="1" ht="42.75" x14ac:dyDescent="0.2">
      <c r="A45" s="2799"/>
      <c r="B45" s="2802"/>
      <c r="C45" s="2803"/>
      <c r="D45" s="2920"/>
      <c r="E45" s="2920"/>
      <c r="F45" s="2920"/>
      <c r="G45" s="2923"/>
      <c r="H45" s="2926"/>
      <c r="I45" s="2929"/>
      <c r="J45" s="2940"/>
      <c r="K45" s="2936"/>
      <c r="L45" s="2875"/>
      <c r="M45" s="2941"/>
      <c r="N45" s="2877"/>
      <c r="O45" s="2807"/>
      <c r="P45" s="2809"/>
      <c r="Q45" s="2811"/>
      <c r="R45" s="2853"/>
      <c r="S45" s="2818"/>
      <c r="T45" s="2819"/>
      <c r="U45" s="2963"/>
      <c r="V45" s="951" t="s">
        <v>913</v>
      </c>
      <c r="W45" s="979">
        <v>30000000</v>
      </c>
      <c r="X45" s="980">
        <f>4000000</f>
        <v>4000000</v>
      </c>
      <c r="Y45" s="925">
        <v>2800000</v>
      </c>
      <c r="Z45" s="926">
        <v>20</v>
      </c>
      <c r="AA45" s="981" t="s">
        <v>70</v>
      </c>
      <c r="AB45" s="2964"/>
      <c r="AC45" s="2943"/>
      <c r="AD45" s="2943"/>
      <c r="AE45" s="2943"/>
      <c r="AF45" s="2943"/>
      <c r="AG45" s="2943"/>
      <c r="AH45" s="2943"/>
      <c r="AI45" s="2943"/>
      <c r="AJ45" s="2943"/>
      <c r="AK45" s="2943"/>
      <c r="AL45" s="2943"/>
      <c r="AM45" s="2943"/>
      <c r="AN45" s="2943"/>
      <c r="AO45" s="2943"/>
      <c r="AP45" s="2943"/>
      <c r="AQ45" s="2945"/>
      <c r="AR45" s="2856"/>
      <c r="AS45" s="2949"/>
      <c r="AT45" s="2856"/>
      <c r="AU45" s="2949"/>
      <c r="AV45" s="2856"/>
      <c r="AW45" s="2949"/>
      <c r="AX45" s="2856"/>
      <c r="AY45" s="2949"/>
      <c r="AZ45" s="2856"/>
      <c r="BA45" s="2946"/>
      <c r="BB45" s="2947"/>
      <c r="BC45" s="2948"/>
      <c r="BD45" s="2947"/>
      <c r="BE45" s="2957"/>
      <c r="BF45" s="2916"/>
      <c r="BG45" s="2949"/>
      <c r="BH45" s="2856"/>
      <c r="BI45" s="2958"/>
      <c r="BJ45" s="2951"/>
      <c r="BK45" s="2952"/>
      <c r="BL45" s="2870"/>
      <c r="BM45" s="2955"/>
      <c r="BN45" s="2837"/>
      <c r="BO45" s="2837"/>
      <c r="BP45" s="2837"/>
      <c r="BQ45" s="2837"/>
      <c r="BR45" s="2950"/>
      <c r="BS45" s="908"/>
      <c r="BT45" s="908"/>
    </row>
    <row r="46" spans="1:73" s="458" customFormat="1" ht="28.5" x14ac:dyDescent="0.2">
      <c r="A46" s="2799"/>
      <c r="B46" s="2802"/>
      <c r="C46" s="2803"/>
      <c r="D46" s="2920"/>
      <c r="E46" s="2920"/>
      <c r="F46" s="2920"/>
      <c r="G46" s="2923"/>
      <c r="H46" s="2926"/>
      <c r="I46" s="2929"/>
      <c r="J46" s="2938">
        <v>228</v>
      </c>
      <c r="K46" s="2874" t="s">
        <v>914</v>
      </c>
      <c r="L46" s="2874" t="s">
        <v>915</v>
      </c>
      <c r="M46" s="2933">
        <v>2</v>
      </c>
      <c r="N46" s="2876">
        <v>1</v>
      </c>
      <c r="O46" s="2807"/>
      <c r="P46" s="2809"/>
      <c r="Q46" s="2811"/>
      <c r="R46" s="2851">
        <f>SUM(W46:W50)/S35</f>
        <v>0.1</v>
      </c>
      <c r="S46" s="2818"/>
      <c r="T46" s="2819"/>
      <c r="U46" s="2963"/>
      <c r="V46" s="951" t="s">
        <v>916</v>
      </c>
      <c r="W46" s="979">
        <v>3000000</v>
      </c>
      <c r="X46" s="980"/>
      <c r="Y46" s="925"/>
      <c r="Z46" s="926">
        <v>20</v>
      </c>
      <c r="AA46" s="981" t="s">
        <v>70</v>
      </c>
      <c r="AB46" s="2964"/>
      <c r="AC46" s="2943"/>
      <c r="AD46" s="2943"/>
      <c r="AE46" s="2943"/>
      <c r="AF46" s="2943"/>
      <c r="AG46" s="2943"/>
      <c r="AH46" s="2943"/>
      <c r="AI46" s="2943"/>
      <c r="AJ46" s="2943"/>
      <c r="AK46" s="2943"/>
      <c r="AL46" s="2943"/>
      <c r="AM46" s="2943"/>
      <c r="AN46" s="2943"/>
      <c r="AO46" s="2943"/>
      <c r="AP46" s="2943"/>
      <c r="AQ46" s="2945"/>
      <c r="AR46" s="2856"/>
      <c r="AS46" s="2949"/>
      <c r="AT46" s="2856"/>
      <c r="AU46" s="2949"/>
      <c r="AV46" s="2856"/>
      <c r="AW46" s="2949"/>
      <c r="AX46" s="2856"/>
      <c r="AY46" s="2949"/>
      <c r="AZ46" s="2856"/>
      <c r="BA46" s="2946"/>
      <c r="BB46" s="2947"/>
      <c r="BC46" s="2948"/>
      <c r="BD46" s="2947"/>
      <c r="BE46" s="2957"/>
      <c r="BF46" s="2916"/>
      <c r="BG46" s="2949"/>
      <c r="BH46" s="2856"/>
      <c r="BI46" s="2958"/>
      <c r="BJ46" s="2951"/>
      <c r="BK46" s="2952"/>
      <c r="BL46" s="2870"/>
      <c r="BM46" s="2955"/>
      <c r="BN46" s="2837"/>
      <c r="BO46" s="2837"/>
      <c r="BP46" s="2837"/>
      <c r="BQ46" s="2837"/>
      <c r="BR46" s="2950"/>
      <c r="BS46" s="908"/>
      <c r="BT46" s="908"/>
    </row>
    <row r="47" spans="1:73" s="458" customFormat="1" ht="28.5" x14ac:dyDescent="0.2">
      <c r="A47" s="2799"/>
      <c r="B47" s="2802"/>
      <c r="C47" s="2803"/>
      <c r="D47" s="2920"/>
      <c r="E47" s="2920"/>
      <c r="F47" s="2920"/>
      <c r="G47" s="2923"/>
      <c r="H47" s="2926"/>
      <c r="I47" s="2929"/>
      <c r="J47" s="2939"/>
      <c r="K47" s="2893"/>
      <c r="L47" s="2893"/>
      <c r="M47" s="2934"/>
      <c r="N47" s="2917"/>
      <c r="O47" s="2807"/>
      <c r="P47" s="2809"/>
      <c r="Q47" s="2811"/>
      <c r="R47" s="2852"/>
      <c r="S47" s="2818"/>
      <c r="T47" s="2819"/>
      <c r="U47" s="2963"/>
      <c r="V47" s="951" t="s">
        <v>917</v>
      </c>
      <c r="W47" s="979">
        <v>25000000</v>
      </c>
      <c r="X47" s="980">
        <v>2185550</v>
      </c>
      <c r="Y47" s="925">
        <v>2185550</v>
      </c>
      <c r="Z47" s="926">
        <v>20</v>
      </c>
      <c r="AA47" s="981" t="s">
        <v>70</v>
      </c>
      <c r="AB47" s="2964"/>
      <c r="AC47" s="2943"/>
      <c r="AD47" s="2943"/>
      <c r="AE47" s="2943"/>
      <c r="AF47" s="2943"/>
      <c r="AG47" s="2943"/>
      <c r="AH47" s="2943"/>
      <c r="AI47" s="2943"/>
      <c r="AJ47" s="2943"/>
      <c r="AK47" s="2943"/>
      <c r="AL47" s="2943"/>
      <c r="AM47" s="2943"/>
      <c r="AN47" s="2943"/>
      <c r="AO47" s="2943"/>
      <c r="AP47" s="2943"/>
      <c r="AQ47" s="2945"/>
      <c r="AR47" s="2856"/>
      <c r="AS47" s="2949"/>
      <c r="AT47" s="2856"/>
      <c r="AU47" s="2949"/>
      <c r="AV47" s="2856"/>
      <c r="AW47" s="2949"/>
      <c r="AX47" s="2856"/>
      <c r="AY47" s="2949"/>
      <c r="AZ47" s="2856"/>
      <c r="BA47" s="2946"/>
      <c r="BB47" s="2947"/>
      <c r="BC47" s="2948"/>
      <c r="BD47" s="2947"/>
      <c r="BE47" s="2957"/>
      <c r="BF47" s="2916"/>
      <c r="BG47" s="2949"/>
      <c r="BH47" s="2856"/>
      <c r="BI47" s="2958"/>
      <c r="BJ47" s="2951"/>
      <c r="BK47" s="2952"/>
      <c r="BL47" s="2870"/>
      <c r="BM47" s="2955"/>
      <c r="BN47" s="2837"/>
      <c r="BO47" s="2837"/>
      <c r="BP47" s="2837"/>
      <c r="BQ47" s="2837"/>
      <c r="BR47" s="2950"/>
      <c r="BS47" s="908"/>
      <c r="BT47" s="908"/>
    </row>
    <row r="48" spans="1:73" s="458" customFormat="1" ht="28.5" x14ac:dyDescent="0.2">
      <c r="A48" s="2799"/>
      <c r="B48" s="2802"/>
      <c r="C48" s="2803"/>
      <c r="D48" s="2920"/>
      <c r="E48" s="2920"/>
      <c r="F48" s="2920"/>
      <c r="G48" s="2923"/>
      <c r="H48" s="2926"/>
      <c r="I48" s="2929"/>
      <c r="J48" s="2939"/>
      <c r="K48" s="2893"/>
      <c r="L48" s="2893"/>
      <c r="M48" s="2934"/>
      <c r="N48" s="2917"/>
      <c r="O48" s="2807"/>
      <c r="P48" s="2809"/>
      <c r="Q48" s="2811"/>
      <c r="R48" s="2852"/>
      <c r="S48" s="2818"/>
      <c r="T48" s="2819"/>
      <c r="U48" s="2963"/>
      <c r="V48" s="951" t="s">
        <v>918</v>
      </c>
      <c r="W48" s="979">
        <v>4000000</v>
      </c>
      <c r="X48" s="980"/>
      <c r="Y48" s="933"/>
      <c r="Z48" s="926">
        <v>20</v>
      </c>
      <c r="AA48" s="981" t="s">
        <v>70</v>
      </c>
      <c r="AB48" s="2964"/>
      <c r="AC48" s="2943"/>
      <c r="AD48" s="2943"/>
      <c r="AE48" s="2943"/>
      <c r="AF48" s="2943"/>
      <c r="AG48" s="2943"/>
      <c r="AH48" s="2943"/>
      <c r="AI48" s="2943"/>
      <c r="AJ48" s="2943"/>
      <c r="AK48" s="2943"/>
      <c r="AL48" s="2943"/>
      <c r="AM48" s="2943"/>
      <c r="AN48" s="2943"/>
      <c r="AO48" s="2943"/>
      <c r="AP48" s="2943"/>
      <c r="AQ48" s="2945"/>
      <c r="AR48" s="2856"/>
      <c r="AS48" s="2949"/>
      <c r="AT48" s="2856"/>
      <c r="AU48" s="2949"/>
      <c r="AV48" s="2856"/>
      <c r="AW48" s="2949"/>
      <c r="AX48" s="2856"/>
      <c r="AY48" s="2949"/>
      <c r="AZ48" s="2856"/>
      <c r="BA48" s="2946"/>
      <c r="BB48" s="2947"/>
      <c r="BC48" s="2948"/>
      <c r="BD48" s="2947"/>
      <c r="BE48" s="2957"/>
      <c r="BF48" s="2916"/>
      <c r="BG48" s="2949"/>
      <c r="BH48" s="2856"/>
      <c r="BI48" s="2958"/>
      <c r="BJ48" s="2951"/>
      <c r="BK48" s="2952"/>
      <c r="BL48" s="2870"/>
      <c r="BM48" s="2955"/>
      <c r="BN48" s="2837"/>
      <c r="BO48" s="2837"/>
      <c r="BP48" s="2837"/>
      <c r="BQ48" s="2837"/>
      <c r="BR48" s="2950"/>
      <c r="BS48" s="908"/>
      <c r="BT48" s="908"/>
    </row>
    <row r="49" spans="1:72" s="458" customFormat="1" ht="71.25" x14ac:dyDescent="0.2">
      <c r="A49" s="2799"/>
      <c r="B49" s="2802"/>
      <c r="C49" s="2803"/>
      <c r="D49" s="2920"/>
      <c r="E49" s="2920"/>
      <c r="F49" s="2920"/>
      <c r="G49" s="2923"/>
      <c r="H49" s="2926"/>
      <c r="I49" s="2929"/>
      <c r="J49" s="2939"/>
      <c r="K49" s="2893"/>
      <c r="L49" s="2893"/>
      <c r="M49" s="2934"/>
      <c r="N49" s="2917"/>
      <c r="O49" s="2807"/>
      <c r="P49" s="2809"/>
      <c r="Q49" s="2811"/>
      <c r="R49" s="2852"/>
      <c r="S49" s="2818"/>
      <c r="T49" s="2819"/>
      <c r="U49" s="2963"/>
      <c r="V49" s="951" t="s">
        <v>919</v>
      </c>
      <c r="W49" s="979">
        <v>3000000</v>
      </c>
      <c r="X49" s="980"/>
      <c r="Y49" s="925"/>
      <c r="Z49" s="926">
        <v>20</v>
      </c>
      <c r="AA49" s="981" t="s">
        <v>70</v>
      </c>
      <c r="AB49" s="2964"/>
      <c r="AC49" s="2943"/>
      <c r="AD49" s="2943"/>
      <c r="AE49" s="2943"/>
      <c r="AF49" s="2943"/>
      <c r="AG49" s="2943"/>
      <c r="AH49" s="2943"/>
      <c r="AI49" s="2943"/>
      <c r="AJ49" s="2943"/>
      <c r="AK49" s="2943"/>
      <c r="AL49" s="2943"/>
      <c r="AM49" s="2943"/>
      <c r="AN49" s="2943"/>
      <c r="AO49" s="2943"/>
      <c r="AP49" s="2943"/>
      <c r="AQ49" s="2945"/>
      <c r="AR49" s="2856"/>
      <c r="AS49" s="2949"/>
      <c r="AT49" s="2856"/>
      <c r="AU49" s="2949"/>
      <c r="AV49" s="2856"/>
      <c r="AW49" s="2949"/>
      <c r="AX49" s="2856"/>
      <c r="AY49" s="2949"/>
      <c r="AZ49" s="2856"/>
      <c r="BA49" s="2946"/>
      <c r="BB49" s="2947"/>
      <c r="BC49" s="2948"/>
      <c r="BD49" s="2947"/>
      <c r="BE49" s="2957"/>
      <c r="BF49" s="2916"/>
      <c r="BG49" s="2949"/>
      <c r="BH49" s="2856"/>
      <c r="BI49" s="2958"/>
      <c r="BJ49" s="2951"/>
      <c r="BK49" s="2952"/>
      <c r="BL49" s="2870"/>
      <c r="BM49" s="2955"/>
      <c r="BN49" s="2837"/>
      <c r="BO49" s="2837"/>
      <c r="BP49" s="2837"/>
      <c r="BQ49" s="2837"/>
      <c r="BR49" s="2950"/>
      <c r="BS49" s="908"/>
      <c r="BT49" s="908"/>
    </row>
    <row r="50" spans="1:72" s="458" customFormat="1" ht="27" customHeight="1" x14ac:dyDescent="0.2">
      <c r="A50" s="2799"/>
      <c r="B50" s="2802"/>
      <c r="C50" s="2803"/>
      <c r="D50" s="2920"/>
      <c r="E50" s="2920"/>
      <c r="F50" s="2920"/>
      <c r="G50" s="2923"/>
      <c r="H50" s="2926"/>
      <c r="I50" s="2929"/>
      <c r="J50" s="2939"/>
      <c r="K50" s="2893"/>
      <c r="L50" s="2893"/>
      <c r="M50" s="2934"/>
      <c r="N50" s="2917"/>
      <c r="O50" s="2807"/>
      <c r="P50" s="2809"/>
      <c r="Q50" s="2811"/>
      <c r="R50" s="2852"/>
      <c r="S50" s="2818"/>
      <c r="T50" s="2819"/>
      <c r="U50" s="2963"/>
      <c r="V50" s="840" t="s">
        <v>909</v>
      </c>
      <c r="W50" s="979">
        <v>5000000</v>
      </c>
      <c r="X50" s="980"/>
      <c r="Y50" s="978"/>
      <c r="Z50" s="926">
        <v>20</v>
      </c>
      <c r="AA50" s="981" t="s">
        <v>70</v>
      </c>
      <c r="AB50" s="2964"/>
      <c r="AC50" s="2943"/>
      <c r="AD50" s="2943"/>
      <c r="AE50" s="2943"/>
      <c r="AF50" s="2943"/>
      <c r="AG50" s="2943"/>
      <c r="AH50" s="2943"/>
      <c r="AI50" s="2943"/>
      <c r="AJ50" s="2943"/>
      <c r="AK50" s="2943"/>
      <c r="AL50" s="2943"/>
      <c r="AM50" s="2943"/>
      <c r="AN50" s="2943"/>
      <c r="AO50" s="2943"/>
      <c r="AP50" s="2943"/>
      <c r="AQ50" s="2945"/>
      <c r="AR50" s="2856"/>
      <c r="AS50" s="2949"/>
      <c r="AT50" s="2856"/>
      <c r="AU50" s="2949"/>
      <c r="AV50" s="2856"/>
      <c r="AW50" s="2949"/>
      <c r="AX50" s="2856"/>
      <c r="AY50" s="2949"/>
      <c r="AZ50" s="2856"/>
      <c r="BA50" s="2946"/>
      <c r="BB50" s="2947"/>
      <c r="BC50" s="2948"/>
      <c r="BD50" s="2947"/>
      <c r="BE50" s="2957"/>
      <c r="BF50" s="2916"/>
      <c r="BG50" s="2949"/>
      <c r="BH50" s="2856"/>
      <c r="BI50" s="2958"/>
      <c r="BJ50" s="2951"/>
      <c r="BK50" s="2952"/>
      <c r="BL50" s="2870"/>
      <c r="BM50" s="2955"/>
      <c r="BN50" s="2837"/>
      <c r="BO50" s="2837"/>
      <c r="BP50" s="2837"/>
      <c r="BQ50" s="2837"/>
      <c r="BR50" s="2950"/>
      <c r="BS50" s="908"/>
      <c r="BT50" s="908"/>
    </row>
    <row r="51" spans="1:72" s="458" customFormat="1" ht="57" customHeight="1" x14ac:dyDescent="0.2">
      <c r="A51" s="2799"/>
      <c r="B51" s="2802"/>
      <c r="C51" s="2803"/>
      <c r="D51" s="2920"/>
      <c r="E51" s="2920"/>
      <c r="F51" s="2920"/>
      <c r="G51" s="2923"/>
      <c r="H51" s="2926"/>
      <c r="I51" s="2929"/>
      <c r="J51" s="2938">
        <v>229</v>
      </c>
      <c r="K51" s="2810" t="s">
        <v>920</v>
      </c>
      <c r="L51" s="2874" t="s">
        <v>921</v>
      </c>
      <c r="M51" s="2933">
        <v>13</v>
      </c>
      <c r="N51" s="2876"/>
      <c r="O51" s="2807"/>
      <c r="P51" s="2809"/>
      <c r="Q51" s="2811"/>
      <c r="R51" s="2851">
        <f>SUM(W51:W53)/S35</f>
        <v>0.16250000000000001</v>
      </c>
      <c r="S51" s="2818"/>
      <c r="T51" s="2819"/>
      <c r="U51" s="2963"/>
      <c r="V51" s="951" t="s">
        <v>922</v>
      </c>
      <c r="W51" s="979">
        <v>40000000</v>
      </c>
      <c r="X51" s="980">
        <f>6000000+3400000</f>
        <v>9400000</v>
      </c>
      <c r="Y51" s="925">
        <v>5757840</v>
      </c>
      <c r="Z51" s="926">
        <v>20</v>
      </c>
      <c r="AA51" s="981" t="s">
        <v>70</v>
      </c>
      <c r="AB51" s="2964"/>
      <c r="AC51" s="2943"/>
      <c r="AD51" s="2943"/>
      <c r="AE51" s="2943"/>
      <c r="AF51" s="2943"/>
      <c r="AG51" s="2943"/>
      <c r="AH51" s="2943"/>
      <c r="AI51" s="2943"/>
      <c r="AJ51" s="2943"/>
      <c r="AK51" s="2943"/>
      <c r="AL51" s="2943"/>
      <c r="AM51" s="2943"/>
      <c r="AN51" s="2943"/>
      <c r="AO51" s="2943"/>
      <c r="AP51" s="2943"/>
      <c r="AQ51" s="2945"/>
      <c r="AR51" s="2856"/>
      <c r="AS51" s="2949"/>
      <c r="AT51" s="2856"/>
      <c r="AU51" s="2949"/>
      <c r="AV51" s="2856"/>
      <c r="AW51" s="2949"/>
      <c r="AX51" s="2856"/>
      <c r="AY51" s="2949"/>
      <c r="AZ51" s="2856"/>
      <c r="BA51" s="2946"/>
      <c r="BB51" s="2947"/>
      <c r="BC51" s="2948"/>
      <c r="BD51" s="2947"/>
      <c r="BE51" s="2957"/>
      <c r="BF51" s="2916"/>
      <c r="BG51" s="2949"/>
      <c r="BH51" s="2856"/>
      <c r="BI51" s="2958"/>
      <c r="BJ51" s="2951"/>
      <c r="BK51" s="2952"/>
      <c r="BL51" s="2870"/>
      <c r="BM51" s="2955"/>
      <c r="BN51" s="2837"/>
      <c r="BO51" s="2837"/>
      <c r="BP51" s="2837"/>
      <c r="BQ51" s="2837"/>
      <c r="BR51" s="2950"/>
      <c r="BS51" s="908"/>
      <c r="BT51" s="908"/>
    </row>
    <row r="52" spans="1:72" s="458" customFormat="1" ht="34.5" customHeight="1" x14ac:dyDescent="0.2">
      <c r="A52" s="2799"/>
      <c r="B52" s="2802"/>
      <c r="C52" s="2803"/>
      <c r="D52" s="2920"/>
      <c r="E52" s="2920"/>
      <c r="F52" s="2920"/>
      <c r="G52" s="2923"/>
      <c r="H52" s="2926"/>
      <c r="I52" s="2929"/>
      <c r="J52" s="2939"/>
      <c r="K52" s="2811"/>
      <c r="L52" s="2893"/>
      <c r="M52" s="2934"/>
      <c r="N52" s="2917"/>
      <c r="O52" s="2807"/>
      <c r="P52" s="2809"/>
      <c r="Q52" s="2811"/>
      <c r="R52" s="2852"/>
      <c r="S52" s="2818"/>
      <c r="T52" s="2819"/>
      <c r="U52" s="2963"/>
      <c r="V52" s="951" t="s">
        <v>923</v>
      </c>
      <c r="W52" s="979">
        <v>20000000</v>
      </c>
      <c r="X52" s="980"/>
      <c r="Y52" s="925">
        <v>0</v>
      </c>
      <c r="Z52" s="926">
        <v>20</v>
      </c>
      <c r="AA52" s="981" t="s">
        <v>70</v>
      </c>
      <c r="AB52" s="2964"/>
      <c r="AC52" s="2943"/>
      <c r="AD52" s="2943"/>
      <c r="AE52" s="2943"/>
      <c r="AF52" s="2943"/>
      <c r="AG52" s="2943"/>
      <c r="AH52" s="2943"/>
      <c r="AI52" s="2943"/>
      <c r="AJ52" s="2943"/>
      <c r="AK52" s="2943"/>
      <c r="AL52" s="2943"/>
      <c r="AM52" s="2943"/>
      <c r="AN52" s="2943"/>
      <c r="AO52" s="2943"/>
      <c r="AP52" s="2943"/>
      <c r="AQ52" s="2945"/>
      <c r="AR52" s="2856"/>
      <c r="AS52" s="2949"/>
      <c r="AT52" s="2856"/>
      <c r="AU52" s="2949"/>
      <c r="AV52" s="2856"/>
      <c r="AW52" s="2949"/>
      <c r="AX52" s="2856"/>
      <c r="AY52" s="2949"/>
      <c r="AZ52" s="2856"/>
      <c r="BA52" s="2946"/>
      <c r="BB52" s="2947"/>
      <c r="BC52" s="2948"/>
      <c r="BD52" s="2947"/>
      <c r="BE52" s="2957"/>
      <c r="BF52" s="2916"/>
      <c r="BG52" s="2949"/>
      <c r="BH52" s="2856"/>
      <c r="BI52" s="2958"/>
      <c r="BJ52" s="2951"/>
      <c r="BK52" s="2952"/>
      <c r="BL52" s="2870"/>
      <c r="BM52" s="2955"/>
      <c r="BN52" s="2837"/>
      <c r="BO52" s="2837"/>
      <c r="BP52" s="2837"/>
      <c r="BQ52" s="2837"/>
      <c r="BR52" s="2950"/>
      <c r="BS52" s="908"/>
      <c r="BT52" s="908"/>
    </row>
    <row r="53" spans="1:72" s="458" customFormat="1" ht="69.75" customHeight="1" x14ac:dyDescent="0.2">
      <c r="A53" s="2799"/>
      <c r="B53" s="2802"/>
      <c r="C53" s="2803"/>
      <c r="D53" s="2920"/>
      <c r="E53" s="2920"/>
      <c r="F53" s="2920"/>
      <c r="G53" s="2923"/>
      <c r="H53" s="2926"/>
      <c r="I53" s="2929"/>
      <c r="J53" s="2940"/>
      <c r="K53" s="2936"/>
      <c r="L53" s="2875"/>
      <c r="M53" s="2941"/>
      <c r="N53" s="2877"/>
      <c r="O53" s="2807"/>
      <c r="P53" s="2809"/>
      <c r="Q53" s="2811"/>
      <c r="R53" s="2853"/>
      <c r="S53" s="2818"/>
      <c r="T53" s="2819"/>
      <c r="U53" s="2963"/>
      <c r="V53" s="951" t="s">
        <v>924</v>
      </c>
      <c r="W53" s="979">
        <v>5000000</v>
      </c>
      <c r="X53" s="980"/>
      <c r="Y53" s="933"/>
      <c r="Z53" s="926">
        <v>20</v>
      </c>
      <c r="AA53" s="981" t="s">
        <v>70</v>
      </c>
      <c r="AB53" s="2964"/>
      <c r="AC53" s="2943"/>
      <c r="AD53" s="2943"/>
      <c r="AE53" s="2943"/>
      <c r="AF53" s="2943"/>
      <c r="AG53" s="2943"/>
      <c r="AH53" s="2943"/>
      <c r="AI53" s="2943"/>
      <c r="AJ53" s="2943"/>
      <c r="AK53" s="2943"/>
      <c r="AL53" s="2943"/>
      <c r="AM53" s="2943"/>
      <c r="AN53" s="2943"/>
      <c r="AO53" s="2943"/>
      <c r="AP53" s="2943"/>
      <c r="AQ53" s="2945"/>
      <c r="AR53" s="2856"/>
      <c r="AS53" s="2949"/>
      <c r="AT53" s="2856"/>
      <c r="AU53" s="2949"/>
      <c r="AV53" s="2856"/>
      <c r="AW53" s="2949"/>
      <c r="AX53" s="2856"/>
      <c r="AY53" s="2949"/>
      <c r="AZ53" s="2856"/>
      <c r="BA53" s="2946"/>
      <c r="BB53" s="2947"/>
      <c r="BC53" s="2948"/>
      <c r="BD53" s="2947"/>
      <c r="BE53" s="2957"/>
      <c r="BF53" s="2916"/>
      <c r="BG53" s="2949"/>
      <c r="BH53" s="2856"/>
      <c r="BI53" s="2958"/>
      <c r="BJ53" s="2951"/>
      <c r="BK53" s="2952"/>
      <c r="BL53" s="2870"/>
      <c r="BM53" s="2955"/>
      <c r="BN53" s="2837"/>
      <c r="BO53" s="2837"/>
      <c r="BP53" s="2837"/>
      <c r="BQ53" s="2837"/>
      <c r="BR53" s="2950"/>
      <c r="BS53" s="908"/>
      <c r="BT53" s="908"/>
    </row>
    <row r="54" spans="1:72" s="458" customFormat="1" ht="42.75" x14ac:dyDescent="0.2">
      <c r="A54" s="2799"/>
      <c r="B54" s="2802"/>
      <c r="C54" s="2803"/>
      <c r="D54" s="2920"/>
      <c r="E54" s="2920"/>
      <c r="F54" s="2920"/>
      <c r="G54" s="2923"/>
      <c r="H54" s="2926"/>
      <c r="I54" s="2929"/>
      <c r="J54" s="2938">
        <v>230</v>
      </c>
      <c r="K54" s="2874" t="s">
        <v>925</v>
      </c>
      <c r="L54" s="2874" t="s">
        <v>926</v>
      </c>
      <c r="M54" s="2876">
        <v>1</v>
      </c>
      <c r="N54" s="2876"/>
      <c r="O54" s="2807"/>
      <c r="P54" s="2809"/>
      <c r="Q54" s="2811"/>
      <c r="R54" s="2851">
        <f>SUM(W54:W57)/S35</f>
        <v>0.13750000000000001</v>
      </c>
      <c r="S54" s="2818"/>
      <c r="T54" s="2819"/>
      <c r="U54" s="2963"/>
      <c r="V54" s="985" t="s">
        <v>927</v>
      </c>
      <c r="W54" s="979">
        <v>20000000</v>
      </c>
      <c r="X54" s="980"/>
      <c r="Y54" s="925">
        <v>0</v>
      </c>
      <c r="Z54" s="926">
        <v>20</v>
      </c>
      <c r="AA54" s="981" t="s">
        <v>70</v>
      </c>
      <c r="AB54" s="2964"/>
      <c r="AC54" s="2943"/>
      <c r="AD54" s="2943"/>
      <c r="AE54" s="2943"/>
      <c r="AF54" s="2943"/>
      <c r="AG54" s="2943"/>
      <c r="AH54" s="2943"/>
      <c r="AI54" s="2943"/>
      <c r="AJ54" s="2943"/>
      <c r="AK54" s="2943"/>
      <c r="AL54" s="2943"/>
      <c r="AM54" s="2943"/>
      <c r="AN54" s="2943"/>
      <c r="AO54" s="2943"/>
      <c r="AP54" s="2943"/>
      <c r="AQ54" s="2945"/>
      <c r="AR54" s="2856"/>
      <c r="AS54" s="2949"/>
      <c r="AT54" s="2856"/>
      <c r="AU54" s="2949"/>
      <c r="AV54" s="2856"/>
      <c r="AW54" s="2949"/>
      <c r="AX54" s="2856"/>
      <c r="AY54" s="2949"/>
      <c r="AZ54" s="2856"/>
      <c r="BA54" s="2946"/>
      <c r="BB54" s="2947"/>
      <c r="BC54" s="2948"/>
      <c r="BD54" s="2947"/>
      <c r="BE54" s="2957"/>
      <c r="BF54" s="2916"/>
      <c r="BG54" s="2949"/>
      <c r="BH54" s="2856"/>
      <c r="BI54" s="2958"/>
      <c r="BJ54" s="2951"/>
      <c r="BK54" s="2952"/>
      <c r="BL54" s="2870"/>
      <c r="BM54" s="2955"/>
      <c r="BN54" s="2837"/>
      <c r="BO54" s="2837"/>
      <c r="BP54" s="2837"/>
      <c r="BQ54" s="2837"/>
      <c r="BR54" s="2950"/>
      <c r="BS54" s="908"/>
      <c r="BT54" s="908"/>
    </row>
    <row r="55" spans="1:72" s="458" customFormat="1" ht="28.5" x14ac:dyDescent="0.2">
      <c r="A55" s="2799"/>
      <c r="B55" s="2802"/>
      <c r="C55" s="2803"/>
      <c r="D55" s="2920"/>
      <c r="E55" s="2920"/>
      <c r="F55" s="2920"/>
      <c r="G55" s="2923"/>
      <c r="H55" s="2926"/>
      <c r="I55" s="2929"/>
      <c r="J55" s="2939"/>
      <c r="K55" s="2893"/>
      <c r="L55" s="2893"/>
      <c r="M55" s="2917"/>
      <c r="N55" s="2917"/>
      <c r="O55" s="2807"/>
      <c r="P55" s="2809"/>
      <c r="Q55" s="2811"/>
      <c r="R55" s="2852"/>
      <c r="S55" s="2818"/>
      <c r="T55" s="2819"/>
      <c r="U55" s="2963"/>
      <c r="V55" s="985" t="s">
        <v>928</v>
      </c>
      <c r="W55" s="979">
        <v>10000000</v>
      </c>
      <c r="X55" s="980"/>
      <c r="Y55" s="925"/>
      <c r="Z55" s="926">
        <v>20</v>
      </c>
      <c r="AA55" s="981" t="s">
        <v>70</v>
      </c>
      <c r="AB55" s="2964"/>
      <c r="AC55" s="2943"/>
      <c r="AD55" s="2943"/>
      <c r="AE55" s="2943"/>
      <c r="AF55" s="2943"/>
      <c r="AG55" s="2943"/>
      <c r="AH55" s="2943"/>
      <c r="AI55" s="2943"/>
      <c r="AJ55" s="2943"/>
      <c r="AK55" s="2943"/>
      <c r="AL55" s="2943"/>
      <c r="AM55" s="2943"/>
      <c r="AN55" s="2943"/>
      <c r="AO55" s="2943"/>
      <c r="AP55" s="2943"/>
      <c r="AQ55" s="2945"/>
      <c r="AR55" s="2856"/>
      <c r="AS55" s="2949"/>
      <c r="AT55" s="2856"/>
      <c r="AU55" s="2949"/>
      <c r="AV55" s="2856"/>
      <c r="AW55" s="2949"/>
      <c r="AX55" s="2856"/>
      <c r="AY55" s="2949"/>
      <c r="AZ55" s="2856"/>
      <c r="BA55" s="2946"/>
      <c r="BB55" s="2947"/>
      <c r="BC55" s="2948"/>
      <c r="BD55" s="2947"/>
      <c r="BE55" s="2957"/>
      <c r="BF55" s="2916"/>
      <c r="BG55" s="2949"/>
      <c r="BH55" s="2856"/>
      <c r="BI55" s="2958"/>
      <c r="BJ55" s="2951"/>
      <c r="BK55" s="2952"/>
      <c r="BL55" s="2870"/>
      <c r="BM55" s="2955"/>
      <c r="BN55" s="2837"/>
      <c r="BO55" s="2837"/>
      <c r="BP55" s="2837"/>
      <c r="BQ55" s="2837"/>
      <c r="BR55" s="2950"/>
      <c r="BS55" s="908"/>
      <c r="BT55" s="908"/>
    </row>
    <row r="56" spans="1:72" s="458" customFormat="1" ht="42.75" x14ac:dyDescent="0.2">
      <c r="A56" s="2799"/>
      <c r="B56" s="2802"/>
      <c r="C56" s="2803"/>
      <c r="D56" s="2920"/>
      <c r="E56" s="2920"/>
      <c r="F56" s="2920"/>
      <c r="G56" s="2923"/>
      <c r="H56" s="2926"/>
      <c r="I56" s="2929"/>
      <c r="J56" s="2939"/>
      <c r="K56" s="2893"/>
      <c r="L56" s="2893"/>
      <c r="M56" s="2917"/>
      <c r="N56" s="2917"/>
      <c r="O56" s="2807"/>
      <c r="P56" s="2809"/>
      <c r="Q56" s="2811"/>
      <c r="R56" s="2852"/>
      <c r="S56" s="2818"/>
      <c r="T56" s="2819"/>
      <c r="U56" s="2963"/>
      <c r="V56" s="985" t="s">
        <v>929</v>
      </c>
      <c r="W56" s="979">
        <v>20000000</v>
      </c>
      <c r="X56" s="980">
        <f>2000000+3000000</f>
        <v>5000000</v>
      </c>
      <c r="Y56" s="978">
        <v>1200000</v>
      </c>
      <c r="Z56" s="926">
        <v>20</v>
      </c>
      <c r="AA56" s="981" t="s">
        <v>70</v>
      </c>
      <c r="AB56" s="2964"/>
      <c r="AC56" s="2943"/>
      <c r="AD56" s="2943"/>
      <c r="AE56" s="2943"/>
      <c r="AF56" s="2943"/>
      <c r="AG56" s="2943"/>
      <c r="AH56" s="2943"/>
      <c r="AI56" s="2943"/>
      <c r="AJ56" s="2943"/>
      <c r="AK56" s="2943"/>
      <c r="AL56" s="2943"/>
      <c r="AM56" s="2943"/>
      <c r="AN56" s="2943"/>
      <c r="AO56" s="2943"/>
      <c r="AP56" s="2943"/>
      <c r="AQ56" s="2945"/>
      <c r="AR56" s="2856"/>
      <c r="AS56" s="2949"/>
      <c r="AT56" s="2856"/>
      <c r="AU56" s="2949"/>
      <c r="AV56" s="2856"/>
      <c r="AW56" s="2949"/>
      <c r="AX56" s="2856"/>
      <c r="AY56" s="2949"/>
      <c r="AZ56" s="2856"/>
      <c r="BA56" s="2946"/>
      <c r="BB56" s="2947"/>
      <c r="BC56" s="2948"/>
      <c r="BD56" s="2947"/>
      <c r="BE56" s="2957"/>
      <c r="BF56" s="2916"/>
      <c r="BG56" s="2949"/>
      <c r="BH56" s="2856"/>
      <c r="BI56" s="2958"/>
      <c r="BJ56" s="2951"/>
      <c r="BK56" s="2952"/>
      <c r="BL56" s="2870"/>
      <c r="BM56" s="2955"/>
      <c r="BN56" s="2837"/>
      <c r="BO56" s="2837"/>
      <c r="BP56" s="2837"/>
      <c r="BQ56" s="2837"/>
      <c r="BR56" s="2950"/>
      <c r="BS56" s="908"/>
      <c r="BT56" s="908"/>
    </row>
    <row r="57" spans="1:72" s="458" customFormat="1" ht="31.5" customHeight="1" x14ac:dyDescent="0.2">
      <c r="A57" s="2799"/>
      <c r="B57" s="2802"/>
      <c r="C57" s="2803"/>
      <c r="D57" s="2920"/>
      <c r="E57" s="2920"/>
      <c r="F57" s="2920"/>
      <c r="G57" s="2924"/>
      <c r="H57" s="2927"/>
      <c r="I57" s="2930"/>
      <c r="J57" s="2940"/>
      <c r="K57" s="2875"/>
      <c r="L57" s="2875"/>
      <c r="M57" s="2877"/>
      <c r="N57" s="2877"/>
      <c r="O57" s="2844"/>
      <c r="P57" s="2935"/>
      <c r="Q57" s="2936"/>
      <c r="R57" s="2853"/>
      <c r="S57" s="2818"/>
      <c r="T57" s="2819"/>
      <c r="U57" s="2963"/>
      <c r="V57" s="985" t="s">
        <v>909</v>
      </c>
      <c r="W57" s="979">
        <v>5000000</v>
      </c>
      <c r="X57" s="986"/>
      <c r="Y57" s="925"/>
      <c r="Z57" s="926">
        <v>20</v>
      </c>
      <c r="AA57" s="981" t="s">
        <v>70</v>
      </c>
      <c r="AB57" s="2965"/>
      <c r="AC57" s="2944"/>
      <c r="AD57" s="2944"/>
      <c r="AE57" s="2944"/>
      <c r="AF57" s="2944"/>
      <c r="AG57" s="2944"/>
      <c r="AH57" s="2944"/>
      <c r="AI57" s="2944"/>
      <c r="AJ57" s="2944"/>
      <c r="AK57" s="2944"/>
      <c r="AL57" s="2944"/>
      <c r="AM57" s="2944"/>
      <c r="AN57" s="2944"/>
      <c r="AO57" s="2944"/>
      <c r="AP57" s="2944"/>
      <c r="AQ57" s="2945"/>
      <c r="AR57" s="2856"/>
      <c r="AS57" s="2949"/>
      <c r="AT57" s="2856"/>
      <c r="AU57" s="2949"/>
      <c r="AV57" s="2856"/>
      <c r="AW57" s="2949"/>
      <c r="AX57" s="2856"/>
      <c r="AY57" s="2949"/>
      <c r="AZ57" s="2856"/>
      <c r="BA57" s="2946"/>
      <c r="BB57" s="2947"/>
      <c r="BC57" s="2948"/>
      <c r="BD57" s="2947"/>
      <c r="BE57" s="2957"/>
      <c r="BF57" s="2916"/>
      <c r="BG57" s="2949"/>
      <c r="BH57" s="2856"/>
      <c r="BI57" s="2958"/>
      <c r="BJ57" s="2951"/>
      <c r="BK57" s="2952"/>
      <c r="BL57" s="2870"/>
      <c r="BM57" s="2956"/>
      <c r="BN57" s="2838"/>
      <c r="BO57" s="2838"/>
      <c r="BP57" s="2838"/>
      <c r="BQ57" s="2838"/>
      <c r="BR57" s="2950"/>
      <c r="BS57" s="908"/>
      <c r="BT57" s="908"/>
    </row>
    <row r="58" spans="1:72" s="908" customFormat="1" ht="24" customHeight="1" x14ac:dyDescent="0.2">
      <c r="A58" s="2799"/>
      <c r="B58" s="2802"/>
      <c r="C58" s="2803"/>
      <c r="D58" s="2920"/>
      <c r="E58" s="2920"/>
      <c r="F58" s="2920"/>
      <c r="G58" s="909">
        <v>79</v>
      </c>
      <c r="H58" s="987" t="s">
        <v>930</v>
      </c>
      <c r="I58" s="987"/>
      <c r="J58" s="988"/>
      <c r="K58" s="989"/>
      <c r="L58" s="990"/>
      <c r="M58" s="324"/>
      <c r="N58" s="324"/>
      <c r="O58" s="554"/>
      <c r="P58" s="991"/>
      <c r="Q58" s="287"/>
      <c r="R58" s="992"/>
      <c r="S58" s="993"/>
      <c r="T58" s="990"/>
      <c r="U58" s="989"/>
      <c r="V58" s="989"/>
      <c r="W58" s="994"/>
      <c r="X58" s="971"/>
      <c r="Y58" s="971"/>
      <c r="Z58" s="972"/>
      <c r="AA58" s="995"/>
      <c r="AB58" s="973"/>
      <c r="AC58" s="974"/>
      <c r="AD58" s="973"/>
      <c r="AE58" s="974"/>
      <c r="AF58" s="973"/>
      <c r="AG58" s="974"/>
      <c r="AH58" s="973"/>
      <c r="AI58" s="974"/>
      <c r="AJ58" s="973"/>
      <c r="AK58" s="974"/>
      <c r="AL58" s="973"/>
      <c r="AM58" s="974"/>
      <c r="AN58" s="973"/>
      <c r="AO58" s="974"/>
      <c r="AP58" s="973"/>
      <c r="AQ58" s="974"/>
      <c r="AR58" s="973"/>
      <c r="AS58" s="974"/>
      <c r="AT58" s="973"/>
      <c r="AU58" s="974"/>
      <c r="AV58" s="973"/>
      <c r="AW58" s="974"/>
      <c r="AX58" s="973"/>
      <c r="AY58" s="974"/>
      <c r="AZ58" s="973"/>
      <c r="BA58" s="974"/>
      <c r="BB58" s="973"/>
      <c r="BC58" s="974"/>
      <c r="BD58" s="973"/>
      <c r="BE58" s="974"/>
      <c r="BF58" s="973"/>
      <c r="BG58" s="974"/>
      <c r="BH58" s="973"/>
      <c r="BI58" s="975"/>
      <c r="BJ58" s="975"/>
      <c r="BK58" s="973"/>
      <c r="BL58" s="973"/>
      <c r="BM58" s="973"/>
      <c r="BN58" s="973"/>
      <c r="BO58" s="973"/>
      <c r="BP58" s="973"/>
      <c r="BQ58" s="973"/>
      <c r="BR58" s="976"/>
    </row>
    <row r="59" spans="1:72" s="458" customFormat="1" ht="42.75" x14ac:dyDescent="0.2">
      <c r="A59" s="2799"/>
      <c r="B59" s="2802"/>
      <c r="C59" s="2803"/>
      <c r="D59" s="2920"/>
      <c r="E59" s="2920"/>
      <c r="F59" s="2920"/>
      <c r="G59" s="908"/>
      <c r="H59" s="1180"/>
      <c r="I59" s="923"/>
      <c r="J59" s="2872">
        <v>231</v>
      </c>
      <c r="K59" s="2874" t="s">
        <v>931</v>
      </c>
      <c r="L59" s="2874" t="s">
        <v>932</v>
      </c>
      <c r="M59" s="2894">
        <v>1</v>
      </c>
      <c r="N59" s="2848">
        <v>1</v>
      </c>
      <c r="O59" s="2988" t="s">
        <v>933</v>
      </c>
      <c r="P59" s="2808" t="s">
        <v>934</v>
      </c>
      <c r="Q59" s="2810" t="s">
        <v>935</v>
      </c>
      <c r="R59" s="2961">
        <v>0.89</v>
      </c>
      <c r="S59" s="2867">
        <f>SUM(W59:W67)</f>
        <v>105000000</v>
      </c>
      <c r="T59" s="2819" t="s">
        <v>936</v>
      </c>
      <c r="U59" s="2819" t="s">
        <v>937</v>
      </c>
      <c r="V59" s="840" t="s">
        <v>938</v>
      </c>
      <c r="W59" s="945">
        <v>15000000</v>
      </c>
      <c r="X59" s="996">
        <v>4820000</v>
      </c>
      <c r="Y59" s="978">
        <v>4184667</v>
      </c>
      <c r="Z59" s="926" t="s">
        <v>939</v>
      </c>
      <c r="AA59" s="1187" t="s">
        <v>90</v>
      </c>
      <c r="AB59" s="2966">
        <v>1018</v>
      </c>
      <c r="AC59" s="2959">
        <v>22</v>
      </c>
      <c r="AD59" s="2959">
        <v>982</v>
      </c>
      <c r="AE59" s="2959">
        <v>11</v>
      </c>
      <c r="AF59" s="2959">
        <v>466</v>
      </c>
      <c r="AG59" s="2959"/>
      <c r="AH59" s="2959">
        <v>152</v>
      </c>
      <c r="AI59" s="2959"/>
      <c r="AJ59" s="2959">
        <v>1063</v>
      </c>
      <c r="AK59" s="2959"/>
      <c r="AL59" s="2959">
        <v>319</v>
      </c>
      <c r="AM59" s="2959"/>
      <c r="AN59" s="2959">
        <v>0</v>
      </c>
      <c r="AO59" s="2959"/>
      <c r="AP59" s="2959">
        <v>0</v>
      </c>
      <c r="AQ59" s="2973"/>
      <c r="AR59" s="2968">
        <v>0</v>
      </c>
      <c r="AS59" s="1188"/>
      <c r="AT59" s="2968">
        <v>0</v>
      </c>
      <c r="AU59" s="1188"/>
      <c r="AV59" s="2968">
        <v>0</v>
      </c>
      <c r="AW59" s="1188"/>
      <c r="AX59" s="2968">
        <v>0</v>
      </c>
      <c r="AY59" s="1188"/>
      <c r="AZ59" s="2968">
        <v>0</v>
      </c>
      <c r="BA59" s="1188"/>
      <c r="BB59" s="2968">
        <v>0</v>
      </c>
      <c r="BC59" s="1188"/>
      <c r="BD59" s="2968">
        <v>0</v>
      </c>
      <c r="BE59" s="1188"/>
      <c r="BF59" s="2971">
        <f>SUM(AB59:AD67)</f>
        <v>2022</v>
      </c>
      <c r="BG59" s="2825">
        <f>AC59+AE59</f>
        <v>33</v>
      </c>
      <c r="BH59" s="2971">
        <v>6</v>
      </c>
      <c r="BI59" s="2864">
        <f>SUM(X59:X67)</f>
        <v>18317334</v>
      </c>
      <c r="BJ59" s="2867">
        <f>SUM(Y59:Y67)</f>
        <v>6584667</v>
      </c>
      <c r="BK59" s="2854"/>
      <c r="BL59" s="2863">
        <v>20</v>
      </c>
      <c r="BM59" s="2857" t="s">
        <v>901</v>
      </c>
      <c r="BN59" s="2975">
        <v>43832</v>
      </c>
      <c r="BO59" s="2975">
        <v>43900</v>
      </c>
      <c r="BP59" s="2975">
        <v>44196</v>
      </c>
      <c r="BQ59" s="2975"/>
      <c r="BR59" s="2950" t="s">
        <v>854</v>
      </c>
      <c r="BS59" s="908"/>
      <c r="BT59" s="908"/>
    </row>
    <row r="60" spans="1:72" s="458" customFormat="1" ht="44.25" customHeight="1" x14ac:dyDescent="0.2">
      <c r="A60" s="2799"/>
      <c r="B60" s="2802"/>
      <c r="C60" s="2803"/>
      <c r="D60" s="2920"/>
      <c r="E60" s="2920"/>
      <c r="F60" s="2920"/>
      <c r="G60" s="908"/>
      <c r="H60" s="928"/>
      <c r="I60" s="929"/>
      <c r="J60" s="2986"/>
      <c r="K60" s="2893"/>
      <c r="L60" s="2893"/>
      <c r="M60" s="2895"/>
      <c r="N60" s="2849"/>
      <c r="O60" s="2989"/>
      <c r="P60" s="2809"/>
      <c r="Q60" s="2811"/>
      <c r="R60" s="2962"/>
      <c r="S60" s="2868"/>
      <c r="T60" s="2819"/>
      <c r="U60" s="2819"/>
      <c r="V60" s="840" t="s">
        <v>940</v>
      </c>
      <c r="W60" s="945">
        <v>20000000</v>
      </c>
      <c r="X60" s="996">
        <v>5997333</v>
      </c>
      <c r="Y60" s="978"/>
      <c r="Z60" s="926" t="s">
        <v>939</v>
      </c>
      <c r="AA60" s="1187" t="s">
        <v>90</v>
      </c>
      <c r="AB60" s="2967"/>
      <c r="AC60" s="2960"/>
      <c r="AD60" s="2960"/>
      <c r="AE60" s="2960"/>
      <c r="AF60" s="2960"/>
      <c r="AG60" s="2960"/>
      <c r="AH60" s="2960"/>
      <c r="AI60" s="2960"/>
      <c r="AJ60" s="2960"/>
      <c r="AK60" s="2960"/>
      <c r="AL60" s="2960"/>
      <c r="AM60" s="2960"/>
      <c r="AN60" s="2960"/>
      <c r="AO60" s="2960"/>
      <c r="AP60" s="2960"/>
      <c r="AQ60" s="2973"/>
      <c r="AR60" s="2969"/>
      <c r="AS60" s="997"/>
      <c r="AT60" s="2969"/>
      <c r="AU60" s="997"/>
      <c r="AV60" s="2969"/>
      <c r="AW60" s="997"/>
      <c r="AX60" s="2969"/>
      <c r="AY60" s="997"/>
      <c r="AZ60" s="2969"/>
      <c r="BA60" s="997"/>
      <c r="BB60" s="2969"/>
      <c r="BC60" s="997"/>
      <c r="BD60" s="2969"/>
      <c r="BE60" s="997"/>
      <c r="BF60" s="2972"/>
      <c r="BG60" s="2826"/>
      <c r="BH60" s="2972"/>
      <c r="BI60" s="2865"/>
      <c r="BJ60" s="2868"/>
      <c r="BK60" s="2855"/>
      <c r="BL60" s="2858"/>
      <c r="BM60" s="2858"/>
      <c r="BN60" s="2976"/>
      <c r="BO60" s="2976"/>
      <c r="BP60" s="2976"/>
      <c r="BQ60" s="2976"/>
      <c r="BR60" s="2950"/>
      <c r="BS60" s="908"/>
      <c r="BT60" s="908"/>
    </row>
    <row r="61" spans="1:72" s="458" customFormat="1" ht="28.5" customHeight="1" x14ac:dyDescent="0.2">
      <c r="A61" s="2799"/>
      <c r="B61" s="2802"/>
      <c r="C61" s="2803"/>
      <c r="D61" s="2920"/>
      <c r="E61" s="2920"/>
      <c r="F61" s="2920"/>
      <c r="G61" s="908"/>
      <c r="H61" s="928"/>
      <c r="I61" s="929"/>
      <c r="J61" s="2986"/>
      <c r="K61" s="2893"/>
      <c r="L61" s="2893"/>
      <c r="M61" s="2895"/>
      <c r="N61" s="2849"/>
      <c r="O61" s="2989"/>
      <c r="P61" s="2809"/>
      <c r="Q61" s="2811"/>
      <c r="R61" s="2962"/>
      <c r="S61" s="2868"/>
      <c r="T61" s="2819"/>
      <c r="U61" s="2819"/>
      <c r="V61" s="840" t="s">
        <v>941</v>
      </c>
      <c r="W61" s="945">
        <f>30000000-30000000</f>
        <v>0</v>
      </c>
      <c r="X61" s="996"/>
      <c r="Y61" s="978"/>
      <c r="Z61" s="926" t="s">
        <v>939</v>
      </c>
      <c r="AA61" s="1187" t="s">
        <v>90</v>
      </c>
      <c r="AB61" s="2967"/>
      <c r="AC61" s="2960"/>
      <c r="AD61" s="2960"/>
      <c r="AE61" s="2960"/>
      <c r="AF61" s="2960"/>
      <c r="AG61" s="2960"/>
      <c r="AH61" s="2960"/>
      <c r="AI61" s="2960"/>
      <c r="AJ61" s="2960"/>
      <c r="AK61" s="2960"/>
      <c r="AL61" s="2960"/>
      <c r="AM61" s="2960"/>
      <c r="AN61" s="2960"/>
      <c r="AO61" s="2960"/>
      <c r="AP61" s="2960"/>
      <c r="AQ61" s="2973"/>
      <c r="AR61" s="2969"/>
      <c r="AS61" s="997"/>
      <c r="AT61" s="2969"/>
      <c r="AU61" s="997"/>
      <c r="AV61" s="2969"/>
      <c r="AW61" s="997"/>
      <c r="AX61" s="2969"/>
      <c r="AY61" s="997"/>
      <c r="AZ61" s="2969"/>
      <c r="BA61" s="997"/>
      <c r="BB61" s="2969"/>
      <c r="BC61" s="997"/>
      <c r="BD61" s="2969"/>
      <c r="BE61" s="997"/>
      <c r="BF61" s="2972"/>
      <c r="BG61" s="2826"/>
      <c r="BH61" s="2972"/>
      <c r="BI61" s="2865"/>
      <c r="BJ61" s="2868"/>
      <c r="BK61" s="2855"/>
      <c r="BL61" s="2858"/>
      <c r="BM61" s="2858"/>
      <c r="BN61" s="2976"/>
      <c r="BO61" s="2976"/>
      <c r="BP61" s="2976"/>
      <c r="BQ61" s="2976"/>
      <c r="BR61" s="2950"/>
      <c r="BS61" s="908"/>
      <c r="BT61" s="908"/>
    </row>
    <row r="62" spans="1:72" s="458" customFormat="1" ht="28.5" x14ac:dyDescent="0.2">
      <c r="A62" s="2799"/>
      <c r="B62" s="2802"/>
      <c r="C62" s="2803"/>
      <c r="D62" s="2920"/>
      <c r="E62" s="2920"/>
      <c r="F62" s="2920"/>
      <c r="G62" s="908"/>
      <c r="H62" s="928"/>
      <c r="I62" s="929"/>
      <c r="J62" s="2986"/>
      <c r="K62" s="2893"/>
      <c r="L62" s="2893"/>
      <c r="M62" s="2895"/>
      <c r="N62" s="2849"/>
      <c r="O62" s="2989"/>
      <c r="P62" s="2809"/>
      <c r="Q62" s="2811"/>
      <c r="R62" s="2962"/>
      <c r="S62" s="2868"/>
      <c r="T62" s="2819"/>
      <c r="U62" s="2819"/>
      <c r="V62" s="840" t="s">
        <v>942</v>
      </c>
      <c r="W62" s="945">
        <f>0+30000000</f>
        <v>30000000</v>
      </c>
      <c r="X62" s="996">
        <v>4266668</v>
      </c>
      <c r="Y62" s="978">
        <v>2400000</v>
      </c>
      <c r="Z62" s="926" t="s">
        <v>939</v>
      </c>
      <c r="AA62" s="1189" t="s">
        <v>90</v>
      </c>
      <c r="AB62" s="2967"/>
      <c r="AC62" s="2960"/>
      <c r="AD62" s="2960"/>
      <c r="AE62" s="2960"/>
      <c r="AF62" s="2960"/>
      <c r="AG62" s="2960"/>
      <c r="AH62" s="2960"/>
      <c r="AI62" s="2960"/>
      <c r="AJ62" s="2960"/>
      <c r="AK62" s="2960"/>
      <c r="AL62" s="2960"/>
      <c r="AM62" s="2960"/>
      <c r="AN62" s="2960"/>
      <c r="AO62" s="2960"/>
      <c r="AP62" s="2960"/>
      <c r="AQ62" s="2973"/>
      <c r="AR62" s="2969"/>
      <c r="AS62" s="997"/>
      <c r="AT62" s="2969"/>
      <c r="AU62" s="997"/>
      <c r="AV62" s="2969"/>
      <c r="AW62" s="997"/>
      <c r="AX62" s="2969"/>
      <c r="AY62" s="997"/>
      <c r="AZ62" s="2969"/>
      <c r="BA62" s="997"/>
      <c r="BB62" s="2969"/>
      <c r="BC62" s="997"/>
      <c r="BD62" s="2969"/>
      <c r="BE62" s="997"/>
      <c r="BF62" s="2972"/>
      <c r="BG62" s="2826"/>
      <c r="BH62" s="2972"/>
      <c r="BI62" s="2865"/>
      <c r="BJ62" s="2868"/>
      <c r="BK62" s="2855"/>
      <c r="BL62" s="2858"/>
      <c r="BM62" s="2858"/>
      <c r="BN62" s="2976"/>
      <c r="BO62" s="2976"/>
      <c r="BP62" s="2976"/>
      <c r="BQ62" s="2976"/>
      <c r="BR62" s="2950"/>
      <c r="BS62" s="908"/>
      <c r="BT62" s="908"/>
    </row>
    <row r="63" spans="1:72" s="458" customFormat="1" ht="55.5" customHeight="1" x14ac:dyDescent="0.2">
      <c r="A63" s="2799"/>
      <c r="B63" s="2802"/>
      <c r="C63" s="2803"/>
      <c r="D63" s="2920"/>
      <c r="E63" s="2920"/>
      <c r="F63" s="2920"/>
      <c r="G63" s="908"/>
      <c r="H63" s="928"/>
      <c r="I63" s="929"/>
      <c r="J63" s="2986"/>
      <c r="K63" s="2893"/>
      <c r="L63" s="2893"/>
      <c r="M63" s="2895"/>
      <c r="N63" s="2849"/>
      <c r="O63" s="2989"/>
      <c r="P63" s="2809"/>
      <c r="Q63" s="2811"/>
      <c r="R63" s="2962"/>
      <c r="S63" s="2868"/>
      <c r="T63" s="2819"/>
      <c r="U63" s="2819"/>
      <c r="V63" s="984" t="s">
        <v>943</v>
      </c>
      <c r="W63" s="945">
        <v>20000000</v>
      </c>
      <c r="X63" s="996">
        <v>1500000</v>
      </c>
      <c r="Y63" s="978"/>
      <c r="Z63" s="926" t="s">
        <v>939</v>
      </c>
      <c r="AA63" s="1187" t="s">
        <v>90</v>
      </c>
      <c r="AB63" s="2967"/>
      <c r="AC63" s="2960"/>
      <c r="AD63" s="2960"/>
      <c r="AE63" s="2960"/>
      <c r="AF63" s="2960"/>
      <c r="AG63" s="2960"/>
      <c r="AH63" s="2960"/>
      <c r="AI63" s="2960"/>
      <c r="AJ63" s="2960"/>
      <c r="AK63" s="2960"/>
      <c r="AL63" s="2960"/>
      <c r="AM63" s="2960"/>
      <c r="AN63" s="2960"/>
      <c r="AO63" s="2960"/>
      <c r="AP63" s="2960"/>
      <c r="AQ63" s="2973"/>
      <c r="AR63" s="2969"/>
      <c r="AS63" s="997"/>
      <c r="AT63" s="2969"/>
      <c r="AU63" s="997"/>
      <c r="AV63" s="2969"/>
      <c r="AW63" s="997"/>
      <c r="AX63" s="2969"/>
      <c r="AY63" s="997"/>
      <c r="AZ63" s="2969"/>
      <c r="BA63" s="997"/>
      <c r="BB63" s="2969"/>
      <c r="BC63" s="997"/>
      <c r="BD63" s="2969"/>
      <c r="BE63" s="997"/>
      <c r="BF63" s="2972"/>
      <c r="BG63" s="2826"/>
      <c r="BH63" s="2972"/>
      <c r="BI63" s="2865"/>
      <c r="BJ63" s="2868"/>
      <c r="BK63" s="2855"/>
      <c r="BL63" s="2858"/>
      <c r="BM63" s="2858"/>
      <c r="BN63" s="2976"/>
      <c r="BO63" s="2976"/>
      <c r="BP63" s="2976"/>
      <c r="BQ63" s="2976"/>
      <c r="BR63" s="2950"/>
      <c r="BS63" s="908"/>
      <c r="BT63" s="908"/>
    </row>
    <row r="64" spans="1:72" s="458" customFormat="1" ht="34.5" customHeight="1" x14ac:dyDescent="0.2">
      <c r="A64" s="2799"/>
      <c r="B64" s="2802"/>
      <c r="C64" s="2803"/>
      <c r="D64" s="2920"/>
      <c r="E64" s="2920"/>
      <c r="F64" s="2920"/>
      <c r="G64" s="908"/>
      <c r="H64" s="928"/>
      <c r="I64" s="929"/>
      <c r="J64" s="2986"/>
      <c r="K64" s="2893"/>
      <c r="L64" s="2893"/>
      <c r="M64" s="2895"/>
      <c r="N64" s="2849"/>
      <c r="O64" s="2989"/>
      <c r="P64" s="2809"/>
      <c r="Q64" s="2811"/>
      <c r="R64" s="2962"/>
      <c r="S64" s="2868"/>
      <c r="T64" s="2819"/>
      <c r="U64" s="2819"/>
      <c r="V64" s="840" t="s">
        <v>944</v>
      </c>
      <c r="W64" s="945">
        <v>3000000</v>
      </c>
      <c r="X64" s="996"/>
      <c r="Y64" s="978"/>
      <c r="Z64" s="926" t="s">
        <v>939</v>
      </c>
      <c r="AA64" s="998" t="s">
        <v>90</v>
      </c>
      <c r="AB64" s="2967"/>
      <c r="AC64" s="2960"/>
      <c r="AD64" s="2960"/>
      <c r="AE64" s="2960"/>
      <c r="AF64" s="2960"/>
      <c r="AG64" s="2960"/>
      <c r="AH64" s="2960"/>
      <c r="AI64" s="2960"/>
      <c r="AJ64" s="2960"/>
      <c r="AK64" s="2960"/>
      <c r="AL64" s="2960"/>
      <c r="AM64" s="2960"/>
      <c r="AN64" s="2960"/>
      <c r="AO64" s="2960"/>
      <c r="AP64" s="2960"/>
      <c r="AQ64" s="2973"/>
      <c r="AR64" s="2969"/>
      <c r="AS64" s="997"/>
      <c r="AT64" s="2969"/>
      <c r="AU64" s="997"/>
      <c r="AV64" s="2969"/>
      <c r="AW64" s="997"/>
      <c r="AX64" s="2969"/>
      <c r="AY64" s="997"/>
      <c r="AZ64" s="2969"/>
      <c r="BA64" s="997"/>
      <c r="BB64" s="2969"/>
      <c r="BC64" s="997"/>
      <c r="BD64" s="2969"/>
      <c r="BE64" s="997"/>
      <c r="BF64" s="2972"/>
      <c r="BG64" s="2826"/>
      <c r="BH64" s="2972"/>
      <c r="BI64" s="2865"/>
      <c r="BJ64" s="2868"/>
      <c r="BK64" s="2855"/>
      <c r="BL64" s="2858"/>
      <c r="BM64" s="2858"/>
      <c r="BN64" s="2976"/>
      <c r="BO64" s="2976"/>
      <c r="BP64" s="2976"/>
      <c r="BQ64" s="2976"/>
      <c r="BR64" s="2950"/>
      <c r="BS64" s="908"/>
      <c r="BT64" s="908"/>
    </row>
    <row r="65" spans="1:72" s="458" customFormat="1" ht="36.75" customHeight="1" x14ac:dyDescent="0.2">
      <c r="A65" s="2799"/>
      <c r="B65" s="2802"/>
      <c r="C65" s="2803"/>
      <c r="D65" s="2920"/>
      <c r="E65" s="2920"/>
      <c r="F65" s="2920"/>
      <c r="G65" s="908"/>
      <c r="H65" s="928"/>
      <c r="I65" s="929"/>
      <c r="J65" s="2873"/>
      <c r="K65" s="2875"/>
      <c r="L65" s="2875"/>
      <c r="M65" s="2987"/>
      <c r="N65" s="2850"/>
      <c r="O65" s="2989"/>
      <c r="P65" s="2809"/>
      <c r="Q65" s="2811"/>
      <c r="R65" s="2984"/>
      <c r="S65" s="2868"/>
      <c r="T65" s="2819"/>
      <c r="U65" s="2819"/>
      <c r="V65" s="840" t="s">
        <v>909</v>
      </c>
      <c r="W65" s="945">
        <v>5000000</v>
      </c>
      <c r="X65" s="996"/>
      <c r="Y65" s="978"/>
      <c r="Z65" s="926" t="s">
        <v>939</v>
      </c>
      <c r="AA65" s="998" t="s">
        <v>70</v>
      </c>
      <c r="AB65" s="2967"/>
      <c r="AC65" s="2960"/>
      <c r="AD65" s="2960"/>
      <c r="AE65" s="2960"/>
      <c r="AF65" s="2960"/>
      <c r="AG65" s="2960"/>
      <c r="AH65" s="2960"/>
      <c r="AI65" s="2960"/>
      <c r="AJ65" s="2960"/>
      <c r="AK65" s="2960"/>
      <c r="AL65" s="2960"/>
      <c r="AM65" s="2960"/>
      <c r="AN65" s="2960"/>
      <c r="AO65" s="2960"/>
      <c r="AP65" s="2960"/>
      <c r="AQ65" s="2973"/>
      <c r="AR65" s="2970"/>
      <c r="AS65" s="999"/>
      <c r="AT65" s="2970"/>
      <c r="AU65" s="999"/>
      <c r="AV65" s="2970"/>
      <c r="AW65" s="999"/>
      <c r="AX65" s="2970"/>
      <c r="AY65" s="999"/>
      <c r="AZ65" s="2970"/>
      <c r="BA65" s="999"/>
      <c r="BB65" s="2970"/>
      <c r="BC65" s="999"/>
      <c r="BD65" s="2970"/>
      <c r="BE65" s="999"/>
      <c r="BF65" s="2972"/>
      <c r="BG65" s="2826"/>
      <c r="BH65" s="2972"/>
      <c r="BI65" s="2865"/>
      <c r="BJ65" s="2868"/>
      <c r="BK65" s="2855"/>
      <c r="BL65" s="2858"/>
      <c r="BM65" s="2858"/>
      <c r="BN65" s="2976"/>
      <c r="BO65" s="2976"/>
      <c r="BP65" s="2976"/>
      <c r="BQ65" s="2976"/>
      <c r="BR65" s="2978"/>
      <c r="BS65" s="908"/>
      <c r="BT65" s="908"/>
    </row>
    <row r="66" spans="1:72" s="458" customFormat="1" ht="42.75" x14ac:dyDescent="0.2">
      <c r="A66" s="2799"/>
      <c r="B66" s="2802"/>
      <c r="C66" s="2803"/>
      <c r="D66" s="2920"/>
      <c r="E66" s="2920"/>
      <c r="F66" s="2920"/>
      <c r="G66" s="908"/>
      <c r="H66" s="928"/>
      <c r="I66" s="929"/>
      <c r="J66" s="2872">
        <v>233</v>
      </c>
      <c r="K66" s="2874" t="s">
        <v>945</v>
      </c>
      <c r="L66" s="2874" t="s">
        <v>946</v>
      </c>
      <c r="M66" s="2894">
        <v>1</v>
      </c>
      <c r="N66" s="2848"/>
      <c r="O66" s="2989"/>
      <c r="P66" s="2809"/>
      <c r="Q66" s="2811"/>
      <c r="R66" s="2961">
        <v>0.11</v>
      </c>
      <c r="S66" s="2868"/>
      <c r="T66" s="2819"/>
      <c r="U66" s="2820"/>
      <c r="V66" s="984" t="s">
        <v>947</v>
      </c>
      <c r="W66" s="945">
        <v>7000000</v>
      </c>
      <c r="X66" s="996">
        <v>1733333</v>
      </c>
      <c r="Y66" s="978"/>
      <c r="Z66" s="926" t="s">
        <v>939</v>
      </c>
      <c r="AA66" s="998" t="s">
        <v>70</v>
      </c>
      <c r="AB66" s="2967"/>
      <c r="AC66" s="2960"/>
      <c r="AD66" s="2960"/>
      <c r="AE66" s="2960"/>
      <c r="AF66" s="2960"/>
      <c r="AG66" s="2960"/>
      <c r="AH66" s="2960"/>
      <c r="AI66" s="2960"/>
      <c r="AJ66" s="2960"/>
      <c r="AK66" s="2960"/>
      <c r="AL66" s="2960"/>
      <c r="AM66" s="2960"/>
      <c r="AN66" s="2960"/>
      <c r="AO66" s="2960"/>
      <c r="AP66" s="2960"/>
      <c r="AQ66" s="2973"/>
      <c r="AR66" s="2970"/>
      <c r="AS66" s="999"/>
      <c r="AT66" s="2970"/>
      <c r="AU66" s="999"/>
      <c r="AV66" s="2970"/>
      <c r="AW66" s="999"/>
      <c r="AX66" s="2970"/>
      <c r="AY66" s="999"/>
      <c r="AZ66" s="2970"/>
      <c r="BA66" s="999"/>
      <c r="BB66" s="2970"/>
      <c r="BC66" s="999"/>
      <c r="BD66" s="2970"/>
      <c r="BE66" s="999"/>
      <c r="BF66" s="2972"/>
      <c r="BG66" s="2826"/>
      <c r="BH66" s="2972"/>
      <c r="BI66" s="2865"/>
      <c r="BJ66" s="2868"/>
      <c r="BK66" s="2855"/>
      <c r="BL66" s="2858"/>
      <c r="BM66" s="2858"/>
      <c r="BN66" s="2976"/>
      <c r="BO66" s="2976"/>
      <c r="BP66" s="2976"/>
      <c r="BQ66" s="2976"/>
      <c r="BR66" s="2978"/>
      <c r="BS66" s="908"/>
      <c r="BT66" s="908"/>
    </row>
    <row r="67" spans="1:72" s="458" customFormat="1" ht="28.5" x14ac:dyDescent="0.2">
      <c r="A67" s="2799"/>
      <c r="B67" s="2802"/>
      <c r="C67" s="2803"/>
      <c r="D67" s="2920"/>
      <c r="E67" s="2920"/>
      <c r="F67" s="2920"/>
      <c r="G67" s="908"/>
      <c r="H67" s="928"/>
      <c r="I67" s="929"/>
      <c r="J67" s="2986"/>
      <c r="K67" s="2893"/>
      <c r="L67" s="2893"/>
      <c r="M67" s="2895"/>
      <c r="N67" s="2849"/>
      <c r="O67" s="2989"/>
      <c r="P67" s="2809"/>
      <c r="Q67" s="2811"/>
      <c r="R67" s="2962"/>
      <c r="S67" s="2868"/>
      <c r="T67" s="2810"/>
      <c r="U67" s="2985"/>
      <c r="V67" s="1190" t="s">
        <v>948</v>
      </c>
      <c r="W67" s="1065">
        <v>5000000</v>
      </c>
      <c r="X67" s="1057"/>
      <c r="Y67" s="1191"/>
      <c r="Z67" s="1186" t="s">
        <v>939</v>
      </c>
      <c r="AA67" s="1000" t="s">
        <v>70</v>
      </c>
      <c r="AB67" s="2967"/>
      <c r="AC67" s="2960"/>
      <c r="AD67" s="2960"/>
      <c r="AE67" s="2960"/>
      <c r="AF67" s="2960"/>
      <c r="AG67" s="2960"/>
      <c r="AH67" s="2960"/>
      <c r="AI67" s="2960"/>
      <c r="AJ67" s="2960"/>
      <c r="AK67" s="2960"/>
      <c r="AL67" s="2960"/>
      <c r="AM67" s="2960"/>
      <c r="AN67" s="2960"/>
      <c r="AO67" s="2960"/>
      <c r="AP67" s="2960"/>
      <c r="AQ67" s="2974"/>
      <c r="AR67" s="2970"/>
      <c r="AS67" s="999"/>
      <c r="AT67" s="2970"/>
      <c r="AU67" s="999"/>
      <c r="AV67" s="2970"/>
      <c r="AW67" s="999"/>
      <c r="AX67" s="2970"/>
      <c r="AY67" s="999"/>
      <c r="AZ67" s="2970"/>
      <c r="BA67" s="999"/>
      <c r="BB67" s="2970"/>
      <c r="BC67" s="999"/>
      <c r="BD67" s="2970"/>
      <c r="BE67" s="999"/>
      <c r="BF67" s="2972"/>
      <c r="BG67" s="2826"/>
      <c r="BH67" s="2972"/>
      <c r="BI67" s="2865"/>
      <c r="BJ67" s="2868"/>
      <c r="BK67" s="2855"/>
      <c r="BL67" s="2858"/>
      <c r="BM67" s="2858"/>
      <c r="BN67" s="2977"/>
      <c r="BO67" s="2977"/>
      <c r="BP67" s="2977"/>
      <c r="BQ67" s="2976"/>
      <c r="BR67" s="2979"/>
      <c r="BS67" s="908"/>
      <c r="BT67" s="908"/>
    </row>
    <row r="68" spans="1:72" s="908" customFormat="1" ht="24.75" customHeight="1" x14ac:dyDescent="0.2">
      <c r="A68" s="2799"/>
      <c r="B68" s="2802"/>
      <c r="C68" s="2803"/>
      <c r="D68" s="2920"/>
      <c r="E68" s="2921"/>
      <c r="F68" s="2921"/>
      <c r="G68" s="940">
        <v>80</v>
      </c>
      <c r="H68" s="320" t="s">
        <v>949</v>
      </c>
      <c r="I68" s="320"/>
      <c r="J68" s="941"/>
      <c r="K68" s="2980"/>
      <c r="L68" s="2980"/>
      <c r="M68" s="2980"/>
      <c r="N68" s="2980"/>
      <c r="O68" s="2980"/>
      <c r="P68" s="2980"/>
      <c r="Q68" s="2980"/>
      <c r="R68" s="2980"/>
      <c r="S68" s="2980"/>
      <c r="T68" s="2980"/>
      <c r="U68" s="2980"/>
      <c r="V68" s="2980"/>
      <c r="W68" s="2980"/>
      <c r="X68" s="2980"/>
      <c r="Y68" s="2980"/>
      <c r="Z68" s="2980"/>
      <c r="AA68" s="2980"/>
      <c r="AB68" s="2980"/>
      <c r="AC68" s="2980"/>
      <c r="AD68" s="2980"/>
      <c r="AE68" s="2980"/>
      <c r="AF68" s="2980"/>
      <c r="AG68" s="2980"/>
      <c r="AH68" s="2980"/>
      <c r="AI68" s="1001"/>
      <c r="AJ68" s="320"/>
      <c r="AK68" s="1001"/>
      <c r="AL68" s="320"/>
      <c r="AM68" s="1001"/>
      <c r="AN68" s="320"/>
      <c r="AO68" s="1001"/>
      <c r="AP68" s="320"/>
      <c r="AQ68" s="1001"/>
      <c r="AR68" s="320"/>
      <c r="AS68" s="1001"/>
      <c r="AT68" s="320"/>
      <c r="AU68" s="1001"/>
      <c r="AV68" s="320"/>
      <c r="AW68" s="1001"/>
      <c r="AX68" s="320"/>
      <c r="AY68" s="1001"/>
      <c r="AZ68" s="1002"/>
      <c r="BA68" s="1003"/>
      <c r="BB68" s="1002"/>
      <c r="BC68" s="1003"/>
      <c r="BD68" s="1002"/>
      <c r="BE68" s="1003"/>
      <c r="BF68" s="1002"/>
      <c r="BG68" s="1003"/>
      <c r="BH68" s="1002"/>
      <c r="BI68" s="1004"/>
      <c r="BJ68" s="1004"/>
      <c r="BK68" s="1002"/>
      <c r="BL68" s="1002"/>
      <c r="BM68" s="1002"/>
      <c r="BN68" s="1002"/>
      <c r="BO68" s="1002"/>
      <c r="BP68" s="1002"/>
      <c r="BQ68" s="1002"/>
      <c r="BR68" s="1002"/>
    </row>
    <row r="69" spans="1:72" s="908" customFormat="1" ht="22.5" customHeight="1" x14ac:dyDescent="0.2">
      <c r="A69" s="2799"/>
      <c r="B69" s="2802"/>
      <c r="C69" s="2803"/>
      <c r="D69" s="958">
        <v>25</v>
      </c>
      <c r="E69" s="1005" t="s">
        <v>950</v>
      </c>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1006"/>
    </row>
    <row r="70" spans="1:72" s="908" customFormat="1" ht="22.5" customHeight="1" x14ac:dyDescent="0.2">
      <c r="A70" s="2799"/>
      <c r="B70" s="2802"/>
      <c r="C70" s="2803"/>
      <c r="D70" s="2920"/>
      <c r="E70" s="2920"/>
      <c r="F70" s="2920"/>
      <c r="G70" s="940">
        <v>81</v>
      </c>
      <c r="H70" s="320" t="s">
        <v>951</v>
      </c>
      <c r="I70" s="320"/>
      <c r="J70" s="941"/>
      <c r="K70" s="2980"/>
      <c r="L70" s="2980"/>
      <c r="M70" s="2980"/>
      <c r="N70" s="2980"/>
      <c r="O70" s="2980"/>
      <c r="P70" s="2980"/>
      <c r="Q70" s="2980"/>
      <c r="R70" s="2980"/>
      <c r="S70" s="2980"/>
      <c r="T70" s="2980"/>
      <c r="U70" s="2980"/>
      <c r="V70" s="2980"/>
      <c r="W70" s="2980"/>
      <c r="X70" s="2980"/>
      <c r="Y70" s="2980"/>
      <c r="Z70" s="2980"/>
      <c r="AA70" s="2980"/>
      <c r="AB70" s="2980"/>
      <c r="AC70" s="2980"/>
      <c r="AD70" s="2980"/>
      <c r="AE70" s="2980"/>
      <c r="AF70" s="1007"/>
      <c r="AG70" s="1008"/>
      <c r="AH70" s="1007"/>
      <c r="AI70" s="1008"/>
      <c r="AJ70" s="1007"/>
      <c r="AK70" s="1008"/>
      <c r="AL70" s="1007"/>
      <c r="AM70" s="1008"/>
      <c r="AN70" s="1007"/>
      <c r="AO70" s="1008"/>
      <c r="AP70" s="1007"/>
      <c r="AQ70" s="1008"/>
      <c r="AR70" s="1007"/>
      <c r="AS70" s="1008"/>
      <c r="AT70" s="1007"/>
      <c r="AU70" s="1008"/>
      <c r="AV70" s="1007"/>
      <c r="AW70" s="1008"/>
      <c r="AX70" s="1007"/>
      <c r="AY70" s="1008"/>
      <c r="AZ70" s="1002"/>
      <c r="BA70" s="1003"/>
      <c r="BB70" s="1002"/>
      <c r="BC70" s="1003"/>
      <c r="BD70" s="321"/>
      <c r="BE70" s="1009"/>
      <c r="BF70" s="321"/>
      <c r="BG70" s="1009"/>
      <c r="BH70" s="321"/>
      <c r="BI70" s="1010"/>
      <c r="BJ70" s="1010"/>
      <c r="BK70" s="321"/>
      <c r="BL70" s="321"/>
      <c r="BM70" s="321"/>
      <c r="BN70" s="321"/>
      <c r="BO70" s="321"/>
      <c r="BP70" s="321"/>
      <c r="BQ70" s="321"/>
      <c r="BR70" s="321"/>
    </row>
    <row r="71" spans="1:72" s="458" customFormat="1" ht="51" customHeight="1" x14ac:dyDescent="0.2">
      <c r="A71" s="2799"/>
      <c r="B71" s="2802"/>
      <c r="C71" s="2803"/>
      <c r="D71" s="2920"/>
      <c r="E71" s="2920"/>
      <c r="F71" s="2920"/>
      <c r="G71" s="908"/>
      <c r="H71" s="1180"/>
      <c r="I71" s="923"/>
      <c r="J71" s="1015">
        <v>236</v>
      </c>
      <c r="K71" s="1037" t="s">
        <v>952</v>
      </c>
      <c r="L71" s="1037" t="s">
        <v>953</v>
      </c>
      <c r="M71" s="1015">
        <v>3</v>
      </c>
      <c r="N71" s="1015">
        <v>2</v>
      </c>
      <c r="O71" s="2981" t="s">
        <v>954</v>
      </c>
      <c r="P71" s="2809" t="s">
        <v>955</v>
      </c>
      <c r="Q71" s="2983" t="s">
        <v>956</v>
      </c>
      <c r="R71" s="1029">
        <f>SUM(W71:W71)/S71</f>
        <v>0.14191849130233528</v>
      </c>
      <c r="S71" s="2958">
        <f>SUM(W71:W88)</f>
        <v>94420402</v>
      </c>
      <c r="T71" s="2819" t="s">
        <v>957</v>
      </c>
      <c r="U71" s="2819" t="s">
        <v>958</v>
      </c>
      <c r="V71" s="840" t="s">
        <v>959</v>
      </c>
      <c r="W71" s="945">
        <f>100000000-86599999</f>
        <v>13400001</v>
      </c>
      <c r="X71" s="1011">
        <v>7466667</v>
      </c>
      <c r="Y71" s="925">
        <v>2800000</v>
      </c>
      <c r="Z71" s="1012" t="s">
        <v>939</v>
      </c>
      <c r="AA71" s="1013" t="s">
        <v>90</v>
      </c>
      <c r="AB71" s="2974">
        <v>5089</v>
      </c>
      <c r="AC71" s="2992">
        <v>1996</v>
      </c>
      <c r="AD71" s="2974">
        <v>4911</v>
      </c>
      <c r="AE71" s="2974">
        <v>1926</v>
      </c>
      <c r="AF71" s="2974">
        <v>2331</v>
      </c>
      <c r="AG71" s="2974">
        <v>914</v>
      </c>
      <c r="AH71" s="2973">
        <v>761</v>
      </c>
      <c r="AI71" s="2973">
        <v>298</v>
      </c>
      <c r="AJ71" s="2973">
        <v>5316</v>
      </c>
      <c r="AK71" s="2973">
        <v>2085</v>
      </c>
      <c r="AL71" s="2973">
        <v>1592</v>
      </c>
      <c r="AM71" s="2973">
        <v>624</v>
      </c>
      <c r="AN71" s="2973">
        <v>0</v>
      </c>
      <c r="AO71" s="2973"/>
      <c r="AP71" s="2973">
        <v>0</v>
      </c>
      <c r="AQ71" s="2973"/>
      <c r="AR71" s="3000">
        <v>0</v>
      </c>
      <c r="AS71" s="2998"/>
      <c r="AT71" s="3000">
        <v>0</v>
      </c>
      <c r="AU71" s="2998"/>
      <c r="AV71" s="3000">
        <v>0</v>
      </c>
      <c r="AW71" s="2998"/>
      <c r="AX71" s="3000">
        <v>0</v>
      </c>
      <c r="AY71" s="2998"/>
      <c r="AZ71" s="3000">
        <v>0</v>
      </c>
      <c r="BA71" s="2998"/>
      <c r="BB71" s="3000">
        <v>0</v>
      </c>
      <c r="BC71" s="2998"/>
      <c r="BD71" s="3000">
        <v>0</v>
      </c>
      <c r="BE71" s="2998"/>
      <c r="BF71" s="2863">
        <f>AB71+AD71</f>
        <v>10000</v>
      </c>
      <c r="BG71" s="2834">
        <f>AC71+AE71+AG71+AI71+AK71+AM71</f>
        <v>7843</v>
      </c>
      <c r="BH71" s="3002">
        <v>11</v>
      </c>
      <c r="BI71" s="2864">
        <f>SUM(X71:X88)</f>
        <v>76394667</v>
      </c>
      <c r="BJ71" s="2867">
        <f>SUM(Y71:Y88)</f>
        <v>36603333</v>
      </c>
      <c r="BK71" s="2854"/>
      <c r="BL71" s="2863">
        <v>20</v>
      </c>
      <c r="BM71" s="2857" t="s">
        <v>960</v>
      </c>
      <c r="BN71" s="2975">
        <v>43832</v>
      </c>
      <c r="BO71" s="2975">
        <v>43864</v>
      </c>
      <c r="BP71" s="3012">
        <v>44196</v>
      </c>
      <c r="BQ71" s="3012">
        <v>44005</v>
      </c>
      <c r="BR71" s="2950" t="s">
        <v>854</v>
      </c>
      <c r="BS71" s="908"/>
      <c r="BT71" s="908"/>
    </row>
    <row r="72" spans="1:72" s="458" customFormat="1" ht="35.25" customHeight="1" x14ac:dyDescent="0.2">
      <c r="A72" s="2799"/>
      <c r="B72" s="2802"/>
      <c r="C72" s="2803"/>
      <c r="D72" s="2920"/>
      <c r="E72" s="2920"/>
      <c r="F72" s="2920"/>
      <c r="G72" s="908"/>
      <c r="H72" s="928"/>
      <c r="I72" s="929"/>
      <c r="J72" s="2894">
        <v>238</v>
      </c>
      <c r="K72" s="2874" t="s">
        <v>961</v>
      </c>
      <c r="L72" s="2874" t="s">
        <v>962</v>
      </c>
      <c r="M72" s="2894">
        <v>12</v>
      </c>
      <c r="N72" s="2848">
        <v>12</v>
      </c>
      <c r="O72" s="2982"/>
      <c r="P72" s="2809"/>
      <c r="Q72" s="2983"/>
      <c r="R72" s="2961">
        <f>SUM(W72:W76)/S71</f>
        <v>3.9539484273748378E-2</v>
      </c>
      <c r="S72" s="2958"/>
      <c r="T72" s="2819"/>
      <c r="U72" s="2819"/>
      <c r="V72" s="844" t="s">
        <v>963</v>
      </c>
      <c r="W72" s="945">
        <f>25000000-21266666</f>
        <v>3733334</v>
      </c>
      <c r="X72" s="1011">
        <f>5600000-1866666</f>
        <v>3733334</v>
      </c>
      <c r="Y72" s="978">
        <v>1777778</v>
      </c>
      <c r="Z72" s="1012" t="s">
        <v>939</v>
      </c>
      <c r="AA72" s="1013" t="s">
        <v>70</v>
      </c>
      <c r="AB72" s="2990"/>
      <c r="AC72" s="2993"/>
      <c r="AD72" s="2990"/>
      <c r="AE72" s="2990"/>
      <c r="AF72" s="2990"/>
      <c r="AG72" s="2990"/>
      <c r="AH72" s="2973"/>
      <c r="AI72" s="2973"/>
      <c r="AJ72" s="2973"/>
      <c r="AK72" s="2973"/>
      <c r="AL72" s="2973"/>
      <c r="AM72" s="2973"/>
      <c r="AN72" s="2973"/>
      <c r="AO72" s="2973"/>
      <c r="AP72" s="2973"/>
      <c r="AQ72" s="2973"/>
      <c r="AR72" s="3001"/>
      <c r="AS72" s="2999"/>
      <c r="AT72" s="3001"/>
      <c r="AU72" s="2999"/>
      <c r="AV72" s="3001"/>
      <c r="AW72" s="2999"/>
      <c r="AX72" s="3001"/>
      <c r="AY72" s="2999"/>
      <c r="AZ72" s="3001"/>
      <c r="BA72" s="2999"/>
      <c r="BB72" s="3001"/>
      <c r="BC72" s="2999"/>
      <c r="BD72" s="3001"/>
      <c r="BE72" s="2999"/>
      <c r="BF72" s="2858"/>
      <c r="BG72" s="2835"/>
      <c r="BH72" s="3003"/>
      <c r="BI72" s="2865"/>
      <c r="BJ72" s="2868"/>
      <c r="BK72" s="2855"/>
      <c r="BL72" s="2858"/>
      <c r="BM72" s="2896"/>
      <c r="BN72" s="2976"/>
      <c r="BO72" s="2976"/>
      <c r="BP72" s="3013"/>
      <c r="BQ72" s="3013"/>
      <c r="BR72" s="2839"/>
      <c r="BS72" s="846"/>
      <c r="BT72" s="908"/>
    </row>
    <row r="73" spans="1:72" s="458" customFormat="1" ht="35.25" customHeight="1" x14ac:dyDescent="0.2">
      <c r="A73" s="2799"/>
      <c r="B73" s="2802"/>
      <c r="C73" s="2803"/>
      <c r="D73" s="2920"/>
      <c r="E73" s="2920"/>
      <c r="F73" s="2920"/>
      <c r="G73" s="908"/>
      <c r="H73" s="928"/>
      <c r="I73" s="929"/>
      <c r="J73" s="2895"/>
      <c r="K73" s="2893"/>
      <c r="L73" s="2893"/>
      <c r="M73" s="2895"/>
      <c r="N73" s="2849"/>
      <c r="O73" s="2982"/>
      <c r="P73" s="2809"/>
      <c r="Q73" s="2983"/>
      <c r="R73" s="2962"/>
      <c r="S73" s="2958"/>
      <c r="T73" s="2819"/>
      <c r="U73" s="2819"/>
      <c r="V73" s="844" t="s">
        <v>964</v>
      </c>
      <c r="W73" s="945">
        <f>25000000-25000000</f>
        <v>0</v>
      </c>
      <c r="X73" s="1011"/>
      <c r="Y73" s="978"/>
      <c r="Z73" s="1012" t="s">
        <v>939</v>
      </c>
      <c r="AA73" s="1013" t="s">
        <v>70</v>
      </c>
      <c r="AB73" s="2990"/>
      <c r="AC73" s="2993"/>
      <c r="AD73" s="2990"/>
      <c r="AE73" s="2990"/>
      <c r="AF73" s="2990"/>
      <c r="AG73" s="2990"/>
      <c r="AH73" s="2973"/>
      <c r="AI73" s="2973"/>
      <c r="AJ73" s="2973"/>
      <c r="AK73" s="2973"/>
      <c r="AL73" s="2973"/>
      <c r="AM73" s="2973"/>
      <c r="AN73" s="2973"/>
      <c r="AO73" s="2973"/>
      <c r="AP73" s="2973"/>
      <c r="AQ73" s="2973"/>
      <c r="AR73" s="3001"/>
      <c r="AS73" s="2999"/>
      <c r="AT73" s="3001"/>
      <c r="AU73" s="2999"/>
      <c r="AV73" s="3001"/>
      <c r="AW73" s="2999"/>
      <c r="AX73" s="3001"/>
      <c r="AY73" s="2999"/>
      <c r="AZ73" s="3001"/>
      <c r="BA73" s="2999"/>
      <c r="BB73" s="3001"/>
      <c r="BC73" s="2999"/>
      <c r="BD73" s="3001"/>
      <c r="BE73" s="2999"/>
      <c r="BF73" s="2858"/>
      <c r="BG73" s="2835"/>
      <c r="BH73" s="3003"/>
      <c r="BI73" s="2865"/>
      <c r="BJ73" s="2868"/>
      <c r="BK73" s="2855"/>
      <c r="BL73" s="2858"/>
      <c r="BM73" s="2896"/>
      <c r="BN73" s="2976"/>
      <c r="BO73" s="2976"/>
      <c r="BP73" s="3013"/>
      <c r="BQ73" s="3013"/>
      <c r="BR73" s="2839"/>
      <c r="BS73" s="846"/>
      <c r="BT73" s="908"/>
    </row>
    <row r="74" spans="1:72" s="458" customFormat="1" ht="48" customHeight="1" x14ac:dyDescent="0.2">
      <c r="A74" s="2799"/>
      <c r="B74" s="2802"/>
      <c r="C74" s="2803"/>
      <c r="D74" s="2920"/>
      <c r="E74" s="2920"/>
      <c r="F74" s="2920"/>
      <c r="G74" s="908"/>
      <c r="H74" s="928"/>
      <c r="I74" s="929"/>
      <c r="J74" s="2895"/>
      <c r="K74" s="2893"/>
      <c r="L74" s="2893"/>
      <c r="M74" s="2895"/>
      <c r="N74" s="2849"/>
      <c r="O74" s="2982"/>
      <c r="P74" s="2809"/>
      <c r="Q74" s="2983"/>
      <c r="R74" s="2962"/>
      <c r="S74" s="2958"/>
      <c r="T74" s="2819"/>
      <c r="U74" s="2819"/>
      <c r="V74" s="844" t="s">
        <v>965</v>
      </c>
      <c r="W74" s="945">
        <f>15000000-15000000</f>
        <v>0</v>
      </c>
      <c r="X74" s="1011"/>
      <c r="Y74" s="978"/>
      <c r="Z74" s="1012" t="s">
        <v>939</v>
      </c>
      <c r="AA74" s="1013" t="s">
        <v>70</v>
      </c>
      <c r="AB74" s="2990"/>
      <c r="AC74" s="2993"/>
      <c r="AD74" s="2990"/>
      <c r="AE74" s="2990"/>
      <c r="AF74" s="2990"/>
      <c r="AG74" s="2990"/>
      <c r="AH74" s="2973"/>
      <c r="AI74" s="2973"/>
      <c r="AJ74" s="2973"/>
      <c r="AK74" s="2973"/>
      <c r="AL74" s="2973"/>
      <c r="AM74" s="2973"/>
      <c r="AN74" s="2973"/>
      <c r="AO74" s="2973"/>
      <c r="AP74" s="2973"/>
      <c r="AQ74" s="2973"/>
      <c r="AR74" s="3001"/>
      <c r="AS74" s="2999"/>
      <c r="AT74" s="3001"/>
      <c r="AU74" s="2999"/>
      <c r="AV74" s="3001"/>
      <c r="AW74" s="2999"/>
      <c r="AX74" s="3001"/>
      <c r="AY74" s="2999"/>
      <c r="AZ74" s="3001"/>
      <c r="BA74" s="2999"/>
      <c r="BB74" s="3001"/>
      <c r="BC74" s="2999"/>
      <c r="BD74" s="3001"/>
      <c r="BE74" s="2999"/>
      <c r="BF74" s="2858"/>
      <c r="BG74" s="2835"/>
      <c r="BH74" s="3003"/>
      <c r="BI74" s="2865"/>
      <c r="BJ74" s="2868"/>
      <c r="BK74" s="2855"/>
      <c r="BL74" s="2858"/>
      <c r="BM74" s="2896"/>
      <c r="BN74" s="2976"/>
      <c r="BO74" s="2976"/>
      <c r="BP74" s="3013"/>
      <c r="BQ74" s="3013"/>
      <c r="BR74" s="2839"/>
      <c r="BS74" s="908"/>
      <c r="BT74" s="908"/>
    </row>
    <row r="75" spans="1:72" s="458" customFormat="1" ht="33.75" customHeight="1" x14ac:dyDescent="0.2">
      <c r="A75" s="2799"/>
      <c r="B75" s="2802"/>
      <c r="C75" s="2803"/>
      <c r="D75" s="2920"/>
      <c r="E75" s="2920"/>
      <c r="F75" s="2920"/>
      <c r="G75" s="908"/>
      <c r="H75" s="928"/>
      <c r="I75" s="929"/>
      <c r="J75" s="2895"/>
      <c r="K75" s="2893"/>
      <c r="L75" s="2893"/>
      <c r="M75" s="2895"/>
      <c r="N75" s="2849"/>
      <c r="O75" s="2982"/>
      <c r="P75" s="2809"/>
      <c r="Q75" s="2983"/>
      <c r="R75" s="2962"/>
      <c r="S75" s="2958"/>
      <c r="T75" s="2819"/>
      <c r="U75" s="2819"/>
      <c r="V75" s="844" t="s">
        <v>966</v>
      </c>
      <c r="W75" s="945">
        <f>5000000-5000000</f>
        <v>0</v>
      </c>
      <c r="X75" s="1011"/>
      <c r="Y75" s="978"/>
      <c r="Z75" s="1012" t="s">
        <v>939</v>
      </c>
      <c r="AA75" s="1013" t="s">
        <v>70</v>
      </c>
      <c r="AB75" s="2990"/>
      <c r="AC75" s="2993"/>
      <c r="AD75" s="2990"/>
      <c r="AE75" s="2990"/>
      <c r="AF75" s="2990"/>
      <c r="AG75" s="2990"/>
      <c r="AH75" s="2973"/>
      <c r="AI75" s="2973"/>
      <c r="AJ75" s="2973"/>
      <c r="AK75" s="2973"/>
      <c r="AL75" s="2973"/>
      <c r="AM75" s="2973"/>
      <c r="AN75" s="2973"/>
      <c r="AO75" s="2973"/>
      <c r="AP75" s="2973"/>
      <c r="AQ75" s="2973"/>
      <c r="AR75" s="3001"/>
      <c r="AS75" s="2999"/>
      <c r="AT75" s="3001"/>
      <c r="AU75" s="2999"/>
      <c r="AV75" s="3001"/>
      <c r="AW75" s="2999"/>
      <c r="AX75" s="3001"/>
      <c r="AY75" s="2999"/>
      <c r="AZ75" s="3001"/>
      <c r="BA75" s="2999"/>
      <c r="BB75" s="3001"/>
      <c r="BC75" s="2999"/>
      <c r="BD75" s="3001"/>
      <c r="BE75" s="2999"/>
      <c r="BF75" s="2858"/>
      <c r="BG75" s="2835"/>
      <c r="BH75" s="3003"/>
      <c r="BI75" s="2865"/>
      <c r="BJ75" s="2868"/>
      <c r="BK75" s="2855"/>
      <c r="BL75" s="2858"/>
      <c r="BM75" s="2896"/>
      <c r="BN75" s="2976"/>
      <c r="BO75" s="2976"/>
      <c r="BP75" s="3013"/>
      <c r="BQ75" s="3013"/>
      <c r="BR75" s="2839"/>
      <c r="BS75" s="908"/>
      <c r="BT75" s="908"/>
    </row>
    <row r="76" spans="1:72" s="458" customFormat="1" ht="32.25" customHeight="1" x14ac:dyDescent="0.2">
      <c r="A76" s="2799"/>
      <c r="B76" s="2802"/>
      <c r="C76" s="2803"/>
      <c r="D76" s="2920"/>
      <c r="E76" s="2920"/>
      <c r="F76" s="2920"/>
      <c r="G76" s="908"/>
      <c r="H76" s="928"/>
      <c r="I76" s="929"/>
      <c r="J76" s="2895"/>
      <c r="K76" s="2893"/>
      <c r="L76" s="2893"/>
      <c r="M76" s="2895"/>
      <c r="N76" s="2849"/>
      <c r="O76" s="2982"/>
      <c r="P76" s="2809"/>
      <c r="Q76" s="2983"/>
      <c r="R76" s="2962"/>
      <c r="S76" s="2958"/>
      <c r="T76" s="2819"/>
      <c r="U76" s="2819"/>
      <c r="V76" s="840" t="s">
        <v>967</v>
      </c>
      <c r="W76" s="945">
        <f>5000000+10000000-15000000</f>
        <v>0</v>
      </c>
      <c r="X76" s="1011"/>
      <c r="Y76" s="978"/>
      <c r="Z76" s="1012" t="s">
        <v>939</v>
      </c>
      <c r="AA76" s="1013" t="s">
        <v>70</v>
      </c>
      <c r="AB76" s="2990"/>
      <c r="AC76" s="2993"/>
      <c r="AD76" s="2990"/>
      <c r="AE76" s="2990"/>
      <c r="AF76" s="2990"/>
      <c r="AG76" s="2990"/>
      <c r="AH76" s="2973"/>
      <c r="AI76" s="2973"/>
      <c r="AJ76" s="2973"/>
      <c r="AK76" s="2973"/>
      <c r="AL76" s="2973"/>
      <c r="AM76" s="2973"/>
      <c r="AN76" s="2973"/>
      <c r="AO76" s="2973"/>
      <c r="AP76" s="2973"/>
      <c r="AQ76" s="2973"/>
      <c r="AR76" s="3001"/>
      <c r="AS76" s="2999"/>
      <c r="AT76" s="3001"/>
      <c r="AU76" s="2999"/>
      <c r="AV76" s="3001"/>
      <c r="AW76" s="2999"/>
      <c r="AX76" s="3001"/>
      <c r="AY76" s="2999"/>
      <c r="AZ76" s="3001"/>
      <c r="BA76" s="2999"/>
      <c r="BB76" s="3001"/>
      <c r="BC76" s="2999"/>
      <c r="BD76" s="3001"/>
      <c r="BE76" s="2999"/>
      <c r="BF76" s="2858"/>
      <c r="BG76" s="2835"/>
      <c r="BH76" s="3003"/>
      <c r="BI76" s="2865"/>
      <c r="BJ76" s="2868"/>
      <c r="BK76" s="2855"/>
      <c r="BL76" s="2858"/>
      <c r="BM76" s="2896"/>
      <c r="BN76" s="2976"/>
      <c r="BO76" s="2976"/>
      <c r="BP76" s="3013"/>
      <c r="BQ76" s="3013"/>
      <c r="BR76" s="2839"/>
      <c r="BS76" s="908"/>
      <c r="BT76" s="908"/>
    </row>
    <row r="77" spans="1:72" s="458" customFormat="1" ht="42.75" customHeight="1" x14ac:dyDescent="0.2">
      <c r="A77" s="2799"/>
      <c r="B77" s="2802"/>
      <c r="C77" s="2803"/>
      <c r="D77" s="2920"/>
      <c r="E77" s="2920"/>
      <c r="F77" s="2920"/>
      <c r="G77" s="908"/>
      <c r="H77" s="928"/>
      <c r="I77" s="929"/>
      <c r="J77" s="1016">
        <v>239</v>
      </c>
      <c r="K77" s="1017" t="s">
        <v>968</v>
      </c>
      <c r="L77" s="1017" t="s">
        <v>969</v>
      </c>
      <c r="M77" s="1018">
        <v>1.98</v>
      </c>
      <c r="N77" s="1015" t="s">
        <v>970</v>
      </c>
      <c r="O77" s="2982"/>
      <c r="P77" s="2809"/>
      <c r="Q77" s="2983"/>
      <c r="R77" s="1021">
        <f>SUM(W77:W77)/S71</f>
        <v>5.5454106200479851E-2</v>
      </c>
      <c r="S77" s="2958"/>
      <c r="T77" s="2819"/>
      <c r="U77" s="2819"/>
      <c r="V77" s="982" t="s">
        <v>971</v>
      </c>
      <c r="W77" s="1019">
        <f>80000000-74764001</f>
        <v>5235999</v>
      </c>
      <c r="X77" s="1011">
        <f>3733334+3733334+5235999-3733334-3733334</f>
        <v>5235999</v>
      </c>
      <c r="Y77" s="978">
        <v>1400000</v>
      </c>
      <c r="Z77" s="1012" t="s">
        <v>939</v>
      </c>
      <c r="AA77" s="1013" t="s">
        <v>70</v>
      </c>
      <c r="AB77" s="2990"/>
      <c r="AC77" s="2993"/>
      <c r="AD77" s="2990"/>
      <c r="AE77" s="2990"/>
      <c r="AF77" s="2990"/>
      <c r="AG77" s="2990"/>
      <c r="AH77" s="2973"/>
      <c r="AI77" s="2973"/>
      <c r="AJ77" s="2973"/>
      <c r="AK77" s="2973"/>
      <c r="AL77" s="2973"/>
      <c r="AM77" s="2973"/>
      <c r="AN77" s="2973"/>
      <c r="AO77" s="2973"/>
      <c r="AP77" s="2973"/>
      <c r="AQ77" s="2973"/>
      <c r="AR77" s="3001"/>
      <c r="AS77" s="2999"/>
      <c r="AT77" s="3001"/>
      <c r="AU77" s="2999"/>
      <c r="AV77" s="3001"/>
      <c r="AW77" s="2999"/>
      <c r="AX77" s="3001"/>
      <c r="AY77" s="2999"/>
      <c r="AZ77" s="3001"/>
      <c r="BA77" s="2999"/>
      <c r="BB77" s="3001"/>
      <c r="BC77" s="2999"/>
      <c r="BD77" s="3001"/>
      <c r="BE77" s="2999"/>
      <c r="BF77" s="2858"/>
      <c r="BG77" s="2835"/>
      <c r="BH77" s="3003"/>
      <c r="BI77" s="2865"/>
      <c r="BJ77" s="2868"/>
      <c r="BK77" s="2855"/>
      <c r="BL77" s="2858"/>
      <c r="BM77" s="2896"/>
      <c r="BN77" s="2976"/>
      <c r="BO77" s="2976"/>
      <c r="BP77" s="3013"/>
      <c r="BQ77" s="3013"/>
      <c r="BR77" s="2839"/>
      <c r="BS77" s="908"/>
      <c r="BT77" s="908"/>
    </row>
    <row r="78" spans="1:72" s="458" customFormat="1" ht="38.25" customHeight="1" x14ac:dyDescent="0.2">
      <c r="A78" s="2799"/>
      <c r="B78" s="2802"/>
      <c r="C78" s="2803"/>
      <c r="D78" s="2920"/>
      <c r="E78" s="2920"/>
      <c r="F78" s="2920"/>
      <c r="G78" s="908"/>
      <c r="H78" s="928"/>
      <c r="I78" s="929"/>
      <c r="J78" s="3015">
        <v>240</v>
      </c>
      <c r="K78" s="3016" t="s">
        <v>972</v>
      </c>
      <c r="L78" s="3019" t="s">
        <v>973</v>
      </c>
      <c r="M78" s="3020">
        <v>1</v>
      </c>
      <c r="N78" s="3021">
        <v>1</v>
      </c>
      <c r="O78" s="2982"/>
      <c r="P78" s="2809"/>
      <c r="Q78" s="2983"/>
      <c r="R78" s="3004">
        <f>SUM(W78:W88)/S71</f>
        <v>0.76308791822343647</v>
      </c>
      <c r="S78" s="2958"/>
      <c r="T78" s="2819"/>
      <c r="U78" s="2819"/>
      <c r="V78" s="3005" t="s">
        <v>974</v>
      </c>
      <c r="W78" s="3007">
        <f>15000000-4307598</f>
        <v>10692402</v>
      </c>
      <c r="X78" s="2995">
        <v>1600000</v>
      </c>
      <c r="Y78" s="2864">
        <v>533333</v>
      </c>
      <c r="Z78" s="1012" t="s">
        <v>939</v>
      </c>
      <c r="AA78" s="1013" t="s">
        <v>70</v>
      </c>
      <c r="AB78" s="2990"/>
      <c r="AC78" s="2993"/>
      <c r="AD78" s="2990"/>
      <c r="AE78" s="2990"/>
      <c r="AF78" s="2990"/>
      <c r="AG78" s="2990"/>
      <c r="AH78" s="2973"/>
      <c r="AI78" s="2973"/>
      <c r="AJ78" s="2973"/>
      <c r="AK78" s="2973"/>
      <c r="AL78" s="2973"/>
      <c r="AM78" s="2973"/>
      <c r="AN78" s="2973"/>
      <c r="AO78" s="2973"/>
      <c r="AP78" s="2973"/>
      <c r="AQ78" s="2973"/>
      <c r="AR78" s="3001"/>
      <c r="AS78" s="2999"/>
      <c r="AT78" s="3001"/>
      <c r="AU78" s="2999"/>
      <c r="AV78" s="3001"/>
      <c r="AW78" s="2999"/>
      <c r="AX78" s="3001"/>
      <c r="AY78" s="2999"/>
      <c r="AZ78" s="3001"/>
      <c r="BA78" s="2999"/>
      <c r="BB78" s="3001"/>
      <c r="BC78" s="2999"/>
      <c r="BD78" s="3001"/>
      <c r="BE78" s="2999"/>
      <c r="BF78" s="2858"/>
      <c r="BG78" s="2835"/>
      <c r="BH78" s="3003"/>
      <c r="BI78" s="2865"/>
      <c r="BJ78" s="2868"/>
      <c r="BK78" s="2855"/>
      <c r="BL78" s="2858"/>
      <c r="BM78" s="2896"/>
      <c r="BN78" s="2976"/>
      <c r="BO78" s="2976"/>
      <c r="BP78" s="3013"/>
      <c r="BQ78" s="3013"/>
      <c r="BR78" s="2839"/>
      <c r="BS78" s="908"/>
      <c r="BT78" s="908"/>
    </row>
    <row r="79" spans="1:72" s="458" customFormat="1" ht="38.25" customHeight="1" x14ac:dyDescent="0.2">
      <c r="A79" s="2799"/>
      <c r="B79" s="2802"/>
      <c r="C79" s="2803"/>
      <c r="D79" s="2920"/>
      <c r="E79" s="2920"/>
      <c r="F79" s="2920"/>
      <c r="G79" s="908"/>
      <c r="H79" s="928"/>
      <c r="I79" s="929"/>
      <c r="J79" s="3015"/>
      <c r="K79" s="3016"/>
      <c r="L79" s="3019"/>
      <c r="M79" s="3020"/>
      <c r="N79" s="3021"/>
      <c r="O79" s="2982"/>
      <c r="P79" s="2809"/>
      <c r="Q79" s="2983"/>
      <c r="R79" s="3004"/>
      <c r="S79" s="2958"/>
      <c r="T79" s="2819"/>
      <c r="U79" s="2819"/>
      <c r="V79" s="3006"/>
      <c r="W79" s="3008"/>
      <c r="X79" s="2996"/>
      <c r="Y79" s="2866"/>
      <c r="Z79" s="1012" t="s">
        <v>939</v>
      </c>
      <c r="AA79" s="1013" t="s">
        <v>70</v>
      </c>
      <c r="AB79" s="2990"/>
      <c r="AC79" s="2993"/>
      <c r="AD79" s="2990"/>
      <c r="AE79" s="2990"/>
      <c r="AF79" s="2990"/>
      <c r="AG79" s="2990"/>
      <c r="AH79" s="2973"/>
      <c r="AI79" s="2973"/>
      <c r="AJ79" s="2973"/>
      <c r="AK79" s="2973"/>
      <c r="AL79" s="2973"/>
      <c r="AM79" s="2973"/>
      <c r="AN79" s="2973"/>
      <c r="AO79" s="2973"/>
      <c r="AP79" s="2973"/>
      <c r="AQ79" s="2973"/>
      <c r="AR79" s="3001"/>
      <c r="AS79" s="2999"/>
      <c r="AT79" s="3001"/>
      <c r="AU79" s="2999"/>
      <c r="AV79" s="3001"/>
      <c r="AW79" s="2999"/>
      <c r="AX79" s="3001"/>
      <c r="AY79" s="2999"/>
      <c r="AZ79" s="3001"/>
      <c r="BA79" s="2999"/>
      <c r="BB79" s="3001"/>
      <c r="BC79" s="2999"/>
      <c r="BD79" s="3001"/>
      <c r="BE79" s="2999"/>
      <c r="BF79" s="2858"/>
      <c r="BG79" s="2835"/>
      <c r="BH79" s="3003"/>
      <c r="BI79" s="2865"/>
      <c r="BJ79" s="2868"/>
      <c r="BK79" s="2855"/>
      <c r="BL79" s="2858"/>
      <c r="BM79" s="2896"/>
      <c r="BN79" s="2976"/>
      <c r="BO79" s="2976"/>
      <c r="BP79" s="3013"/>
      <c r="BQ79" s="3013"/>
      <c r="BR79" s="2839"/>
      <c r="BS79" s="908"/>
      <c r="BT79" s="908"/>
    </row>
    <row r="80" spans="1:72" s="458" customFormat="1" ht="38.25" customHeight="1" x14ac:dyDescent="0.2">
      <c r="A80" s="2799"/>
      <c r="B80" s="2802"/>
      <c r="C80" s="2803"/>
      <c r="D80" s="2920"/>
      <c r="E80" s="2920"/>
      <c r="F80" s="2920"/>
      <c r="G80" s="908"/>
      <c r="H80" s="928"/>
      <c r="I80" s="929"/>
      <c r="J80" s="3015"/>
      <c r="K80" s="3016"/>
      <c r="L80" s="3019"/>
      <c r="M80" s="3020"/>
      <c r="N80" s="3021"/>
      <c r="O80" s="2982"/>
      <c r="P80" s="2809"/>
      <c r="Q80" s="2983"/>
      <c r="R80" s="3004"/>
      <c r="S80" s="2958"/>
      <c r="T80" s="2819"/>
      <c r="U80" s="2819"/>
      <c r="V80" s="844" t="s">
        <v>975</v>
      </c>
      <c r="W80" s="1019">
        <f>25000000-25000000</f>
        <v>0</v>
      </c>
      <c r="X80" s="1011"/>
      <c r="Y80" s="978"/>
      <c r="Z80" s="1012" t="s">
        <v>939</v>
      </c>
      <c r="AA80" s="1013" t="s">
        <v>70</v>
      </c>
      <c r="AB80" s="2990"/>
      <c r="AC80" s="2993"/>
      <c r="AD80" s="2990"/>
      <c r="AE80" s="2990"/>
      <c r="AF80" s="2990"/>
      <c r="AG80" s="2990"/>
      <c r="AH80" s="2973"/>
      <c r="AI80" s="2973"/>
      <c r="AJ80" s="2973"/>
      <c r="AK80" s="2973"/>
      <c r="AL80" s="2973"/>
      <c r="AM80" s="2973"/>
      <c r="AN80" s="2973"/>
      <c r="AO80" s="2973"/>
      <c r="AP80" s="2973"/>
      <c r="AQ80" s="2973"/>
      <c r="AR80" s="3001"/>
      <c r="AS80" s="2999"/>
      <c r="AT80" s="3001"/>
      <c r="AU80" s="2999"/>
      <c r="AV80" s="3001"/>
      <c r="AW80" s="2999"/>
      <c r="AX80" s="3001"/>
      <c r="AY80" s="2999"/>
      <c r="AZ80" s="3001"/>
      <c r="BA80" s="2999"/>
      <c r="BB80" s="3001"/>
      <c r="BC80" s="2999"/>
      <c r="BD80" s="3001"/>
      <c r="BE80" s="2999"/>
      <c r="BF80" s="2858"/>
      <c r="BG80" s="2835"/>
      <c r="BH80" s="3003"/>
      <c r="BI80" s="2865"/>
      <c r="BJ80" s="2868"/>
      <c r="BK80" s="2855"/>
      <c r="BL80" s="2858"/>
      <c r="BM80" s="2896"/>
      <c r="BN80" s="2976"/>
      <c r="BO80" s="2976"/>
      <c r="BP80" s="3013"/>
      <c r="BQ80" s="3013"/>
      <c r="BR80" s="2839"/>
      <c r="BS80" s="908"/>
      <c r="BT80" s="908"/>
    </row>
    <row r="81" spans="1:72" s="458" customFormat="1" ht="38.25" customHeight="1" x14ac:dyDescent="0.2">
      <c r="A81" s="2799"/>
      <c r="B81" s="2802"/>
      <c r="C81" s="2803"/>
      <c r="D81" s="2920"/>
      <c r="E81" s="2920"/>
      <c r="F81" s="2920"/>
      <c r="G81" s="908"/>
      <c r="H81" s="928"/>
      <c r="I81" s="929"/>
      <c r="J81" s="3015"/>
      <c r="K81" s="3016"/>
      <c r="L81" s="3019"/>
      <c r="M81" s="3020"/>
      <c r="N81" s="3021"/>
      <c r="O81" s="2982"/>
      <c r="P81" s="2809"/>
      <c r="Q81" s="2983"/>
      <c r="R81" s="3004"/>
      <c r="S81" s="2958"/>
      <c r="T81" s="2819"/>
      <c r="U81" s="2819"/>
      <c r="V81" s="844" t="s">
        <v>976</v>
      </c>
      <c r="W81" s="945">
        <f>100000000-20000000-80000000</f>
        <v>0</v>
      </c>
      <c r="X81" s="1011"/>
      <c r="Y81" s="978"/>
      <c r="Z81" s="1012" t="s">
        <v>939</v>
      </c>
      <c r="AA81" s="1013" t="s">
        <v>70</v>
      </c>
      <c r="AB81" s="2990"/>
      <c r="AC81" s="2993"/>
      <c r="AD81" s="2990"/>
      <c r="AE81" s="2990"/>
      <c r="AF81" s="2990"/>
      <c r="AG81" s="2990"/>
      <c r="AH81" s="2973"/>
      <c r="AI81" s="2973"/>
      <c r="AJ81" s="2973"/>
      <c r="AK81" s="2973"/>
      <c r="AL81" s="2973"/>
      <c r="AM81" s="2973"/>
      <c r="AN81" s="2973"/>
      <c r="AO81" s="2973"/>
      <c r="AP81" s="2973"/>
      <c r="AQ81" s="2973"/>
      <c r="AR81" s="3001"/>
      <c r="AS81" s="2999"/>
      <c r="AT81" s="3001"/>
      <c r="AU81" s="2999"/>
      <c r="AV81" s="3001"/>
      <c r="AW81" s="2999"/>
      <c r="AX81" s="3001"/>
      <c r="AY81" s="2999"/>
      <c r="AZ81" s="3001"/>
      <c r="BA81" s="2999"/>
      <c r="BB81" s="3001"/>
      <c r="BC81" s="2999"/>
      <c r="BD81" s="3001"/>
      <c r="BE81" s="2999"/>
      <c r="BF81" s="2858"/>
      <c r="BG81" s="2835"/>
      <c r="BH81" s="3003"/>
      <c r="BI81" s="2865"/>
      <c r="BJ81" s="2868"/>
      <c r="BK81" s="2855"/>
      <c r="BL81" s="2858"/>
      <c r="BM81" s="2896"/>
      <c r="BN81" s="2976"/>
      <c r="BO81" s="2976"/>
      <c r="BP81" s="3013"/>
      <c r="BQ81" s="3013"/>
      <c r="BR81" s="2839"/>
      <c r="BS81" s="908"/>
      <c r="BT81" s="908"/>
    </row>
    <row r="82" spans="1:72" s="458" customFormat="1" ht="30.75" customHeight="1" x14ac:dyDescent="0.2">
      <c r="A82" s="2799"/>
      <c r="B82" s="2802"/>
      <c r="C82" s="2803"/>
      <c r="D82" s="2920"/>
      <c r="E82" s="2920"/>
      <c r="F82" s="2920"/>
      <c r="G82" s="908"/>
      <c r="H82" s="928"/>
      <c r="I82" s="929"/>
      <c r="J82" s="3015"/>
      <c r="K82" s="3016"/>
      <c r="L82" s="3019"/>
      <c r="M82" s="3020"/>
      <c r="N82" s="3021"/>
      <c r="O82" s="2982"/>
      <c r="P82" s="2809"/>
      <c r="Q82" s="2983"/>
      <c r="R82" s="3004"/>
      <c r="S82" s="2958"/>
      <c r="T82" s="2819"/>
      <c r="U82" s="2819"/>
      <c r="V82" s="844" t="s">
        <v>977</v>
      </c>
      <c r="W82" s="945">
        <f>99999999.99-25000000-62208000+0.01</f>
        <v>12791999.999999994</v>
      </c>
      <c r="X82" s="1011">
        <v>11192000</v>
      </c>
      <c r="Y82" s="978">
        <v>8400000</v>
      </c>
      <c r="Z82" s="1012" t="s">
        <v>939</v>
      </c>
      <c r="AA82" s="1013" t="s">
        <v>70</v>
      </c>
      <c r="AB82" s="2990"/>
      <c r="AC82" s="2993"/>
      <c r="AD82" s="2990"/>
      <c r="AE82" s="2990"/>
      <c r="AF82" s="2990"/>
      <c r="AG82" s="2990"/>
      <c r="AH82" s="2973"/>
      <c r="AI82" s="2973"/>
      <c r="AJ82" s="2973"/>
      <c r="AK82" s="2973"/>
      <c r="AL82" s="2973"/>
      <c r="AM82" s="2973"/>
      <c r="AN82" s="2973"/>
      <c r="AO82" s="2973"/>
      <c r="AP82" s="2973"/>
      <c r="AQ82" s="2973"/>
      <c r="AR82" s="3001"/>
      <c r="AS82" s="2999"/>
      <c r="AT82" s="3001"/>
      <c r="AU82" s="2999"/>
      <c r="AV82" s="3001"/>
      <c r="AW82" s="2999"/>
      <c r="AX82" s="3001"/>
      <c r="AY82" s="2999"/>
      <c r="AZ82" s="3001"/>
      <c r="BA82" s="2999"/>
      <c r="BB82" s="3001"/>
      <c r="BC82" s="2999"/>
      <c r="BD82" s="3001"/>
      <c r="BE82" s="2999"/>
      <c r="BF82" s="2858"/>
      <c r="BG82" s="2835"/>
      <c r="BH82" s="3003"/>
      <c r="BI82" s="2865"/>
      <c r="BJ82" s="2868"/>
      <c r="BK82" s="2855"/>
      <c r="BL82" s="2858"/>
      <c r="BM82" s="2896"/>
      <c r="BN82" s="2976"/>
      <c r="BO82" s="2976"/>
      <c r="BP82" s="3013"/>
      <c r="BQ82" s="3013"/>
      <c r="BR82" s="2839"/>
      <c r="BS82" s="908"/>
      <c r="BT82" s="908"/>
    </row>
    <row r="83" spans="1:72" s="458" customFormat="1" ht="30.75" customHeight="1" x14ac:dyDescent="0.2">
      <c r="A83" s="2799"/>
      <c r="B83" s="2802"/>
      <c r="C83" s="2803"/>
      <c r="D83" s="2920"/>
      <c r="E83" s="2920"/>
      <c r="F83" s="2920"/>
      <c r="G83" s="908"/>
      <c r="H83" s="928"/>
      <c r="I83" s="929"/>
      <c r="J83" s="3015"/>
      <c r="K83" s="3016"/>
      <c r="L83" s="3019"/>
      <c r="M83" s="3020"/>
      <c r="N83" s="3021"/>
      <c r="O83" s="2982"/>
      <c r="P83" s="2809"/>
      <c r="Q83" s="2983"/>
      <c r="R83" s="3004"/>
      <c r="S83" s="2958"/>
      <c r="T83" s="2819"/>
      <c r="U83" s="2819"/>
      <c r="V83" s="844" t="s">
        <v>978</v>
      </c>
      <c r="W83" s="945">
        <f>20000000-9166667</f>
        <v>10833333</v>
      </c>
      <c r="X83" s="1011">
        <v>10833333</v>
      </c>
      <c r="Y83" s="978">
        <v>4044445</v>
      </c>
      <c r="Z83" s="1012" t="s">
        <v>939</v>
      </c>
      <c r="AA83" s="1013" t="s">
        <v>70</v>
      </c>
      <c r="AB83" s="2990"/>
      <c r="AC83" s="2993"/>
      <c r="AD83" s="2990"/>
      <c r="AE83" s="2990"/>
      <c r="AF83" s="2990"/>
      <c r="AG83" s="2990"/>
      <c r="AH83" s="2973"/>
      <c r="AI83" s="2973"/>
      <c r="AJ83" s="2973"/>
      <c r="AK83" s="2973"/>
      <c r="AL83" s="2973"/>
      <c r="AM83" s="2973"/>
      <c r="AN83" s="2973"/>
      <c r="AO83" s="2973"/>
      <c r="AP83" s="2973"/>
      <c r="AQ83" s="2973"/>
      <c r="AR83" s="3001"/>
      <c r="AS83" s="2999"/>
      <c r="AT83" s="3001"/>
      <c r="AU83" s="2999"/>
      <c r="AV83" s="3001"/>
      <c r="AW83" s="2999"/>
      <c r="AX83" s="3001"/>
      <c r="AY83" s="2999"/>
      <c r="AZ83" s="3001"/>
      <c r="BA83" s="2999"/>
      <c r="BB83" s="3001"/>
      <c r="BC83" s="2999"/>
      <c r="BD83" s="3001"/>
      <c r="BE83" s="2999"/>
      <c r="BF83" s="2858"/>
      <c r="BG83" s="2835"/>
      <c r="BH83" s="3003"/>
      <c r="BI83" s="2865"/>
      <c r="BJ83" s="2868"/>
      <c r="BK83" s="2855"/>
      <c r="BL83" s="2858"/>
      <c r="BM83" s="2896"/>
      <c r="BN83" s="2976"/>
      <c r="BO83" s="2976"/>
      <c r="BP83" s="3013"/>
      <c r="BQ83" s="3013"/>
      <c r="BR83" s="2839"/>
      <c r="BS83" s="908"/>
      <c r="BT83" s="908"/>
    </row>
    <row r="84" spans="1:72" s="458" customFormat="1" ht="30.75" customHeight="1" x14ac:dyDescent="0.2">
      <c r="A84" s="2799"/>
      <c r="B84" s="2802"/>
      <c r="C84" s="2803"/>
      <c r="D84" s="2920"/>
      <c r="E84" s="2920"/>
      <c r="F84" s="2920"/>
      <c r="G84" s="908"/>
      <c r="H84" s="928"/>
      <c r="I84" s="929"/>
      <c r="J84" s="3015"/>
      <c r="K84" s="3016"/>
      <c r="L84" s="3019"/>
      <c r="M84" s="3020"/>
      <c r="N84" s="3021"/>
      <c r="O84" s="2982"/>
      <c r="P84" s="2809"/>
      <c r="Q84" s="2983"/>
      <c r="R84" s="3004"/>
      <c r="S84" s="2958"/>
      <c r="T84" s="2819"/>
      <c r="U84" s="2819"/>
      <c r="V84" s="3009" t="s">
        <v>979</v>
      </c>
      <c r="W84" s="3007">
        <f>40000000+10000000-12266667</f>
        <v>37733333</v>
      </c>
      <c r="X84" s="2995">
        <v>36333334</v>
      </c>
      <c r="Y84" s="2864">
        <v>17647777</v>
      </c>
      <c r="Z84" s="1012" t="s">
        <v>939</v>
      </c>
      <c r="AA84" s="1013" t="s">
        <v>70</v>
      </c>
      <c r="AB84" s="2990"/>
      <c r="AC84" s="2993"/>
      <c r="AD84" s="2990"/>
      <c r="AE84" s="2990"/>
      <c r="AF84" s="2990"/>
      <c r="AG84" s="2990"/>
      <c r="AH84" s="2973"/>
      <c r="AI84" s="2973"/>
      <c r="AJ84" s="2973"/>
      <c r="AK84" s="2973"/>
      <c r="AL84" s="2973"/>
      <c r="AM84" s="2973"/>
      <c r="AN84" s="2973"/>
      <c r="AO84" s="2973"/>
      <c r="AP84" s="2973"/>
      <c r="AQ84" s="2973"/>
      <c r="AR84" s="3001"/>
      <c r="AS84" s="2999"/>
      <c r="AT84" s="3001"/>
      <c r="AU84" s="2999"/>
      <c r="AV84" s="3001"/>
      <c r="AW84" s="2999"/>
      <c r="AX84" s="3001"/>
      <c r="AY84" s="2999"/>
      <c r="AZ84" s="3001"/>
      <c r="BA84" s="2999"/>
      <c r="BB84" s="3001"/>
      <c r="BC84" s="2999"/>
      <c r="BD84" s="3001"/>
      <c r="BE84" s="2999"/>
      <c r="BF84" s="2858"/>
      <c r="BG84" s="2835"/>
      <c r="BH84" s="3003"/>
      <c r="BI84" s="2865"/>
      <c r="BJ84" s="2868"/>
      <c r="BK84" s="2855"/>
      <c r="BL84" s="2858"/>
      <c r="BM84" s="2896"/>
      <c r="BN84" s="2976"/>
      <c r="BO84" s="2976"/>
      <c r="BP84" s="3013"/>
      <c r="BQ84" s="3013"/>
      <c r="BR84" s="2839"/>
      <c r="BS84" s="908"/>
      <c r="BT84" s="908"/>
    </row>
    <row r="85" spans="1:72" s="458" customFormat="1" ht="30.75" customHeight="1" x14ac:dyDescent="0.2">
      <c r="A85" s="2799"/>
      <c r="B85" s="2802"/>
      <c r="C85" s="2803"/>
      <c r="D85" s="2920"/>
      <c r="E85" s="2920"/>
      <c r="F85" s="2920"/>
      <c r="G85" s="908"/>
      <c r="H85" s="928"/>
      <c r="I85" s="929"/>
      <c r="J85" s="3015"/>
      <c r="K85" s="3016"/>
      <c r="L85" s="3019"/>
      <c r="M85" s="3020"/>
      <c r="N85" s="3021"/>
      <c r="O85" s="2982"/>
      <c r="P85" s="2809"/>
      <c r="Q85" s="2983"/>
      <c r="R85" s="3004"/>
      <c r="S85" s="2958"/>
      <c r="T85" s="2819"/>
      <c r="U85" s="2819"/>
      <c r="V85" s="2659"/>
      <c r="W85" s="3011"/>
      <c r="X85" s="2997"/>
      <c r="Y85" s="2865"/>
      <c r="Z85" s="1012" t="s">
        <v>939</v>
      </c>
      <c r="AA85" s="1013" t="s">
        <v>70</v>
      </c>
      <c r="AB85" s="2990"/>
      <c r="AC85" s="2993"/>
      <c r="AD85" s="2990"/>
      <c r="AE85" s="2990"/>
      <c r="AF85" s="2990"/>
      <c r="AG85" s="2990"/>
      <c r="AH85" s="2973"/>
      <c r="AI85" s="2973"/>
      <c r="AJ85" s="2973"/>
      <c r="AK85" s="2973"/>
      <c r="AL85" s="2973"/>
      <c r="AM85" s="2973"/>
      <c r="AN85" s="2973"/>
      <c r="AO85" s="2973"/>
      <c r="AP85" s="2973"/>
      <c r="AQ85" s="2973"/>
      <c r="AR85" s="3001"/>
      <c r="AS85" s="2999"/>
      <c r="AT85" s="3001"/>
      <c r="AU85" s="2999"/>
      <c r="AV85" s="3001"/>
      <c r="AW85" s="2999"/>
      <c r="AX85" s="3001"/>
      <c r="AY85" s="2999"/>
      <c r="AZ85" s="3001"/>
      <c r="BA85" s="2999"/>
      <c r="BB85" s="3001"/>
      <c r="BC85" s="2999"/>
      <c r="BD85" s="3001"/>
      <c r="BE85" s="2999"/>
      <c r="BF85" s="2858"/>
      <c r="BG85" s="2835"/>
      <c r="BH85" s="3003"/>
      <c r="BI85" s="2865"/>
      <c r="BJ85" s="2868"/>
      <c r="BK85" s="2855"/>
      <c r="BL85" s="2858"/>
      <c r="BM85" s="2896"/>
      <c r="BN85" s="2976"/>
      <c r="BO85" s="2976"/>
      <c r="BP85" s="3013"/>
      <c r="BQ85" s="3013"/>
      <c r="BR85" s="2839"/>
      <c r="BS85" s="908"/>
      <c r="BT85" s="908"/>
    </row>
    <row r="86" spans="1:72" s="458" customFormat="1" ht="30.75" customHeight="1" x14ac:dyDescent="0.2">
      <c r="A86" s="2799"/>
      <c r="B86" s="2802"/>
      <c r="C86" s="2803"/>
      <c r="D86" s="2920"/>
      <c r="E86" s="2920"/>
      <c r="F86" s="2920"/>
      <c r="G86" s="908"/>
      <c r="H86" s="928"/>
      <c r="I86" s="929"/>
      <c r="J86" s="3015"/>
      <c r="K86" s="3016"/>
      <c r="L86" s="3019"/>
      <c r="M86" s="3020"/>
      <c r="N86" s="3021"/>
      <c r="O86" s="2982"/>
      <c r="P86" s="2809"/>
      <c r="Q86" s="2983"/>
      <c r="R86" s="3004"/>
      <c r="S86" s="2958"/>
      <c r="T86" s="2819"/>
      <c r="U86" s="2819"/>
      <c r="V86" s="2659"/>
      <c r="W86" s="3011"/>
      <c r="X86" s="2997"/>
      <c r="Y86" s="2865"/>
      <c r="Z86" s="1012" t="s">
        <v>939</v>
      </c>
      <c r="AA86" s="1013" t="s">
        <v>70</v>
      </c>
      <c r="AB86" s="2990"/>
      <c r="AC86" s="2993"/>
      <c r="AD86" s="2990"/>
      <c r="AE86" s="2990"/>
      <c r="AF86" s="2990"/>
      <c r="AG86" s="2990"/>
      <c r="AH86" s="2973"/>
      <c r="AI86" s="2973"/>
      <c r="AJ86" s="2973"/>
      <c r="AK86" s="2973"/>
      <c r="AL86" s="2973"/>
      <c r="AM86" s="2973"/>
      <c r="AN86" s="2973"/>
      <c r="AO86" s="2973"/>
      <c r="AP86" s="2973"/>
      <c r="AQ86" s="2973"/>
      <c r="AR86" s="3001"/>
      <c r="AS86" s="2999"/>
      <c r="AT86" s="3001"/>
      <c r="AU86" s="2999"/>
      <c r="AV86" s="3001"/>
      <c r="AW86" s="2999"/>
      <c r="AX86" s="3001"/>
      <c r="AY86" s="2999"/>
      <c r="AZ86" s="3001"/>
      <c r="BA86" s="2999"/>
      <c r="BB86" s="3001"/>
      <c r="BC86" s="2999"/>
      <c r="BD86" s="3001"/>
      <c r="BE86" s="2999"/>
      <c r="BF86" s="2858"/>
      <c r="BG86" s="2835"/>
      <c r="BH86" s="3003"/>
      <c r="BI86" s="2865"/>
      <c r="BJ86" s="2868"/>
      <c r="BK86" s="2855"/>
      <c r="BL86" s="2858"/>
      <c r="BM86" s="2896"/>
      <c r="BN86" s="2976"/>
      <c r="BO86" s="2976"/>
      <c r="BP86" s="3013"/>
      <c r="BQ86" s="3013"/>
      <c r="BR86" s="2839"/>
      <c r="BS86" s="908"/>
      <c r="BT86" s="908"/>
    </row>
    <row r="87" spans="1:72" s="458" customFormat="1" ht="33" customHeight="1" x14ac:dyDescent="0.2">
      <c r="A87" s="2799"/>
      <c r="B87" s="2802"/>
      <c r="C87" s="2803"/>
      <c r="D87" s="2920"/>
      <c r="E87" s="2920"/>
      <c r="F87" s="2920"/>
      <c r="G87" s="908"/>
      <c r="H87" s="928"/>
      <c r="I87" s="929"/>
      <c r="J87" s="3015"/>
      <c r="K87" s="3016"/>
      <c r="L87" s="3019"/>
      <c r="M87" s="3020"/>
      <c r="N87" s="3021"/>
      <c r="O87" s="2982"/>
      <c r="P87" s="2809"/>
      <c r="Q87" s="2983"/>
      <c r="R87" s="3004"/>
      <c r="S87" s="2958"/>
      <c r="T87" s="2819"/>
      <c r="U87" s="2819"/>
      <c r="V87" s="3010"/>
      <c r="W87" s="3008"/>
      <c r="X87" s="2996"/>
      <c r="Y87" s="2866"/>
      <c r="Z87" s="1012" t="s">
        <v>939</v>
      </c>
      <c r="AA87" s="1013" t="s">
        <v>70</v>
      </c>
      <c r="AB87" s="2990"/>
      <c r="AC87" s="2993"/>
      <c r="AD87" s="2990"/>
      <c r="AE87" s="2990"/>
      <c r="AF87" s="2990"/>
      <c r="AG87" s="2990"/>
      <c r="AH87" s="2973"/>
      <c r="AI87" s="2973"/>
      <c r="AJ87" s="2973"/>
      <c r="AK87" s="2973"/>
      <c r="AL87" s="2973"/>
      <c r="AM87" s="2973"/>
      <c r="AN87" s="2973"/>
      <c r="AO87" s="2973"/>
      <c r="AP87" s="2973"/>
      <c r="AQ87" s="2973"/>
      <c r="AR87" s="3001"/>
      <c r="AS87" s="2999"/>
      <c r="AT87" s="3001"/>
      <c r="AU87" s="2999"/>
      <c r="AV87" s="3001"/>
      <c r="AW87" s="2999"/>
      <c r="AX87" s="3001"/>
      <c r="AY87" s="2999"/>
      <c r="AZ87" s="3001"/>
      <c r="BA87" s="2999"/>
      <c r="BB87" s="3001"/>
      <c r="BC87" s="2999"/>
      <c r="BD87" s="3001"/>
      <c r="BE87" s="2999"/>
      <c r="BF87" s="2858"/>
      <c r="BG87" s="2835"/>
      <c r="BH87" s="3003"/>
      <c r="BI87" s="2865"/>
      <c r="BJ87" s="2868"/>
      <c r="BK87" s="2855"/>
      <c r="BL87" s="2858"/>
      <c r="BM87" s="2896"/>
      <c r="BN87" s="2976"/>
      <c r="BO87" s="2976"/>
      <c r="BP87" s="3013"/>
      <c r="BQ87" s="3013"/>
      <c r="BR87" s="2839"/>
      <c r="BS87" s="908"/>
      <c r="BT87" s="908"/>
    </row>
    <row r="88" spans="1:72" s="458" customFormat="1" ht="37.5" customHeight="1" x14ac:dyDescent="0.2">
      <c r="A88" s="2799"/>
      <c r="B88" s="2802"/>
      <c r="C88" s="2803"/>
      <c r="D88" s="2920"/>
      <c r="E88" s="2920"/>
      <c r="F88" s="2920"/>
      <c r="G88" s="908"/>
      <c r="H88" s="928"/>
      <c r="I88" s="929"/>
      <c r="J88" s="3015"/>
      <c r="K88" s="3016"/>
      <c r="L88" s="3019"/>
      <c r="M88" s="3020"/>
      <c r="N88" s="3021"/>
      <c r="O88" s="2982"/>
      <c r="P88" s="2809"/>
      <c r="Q88" s="2983"/>
      <c r="R88" s="3004"/>
      <c r="S88" s="2958"/>
      <c r="T88" s="2819"/>
      <c r="U88" s="2819"/>
      <c r="V88" s="847" t="s">
        <v>864</v>
      </c>
      <c r="W88" s="1019">
        <f>10000000+25000000-35000000</f>
        <v>0</v>
      </c>
      <c r="X88" s="1022"/>
      <c r="Y88" s="978"/>
      <c r="Z88" s="1012" t="s">
        <v>939</v>
      </c>
      <c r="AA88" s="1023" t="s">
        <v>70</v>
      </c>
      <c r="AB88" s="2991"/>
      <c r="AC88" s="2994"/>
      <c r="AD88" s="2991"/>
      <c r="AE88" s="2991"/>
      <c r="AF88" s="2991"/>
      <c r="AG88" s="2991"/>
      <c r="AH88" s="2973"/>
      <c r="AI88" s="2973"/>
      <c r="AJ88" s="2973"/>
      <c r="AK88" s="2973"/>
      <c r="AL88" s="2973"/>
      <c r="AM88" s="2973"/>
      <c r="AN88" s="2973"/>
      <c r="AO88" s="2973"/>
      <c r="AP88" s="2973"/>
      <c r="AQ88" s="2973"/>
      <c r="AR88" s="3001"/>
      <c r="AS88" s="2999"/>
      <c r="AT88" s="3001"/>
      <c r="AU88" s="2999"/>
      <c r="AV88" s="3001"/>
      <c r="AW88" s="2999"/>
      <c r="AX88" s="3001"/>
      <c r="AY88" s="2999"/>
      <c r="AZ88" s="3001"/>
      <c r="BA88" s="2999"/>
      <c r="BB88" s="3001"/>
      <c r="BC88" s="2999"/>
      <c r="BD88" s="3001"/>
      <c r="BE88" s="2999"/>
      <c r="BF88" s="2858"/>
      <c r="BG88" s="2835"/>
      <c r="BH88" s="3003"/>
      <c r="BI88" s="2865"/>
      <c r="BJ88" s="2868"/>
      <c r="BK88" s="2855"/>
      <c r="BL88" s="2858"/>
      <c r="BM88" s="2897"/>
      <c r="BN88" s="2977"/>
      <c r="BO88" s="2977"/>
      <c r="BP88" s="3014"/>
      <c r="BQ88" s="3014"/>
      <c r="BR88" s="2839"/>
      <c r="BS88" s="908"/>
      <c r="BT88" s="908"/>
    </row>
    <row r="89" spans="1:72" s="908" customFormat="1" ht="24" customHeight="1" x14ac:dyDescent="0.2">
      <c r="A89" s="2799"/>
      <c r="B89" s="2802"/>
      <c r="C89" s="2803"/>
      <c r="D89" s="2920"/>
      <c r="E89" s="2920"/>
      <c r="F89" s="2920"/>
      <c r="G89" s="909">
        <v>82</v>
      </c>
      <c r="H89" s="286" t="s">
        <v>980</v>
      </c>
      <c r="I89" s="286"/>
      <c r="J89" s="988"/>
      <c r="K89" s="989"/>
      <c r="L89" s="990"/>
      <c r="M89" s="324"/>
      <c r="N89" s="1024"/>
      <c r="O89" s="554"/>
      <c r="P89" s="295"/>
      <c r="Q89" s="287"/>
      <c r="R89" s="992"/>
      <c r="S89" s="993"/>
      <c r="T89" s="990"/>
      <c r="U89" s="989"/>
      <c r="V89" s="989"/>
      <c r="W89" s="971"/>
      <c r="X89" s="971"/>
      <c r="Y89" s="971"/>
      <c r="Z89" s="972"/>
      <c r="AA89" s="972"/>
      <c r="AB89" s="973"/>
      <c r="AC89" s="974"/>
      <c r="AD89" s="973"/>
      <c r="AE89" s="974"/>
      <c r="AF89" s="973"/>
      <c r="AG89" s="974"/>
      <c r="AH89" s="973"/>
      <c r="AI89" s="974"/>
      <c r="AJ89" s="973"/>
      <c r="AK89" s="974"/>
      <c r="AL89" s="973"/>
      <c r="AM89" s="974"/>
      <c r="AN89" s="973"/>
      <c r="AO89" s="974"/>
      <c r="AP89" s="973"/>
      <c r="AQ89" s="974"/>
      <c r="AR89" s="973"/>
      <c r="AS89" s="974"/>
      <c r="AT89" s="973"/>
      <c r="AU89" s="974"/>
      <c r="AV89" s="973"/>
      <c r="AW89" s="974"/>
      <c r="AX89" s="973"/>
      <c r="AY89" s="974"/>
      <c r="AZ89" s="973"/>
      <c r="BA89" s="974"/>
      <c r="BB89" s="973"/>
      <c r="BC89" s="974"/>
      <c r="BD89" s="287"/>
      <c r="BE89" s="1025"/>
      <c r="BF89" s="287"/>
      <c r="BG89" s="1025"/>
      <c r="BH89" s="287"/>
      <c r="BI89" s="1026"/>
      <c r="BJ89" s="1026"/>
      <c r="BK89" s="287"/>
      <c r="BL89" s="287"/>
      <c r="BM89" s="287"/>
      <c r="BN89" s="287"/>
      <c r="BO89" s="287"/>
      <c r="BP89" s="287"/>
      <c r="BQ89" s="287"/>
      <c r="BR89" s="1027"/>
    </row>
    <row r="90" spans="1:72" s="458" customFormat="1" ht="65.25" customHeight="1" x14ac:dyDescent="0.2">
      <c r="A90" s="2799"/>
      <c r="B90" s="2802"/>
      <c r="C90" s="2803"/>
      <c r="D90" s="2920"/>
      <c r="E90" s="2920"/>
      <c r="F90" s="2920"/>
      <c r="G90" s="908"/>
      <c r="H90" s="928"/>
      <c r="I90" s="929"/>
      <c r="J90" s="2894">
        <v>242</v>
      </c>
      <c r="K90" s="2874" t="s">
        <v>981</v>
      </c>
      <c r="L90" s="2874" t="s">
        <v>982</v>
      </c>
      <c r="M90" s="2848">
        <v>1</v>
      </c>
      <c r="N90" s="3017">
        <v>1</v>
      </c>
      <c r="O90" s="3018" t="s">
        <v>983</v>
      </c>
      <c r="P90" s="2809" t="s">
        <v>984</v>
      </c>
      <c r="Q90" s="2983" t="s">
        <v>985</v>
      </c>
      <c r="R90" s="3022">
        <f>SUM(W90:W91)/S90</f>
        <v>1</v>
      </c>
      <c r="S90" s="2951">
        <f>SUM(W90:W91)</f>
        <v>5000000</v>
      </c>
      <c r="T90" s="2819" t="s">
        <v>986</v>
      </c>
      <c r="U90" s="2819" t="s">
        <v>987</v>
      </c>
      <c r="V90" s="535" t="s">
        <v>988</v>
      </c>
      <c r="W90" s="1019">
        <f>35000000-30000000</f>
        <v>5000000</v>
      </c>
      <c r="X90" s="1030">
        <v>5000000</v>
      </c>
      <c r="Y90" s="978">
        <v>0</v>
      </c>
      <c r="Z90" s="1031">
        <v>20</v>
      </c>
      <c r="AA90" s="1032" t="s">
        <v>70</v>
      </c>
      <c r="AB90" s="2973">
        <v>763</v>
      </c>
      <c r="AC90" s="2973">
        <v>38</v>
      </c>
      <c r="AD90" s="2973">
        <v>737</v>
      </c>
      <c r="AE90" s="2973">
        <v>33</v>
      </c>
      <c r="AF90" s="2973">
        <v>350</v>
      </c>
      <c r="AG90" s="2973">
        <v>17</v>
      </c>
      <c r="AH90" s="2973">
        <v>114</v>
      </c>
      <c r="AI90" s="2973">
        <v>8</v>
      </c>
      <c r="AJ90" s="2973">
        <v>797</v>
      </c>
      <c r="AK90" s="2973">
        <v>40</v>
      </c>
      <c r="AL90" s="2973">
        <v>239</v>
      </c>
      <c r="AM90" s="2973">
        <v>6</v>
      </c>
      <c r="AN90" s="2973">
        <v>0</v>
      </c>
      <c r="AO90" s="2973"/>
      <c r="AP90" s="2973">
        <v>0</v>
      </c>
      <c r="AQ90" s="2973"/>
      <c r="AR90" s="2916">
        <v>0</v>
      </c>
      <c r="AS90" s="2835"/>
      <c r="AT90" s="2916">
        <v>0</v>
      </c>
      <c r="AU90" s="2835"/>
      <c r="AV90" s="2916">
        <v>0</v>
      </c>
      <c r="AW90" s="2835"/>
      <c r="AX90" s="2916">
        <v>0</v>
      </c>
      <c r="AY90" s="2835"/>
      <c r="AZ90" s="2916">
        <v>0</v>
      </c>
      <c r="BA90" s="2835"/>
      <c r="BB90" s="2916">
        <v>0</v>
      </c>
      <c r="BC90" s="2835"/>
      <c r="BD90" s="2916">
        <v>0</v>
      </c>
      <c r="BE90" s="2835"/>
      <c r="BF90" s="2858">
        <f>AB90+AD90</f>
        <v>1500</v>
      </c>
      <c r="BG90" s="2835">
        <f>AC90+AE90+AG90+AI90+AK90+AM90</f>
        <v>142</v>
      </c>
      <c r="BH90" s="2858">
        <v>1</v>
      </c>
      <c r="BI90" s="2865">
        <f>SUM(X90:X91)</f>
        <v>5000000</v>
      </c>
      <c r="BJ90" s="2868">
        <f>SUM(Y90:Y91)</f>
        <v>0</v>
      </c>
      <c r="BK90" s="2855"/>
      <c r="BL90" s="2858">
        <v>20</v>
      </c>
      <c r="BM90" s="2896" t="s">
        <v>960</v>
      </c>
      <c r="BN90" s="3012">
        <v>43832</v>
      </c>
      <c r="BO90" s="3012">
        <v>43885</v>
      </c>
      <c r="BP90" s="3012">
        <v>44196</v>
      </c>
      <c r="BQ90" s="3012">
        <v>44005</v>
      </c>
      <c r="BR90" s="2840" t="s">
        <v>854</v>
      </c>
      <c r="BS90" s="2686"/>
      <c r="BT90" s="908"/>
    </row>
    <row r="91" spans="1:72" s="458" customFormat="1" ht="60" customHeight="1" x14ac:dyDescent="0.2">
      <c r="A91" s="2799"/>
      <c r="B91" s="2802"/>
      <c r="C91" s="2803"/>
      <c r="D91" s="2920"/>
      <c r="E91" s="2920"/>
      <c r="F91" s="2920"/>
      <c r="G91" s="908"/>
      <c r="H91" s="954"/>
      <c r="I91" s="955"/>
      <c r="J91" s="2987"/>
      <c r="K91" s="2875"/>
      <c r="L91" s="2875"/>
      <c r="M91" s="2850"/>
      <c r="N91" s="3017"/>
      <c r="O91" s="3018"/>
      <c r="P91" s="2809"/>
      <c r="Q91" s="2983"/>
      <c r="R91" s="3022"/>
      <c r="S91" s="2951"/>
      <c r="T91" s="2819"/>
      <c r="U91" s="2819"/>
      <c r="V91" s="848" t="s">
        <v>989</v>
      </c>
      <c r="W91" s="1019">
        <f>50000000-50000000</f>
        <v>0</v>
      </c>
      <c r="X91" s="978"/>
      <c r="Y91" s="978"/>
      <c r="Z91" s="1031">
        <v>20</v>
      </c>
      <c r="AA91" s="1032" t="s">
        <v>70</v>
      </c>
      <c r="AB91" s="2973"/>
      <c r="AC91" s="2973"/>
      <c r="AD91" s="2973"/>
      <c r="AE91" s="2973"/>
      <c r="AF91" s="2973"/>
      <c r="AG91" s="2973"/>
      <c r="AH91" s="2973"/>
      <c r="AI91" s="2973"/>
      <c r="AJ91" s="2973"/>
      <c r="AK91" s="2973"/>
      <c r="AL91" s="2973"/>
      <c r="AM91" s="2973"/>
      <c r="AN91" s="2973"/>
      <c r="AO91" s="2973"/>
      <c r="AP91" s="2973"/>
      <c r="AQ91" s="2973"/>
      <c r="AR91" s="2916"/>
      <c r="AS91" s="3023"/>
      <c r="AT91" s="2916"/>
      <c r="AU91" s="3023"/>
      <c r="AV91" s="2916"/>
      <c r="AW91" s="3023"/>
      <c r="AX91" s="2916"/>
      <c r="AY91" s="3023"/>
      <c r="AZ91" s="2916"/>
      <c r="BA91" s="3023"/>
      <c r="BB91" s="2916"/>
      <c r="BC91" s="3023"/>
      <c r="BD91" s="2916"/>
      <c r="BE91" s="3023"/>
      <c r="BF91" s="2859"/>
      <c r="BG91" s="3023"/>
      <c r="BH91" s="2859"/>
      <c r="BI91" s="2866"/>
      <c r="BJ91" s="3036"/>
      <c r="BK91" s="3037"/>
      <c r="BL91" s="2859"/>
      <c r="BM91" s="2897"/>
      <c r="BN91" s="3014"/>
      <c r="BO91" s="3014"/>
      <c r="BP91" s="3014"/>
      <c r="BQ91" s="3014"/>
      <c r="BR91" s="2978"/>
      <c r="BS91" s="2686"/>
      <c r="BT91" s="908"/>
    </row>
    <row r="92" spans="1:72" s="908" customFormat="1" ht="20.25" customHeight="1" x14ac:dyDescent="0.2">
      <c r="A92" s="2799"/>
      <c r="B92" s="2802"/>
      <c r="C92" s="2803"/>
      <c r="D92" s="958">
        <v>27</v>
      </c>
      <c r="E92" s="1033" t="s">
        <v>990</v>
      </c>
      <c r="F92" s="1033"/>
      <c r="G92" s="1034"/>
      <c r="H92" s="1034"/>
      <c r="I92" s="894"/>
      <c r="J92" s="960"/>
      <c r="K92" s="961"/>
      <c r="L92" s="962"/>
      <c r="M92" s="963"/>
      <c r="N92" s="963"/>
      <c r="O92" s="898"/>
      <c r="P92" s="895"/>
      <c r="Q92" s="897"/>
      <c r="R92" s="964"/>
      <c r="S92" s="965"/>
      <c r="T92" s="962"/>
      <c r="U92" s="961"/>
      <c r="V92" s="961"/>
      <c r="W92" s="966"/>
      <c r="X92" s="966"/>
      <c r="Y92" s="1035"/>
      <c r="Z92" s="1036"/>
      <c r="AA92" s="1036"/>
      <c r="AB92" s="897"/>
      <c r="AC92" s="906"/>
      <c r="AD92" s="897"/>
      <c r="AE92" s="906"/>
      <c r="AF92" s="897"/>
      <c r="AG92" s="906"/>
      <c r="AH92" s="897"/>
      <c r="AI92" s="906"/>
      <c r="AJ92" s="897"/>
      <c r="AK92" s="906"/>
      <c r="AL92" s="897"/>
      <c r="AM92" s="906"/>
      <c r="AN92" s="897"/>
      <c r="AO92" s="906"/>
      <c r="AP92" s="897"/>
      <c r="AQ92" s="906"/>
      <c r="AR92" s="897"/>
      <c r="AS92" s="906"/>
      <c r="AT92" s="897"/>
      <c r="AU92" s="906"/>
      <c r="AV92" s="897"/>
      <c r="AW92" s="906"/>
      <c r="AX92" s="897"/>
      <c r="AY92" s="906"/>
      <c r="AZ92" s="897"/>
      <c r="BA92" s="906"/>
      <c r="BB92" s="897"/>
      <c r="BC92" s="906"/>
      <c r="BD92" s="897"/>
      <c r="BE92" s="906"/>
      <c r="BF92" s="897"/>
      <c r="BG92" s="906"/>
      <c r="BH92" s="897"/>
      <c r="BI92" s="969"/>
      <c r="BJ92" s="969"/>
      <c r="BK92" s="897"/>
      <c r="BL92" s="897"/>
      <c r="BM92" s="897"/>
      <c r="BN92" s="897"/>
      <c r="BO92" s="897"/>
      <c r="BP92" s="897"/>
      <c r="BQ92" s="897"/>
      <c r="BR92" s="907"/>
    </row>
    <row r="93" spans="1:72" s="908" customFormat="1" ht="22.5" customHeight="1" x14ac:dyDescent="0.2">
      <c r="A93" s="2799"/>
      <c r="B93" s="2802"/>
      <c r="C93" s="2803"/>
      <c r="D93" s="3024"/>
      <c r="E93" s="3025"/>
      <c r="F93" s="3026"/>
      <c r="G93" s="909">
        <v>85</v>
      </c>
      <c r="H93" s="286" t="s">
        <v>991</v>
      </c>
      <c r="I93" s="286"/>
      <c r="J93" s="910"/>
      <c r="K93" s="911"/>
      <c r="L93" s="912"/>
      <c r="M93" s="913"/>
      <c r="N93" s="913"/>
      <c r="O93" s="554"/>
      <c r="P93" s="295"/>
      <c r="Q93" s="287"/>
      <c r="R93" s="914"/>
      <c r="S93" s="970"/>
      <c r="T93" s="912"/>
      <c r="U93" s="911"/>
      <c r="V93" s="911"/>
      <c r="W93" s="971"/>
      <c r="X93" s="971"/>
      <c r="Y93" s="971"/>
      <c r="Z93" s="972"/>
      <c r="AA93" s="972"/>
      <c r="AB93" s="973"/>
      <c r="AC93" s="974"/>
      <c r="AD93" s="973"/>
      <c r="AE93" s="974"/>
      <c r="AF93" s="973"/>
      <c r="AG93" s="974"/>
      <c r="AH93" s="973"/>
      <c r="AI93" s="974"/>
      <c r="AJ93" s="973"/>
      <c r="AK93" s="974"/>
      <c r="AL93" s="973"/>
      <c r="AM93" s="974"/>
      <c r="AN93" s="973"/>
      <c r="AO93" s="974"/>
      <c r="AP93" s="973"/>
      <c r="AQ93" s="974"/>
      <c r="AR93" s="973"/>
      <c r="AS93" s="974"/>
      <c r="AT93" s="973"/>
      <c r="AU93" s="974"/>
      <c r="AV93" s="973"/>
      <c r="AW93" s="974"/>
      <c r="AX93" s="973"/>
      <c r="AY93" s="974"/>
      <c r="AZ93" s="973"/>
      <c r="BA93" s="974"/>
      <c r="BB93" s="973"/>
      <c r="BC93" s="974"/>
      <c r="BD93" s="973"/>
      <c r="BE93" s="974"/>
      <c r="BF93" s="973"/>
      <c r="BG93" s="974"/>
      <c r="BH93" s="973"/>
      <c r="BI93" s="975"/>
      <c r="BJ93" s="975"/>
      <c r="BK93" s="973"/>
      <c r="BL93" s="973"/>
      <c r="BM93" s="973"/>
      <c r="BN93" s="973"/>
      <c r="BO93" s="973"/>
      <c r="BP93" s="973"/>
      <c r="BQ93" s="973"/>
      <c r="BR93" s="976"/>
    </row>
    <row r="94" spans="1:72" s="458" customFormat="1" ht="27.75" customHeight="1" x14ac:dyDescent="0.2">
      <c r="A94" s="2799"/>
      <c r="B94" s="2802"/>
      <c r="C94" s="2803"/>
      <c r="D94" s="3027"/>
      <c r="E94" s="3028"/>
      <c r="F94" s="3029"/>
      <c r="G94" s="908"/>
      <c r="H94" s="1180"/>
      <c r="I94" s="923"/>
      <c r="J94" s="2848">
        <v>250</v>
      </c>
      <c r="K94" s="2810" t="s">
        <v>992</v>
      </c>
      <c r="L94" s="3033" t="s">
        <v>993</v>
      </c>
      <c r="M94" s="2848">
        <v>3</v>
      </c>
      <c r="N94" s="3017">
        <v>1</v>
      </c>
      <c r="O94" s="3035" t="s">
        <v>994</v>
      </c>
      <c r="P94" s="2809" t="s">
        <v>995</v>
      </c>
      <c r="Q94" s="2983" t="s">
        <v>996</v>
      </c>
      <c r="R94" s="2961">
        <f>SUM(W94:W101)/S94</f>
        <v>0.4069193421613414</v>
      </c>
      <c r="S94" s="2867">
        <f>SUM(W94:W113)</f>
        <v>466923000</v>
      </c>
      <c r="T94" s="2819" t="s">
        <v>997</v>
      </c>
      <c r="U94" s="2819" t="s">
        <v>998</v>
      </c>
      <c r="V94" s="1038" t="s">
        <v>999</v>
      </c>
      <c r="W94" s="945">
        <v>80000000</v>
      </c>
      <c r="X94" s="996">
        <v>11840000</v>
      </c>
      <c r="Y94" s="978">
        <v>2800000</v>
      </c>
      <c r="Z94" s="1031">
        <v>20</v>
      </c>
      <c r="AA94" s="1039" t="s">
        <v>90</v>
      </c>
      <c r="AB94" s="2973">
        <v>4835</v>
      </c>
      <c r="AC94" s="2973">
        <v>21</v>
      </c>
      <c r="AD94" s="2973">
        <v>4665</v>
      </c>
      <c r="AE94" s="2973">
        <v>8</v>
      </c>
      <c r="AF94" s="2973">
        <v>2214</v>
      </c>
      <c r="AG94" s="2973"/>
      <c r="AH94" s="2973">
        <v>723</v>
      </c>
      <c r="AI94" s="2973"/>
      <c r="AJ94" s="2973">
        <v>5050</v>
      </c>
      <c r="AK94" s="2973">
        <v>29</v>
      </c>
      <c r="AL94" s="2973">
        <v>1513</v>
      </c>
      <c r="AM94" s="2973"/>
      <c r="AN94" s="2973">
        <v>0</v>
      </c>
      <c r="AO94" s="2973"/>
      <c r="AP94" s="2973">
        <v>0</v>
      </c>
      <c r="AQ94" s="2973">
        <v>0</v>
      </c>
      <c r="AR94" s="3038">
        <v>0</v>
      </c>
      <c r="AS94" s="2834"/>
      <c r="AT94" s="3038">
        <v>0</v>
      </c>
      <c r="AU94" s="2834"/>
      <c r="AV94" s="3038">
        <v>0</v>
      </c>
      <c r="AW94" s="2834"/>
      <c r="AX94" s="3038">
        <v>0</v>
      </c>
      <c r="AY94" s="2834"/>
      <c r="AZ94" s="3038">
        <v>0</v>
      </c>
      <c r="BA94" s="2834"/>
      <c r="BB94" s="3038">
        <v>0</v>
      </c>
      <c r="BC94" s="2834"/>
      <c r="BD94" s="3038">
        <v>0</v>
      </c>
      <c r="BE94" s="2834"/>
      <c r="BF94" s="2863">
        <f>SUM(AB94:AD113)</f>
        <v>9521</v>
      </c>
      <c r="BG94" s="2834">
        <f>AC94+AE94+AG94+AI94+AK94+AM94</f>
        <v>58</v>
      </c>
      <c r="BH94" s="2863">
        <v>3</v>
      </c>
      <c r="BI94" s="2864">
        <f>SUM(X94:X113)</f>
        <v>15570667</v>
      </c>
      <c r="BJ94" s="2867">
        <f>SUM(Y94:Y113)</f>
        <v>2800000</v>
      </c>
      <c r="BK94" s="2854" t="s">
        <v>595</v>
      </c>
      <c r="BL94" s="2857">
        <v>20</v>
      </c>
      <c r="BM94" s="2857" t="s">
        <v>853</v>
      </c>
      <c r="BN94" s="3012">
        <v>43832</v>
      </c>
      <c r="BO94" s="3012">
        <v>43874</v>
      </c>
      <c r="BP94" s="2975">
        <v>44196</v>
      </c>
      <c r="BQ94" s="2975">
        <v>43993</v>
      </c>
      <c r="BR94" s="2950" t="s">
        <v>854</v>
      </c>
      <c r="BS94" s="908"/>
      <c r="BT94" s="908"/>
    </row>
    <row r="95" spans="1:72" s="458" customFormat="1" ht="24.75" customHeight="1" x14ac:dyDescent="0.2">
      <c r="A95" s="2799"/>
      <c r="B95" s="2802"/>
      <c r="C95" s="2803"/>
      <c r="D95" s="3027"/>
      <c r="E95" s="3028"/>
      <c r="F95" s="3029"/>
      <c r="G95" s="908"/>
      <c r="H95" s="928"/>
      <c r="I95" s="929"/>
      <c r="J95" s="2849"/>
      <c r="K95" s="2811"/>
      <c r="L95" s="3034"/>
      <c r="M95" s="2849"/>
      <c r="N95" s="3017"/>
      <c r="O95" s="3018"/>
      <c r="P95" s="2809"/>
      <c r="Q95" s="2983"/>
      <c r="R95" s="2962"/>
      <c r="S95" s="2868"/>
      <c r="T95" s="2819"/>
      <c r="U95" s="2819"/>
      <c r="V95" s="845" t="s">
        <v>1000</v>
      </c>
      <c r="W95" s="945">
        <v>30000000</v>
      </c>
      <c r="X95" s="996"/>
      <c r="Y95" s="978"/>
      <c r="Z95" s="1031">
        <v>20</v>
      </c>
      <c r="AA95" s="1013" t="s">
        <v>70</v>
      </c>
      <c r="AB95" s="2973"/>
      <c r="AC95" s="2973"/>
      <c r="AD95" s="2973"/>
      <c r="AE95" s="2973"/>
      <c r="AF95" s="2973"/>
      <c r="AG95" s="2973"/>
      <c r="AH95" s="2973"/>
      <c r="AI95" s="2973"/>
      <c r="AJ95" s="2973"/>
      <c r="AK95" s="2973"/>
      <c r="AL95" s="2973"/>
      <c r="AM95" s="2973"/>
      <c r="AN95" s="2973"/>
      <c r="AO95" s="2973"/>
      <c r="AP95" s="2973"/>
      <c r="AQ95" s="2973"/>
      <c r="AR95" s="3038"/>
      <c r="AS95" s="2835"/>
      <c r="AT95" s="3038"/>
      <c r="AU95" s="2835"/>
      <c r="AV95" s="3038"/>
      <c r="AW95" s="2835"/>
      <c r="AX95" s="3038"/>
      <c r="AY95" s="2835"/>
      <c r="AZ95" s="3038"/>
      <c r="BA95" s="2835"/>
      <c r="BB95" s="3038"/>
      <c r="BC95" s="2835"/>
      <c r="BD95" s="3038"/>
      <c r="BE95" s="2835"/>
      <c r="BF95" s="2858"/>
      <c r="BG95" s="2835"/>
      <c r="BH95" s="2858"/>
      <c r="BI95" s="2865"/>
      <c r="BJ95" s="2868"/>
      <c r="BK95" s="2855"/>
      <c r="BL95" s="2858"/>
      <c r="BM95" s="2858"/>
      <c r="BN95" s="3013"/>
      <c r="BO95" s="3013"/>
      <c r="BP95" s="2976"/>
      <c r="BQ95" s="2976"/>
      <c r="BR95" s="2950"/>
      <c r="BS95" s="908"/>
      <c r="BT95" s="908"/>
    </row>
    <row r="96" spans="1:72" s="458" customFormat="1" ht="42.75" x14ac:dyDescent="0.2">
      <c r="A96" s="2799"/>
      <c r="B96" s="2802"/>
      <c r="C96" s="2803"/>
      <c r="D96" s="3027"/>
      <c r="E96" s="3028"/>
      <c r="F96" s="3029"/>
      <c r="G96" s="908"/>
      <c r="H96" s="928"/>
      <c r="I96" s="929"/>
      <c r="J96" s="2849"/>
      <c r="K96" s="2811"/>
      <c r="L96" s="3034"/>
      <c r="M96" s="2849"/>
      <c r="N96" s="3017"/>
      <c r="O96" s="3018"/>
      <c r="P96" s="2809"/>
      <c r="Q96" s="2983"/>
      <c r="R96" s="2962"/>
      <c r="S96" s="2868"/>
      <c r="T96" s="2819"/>
      <c r="U96" s="2819"/>
      <c r="V96" s="1038" t="s">
        <v>1001</v>
      </c>
      <c r="W96" s="945">
        <v>9000000</v>
      </c>
      <c r="X96" s="996"/>
      <c r="Y96" s="978"/>
      <c r="Z96" s="1031">
        <v>20</v>
      </c>
      <c r="AA96" s="1013" t="s">
        <v>70</v>
      </c>
      <c r="AB96" s="2973"/>
      <c r="AC96" s="2973"/>
      <c r="AD96" s="2973"/>
      <c r="AE96" s="2973"/>
      <c r="AF96" s="2973"/>
      <c r="AG96" s="2973"/>
      <c r="AH96" s="2973"/>
      <c r="AI96" s="2973"/>
      <c r="AJ96" s="2973"/>
      <c r="AK96" s="2973"/>
      <c r="AL96" s="2973"/>
      <c r="AM96" s="2973"/>
      <c r="AN96" s="2973"/>
      <c r="AO96" s="2973"/>
      <c r="AP96" s="2973"/>
      <c r="AQ96" s="2973"/>
      <c r="AR96" s="3039"/>
      <c r="AS96" s="2835"/>
      <c r="AT96" s="3039"/>
      <c r="AU96" s="2835"/>
      <c r="AV96" s="3039"/>
      <c r="AW96" s="2835"/>
      <c r="AX96" s="3039"/>
      <c r="AY96" s="2835"/>
      <c r="AZ96" s="3039"/>
      <c r="BA96" s="2835"/>
      <c r="BB96" s="3039"/>
      <c r="BC96" s="2835"/>
      <c r="BD96" s="3039"/>
      <c r="BE96" s="2835"/>
      <c r="BF96" s="2858"/>
      <c r="BG96" s="2835"/>
      <c r="BH96" s="2858"/>
      <c r="BI96" s="2865"/>
      <c r="BJ96" s="2868"/>
      <c r="BK96" s="2855"/>
      <c r="BL96" s="2858"/>
      <c r="BM96" s="2858"/>
      <c r="BN96" s="3013"/>
      <c r="BO96" s="3013"/>
      <c r="BP96" s="2976"/>
      <c r="BQ96" s="2976"/>
      <c r="BR96" s="2840"/>
      <c r="BS96" s="2686"/>
      <c r="BT96" s="908"/>
    </row>
    <row r="97" spans="1:72" s="458" customFormat="1" ht="30" customHeight="1" x14ac:dyDescent="0.2">
      <c r="A97" s="2799"/>
      <c r="B97" s="2802"/>
      <c r="C97" s="2803"/>
      <c r="D97" s="3027"/>
      <c r="E97" s="3028"/>
      <c r="F97" s="3029"/>
      <c r="G97" s="908"/>
      <c r="H97" s="928"/>
      <c r="I97" s="929"/>
      <c r="J97" s="2849"/>
      <c r="K97" s="2811"/>
      <c r="L97" s="3034"/>
      <c r="M97" s="2849"/>
      <c r="N97" s="3017"/>
      <c r="O97" s="3018"/>
      <c r="P97" s="2809"/>
      <c r="Q97" s="2983"/>
      <c r="R97" s="2962"/>
      <c r="S97" s="2868"/>
      <c r="T97" s="2819"/>
      <c r="U97" s="2819"/>
      <c r="V97" s="840" t="s">
        <v>1002</v>
      </c>
      <c r="W97" s="945">
        <v>7000000</v>
      </c>
      <c r="X97" s="996"/>
      <c r="Y97" s="978"/>
      <c r="Z97" s="1031">
        <v>20</v>
      </c>
      <c r="AA97" s="1013" t="s">
        <v>70</v>
      </c>
      <c r="AB97" s="2973"/>
      <c r="AC97" s="2973"/>
      <c r="AD97" s="2973"/>
      <c r="AE97" s="2973"/>
      <c r="AF97" s="2973"/>
      <c r="AG97" s="2973"/>
      <c r="AH97" s="2973"/>
      <c r="AI97" s="2973"/>
      <c r="AJ97" s="2973"/>
      <c r="AK97" s="2973"/>
      <c r="AL97" s="2973"/>
      <c r="AM97" s="2973"/>
      <c r="AN97" s="2973"/>
      <c r="AO97" s="2973"/>
      <c r="AP97" s="2973"/>
      <c r="AQ97" s="2973"/>
      <c r="AR97" s="3039"/>
      <c r="AS97" s="2835"/>
      <c r="AT97" s="3039"/>
      <c r="AU97" s="2835"/>
      <c r="AV97" s="3039"/>
      <c r="AW97" s="2835"/>
      <c r="AX97" s="3039"/>
      <c r="AY97" s="2835"/>
      <c r="AZ97" s="3039"/>
      <c r="BA97" s="2835"/>
      <c r="BB97" s="3039"/>
      <c r="BC97" s="2835"/>
      <c r="BD97" s="3039"/>
      <c r="BE97" s="2835"/>
      <c r="BF97" s="2858"/>
      <c r="BG97" s="2835"/>
      <c r="BH97" s="2858"/>
      <c r="BI97" s="2865"/>
      <c r="BJ97" s="2868"/>
      <c r="BK97" s="2855"/>
      <c r="BL97" s="2858"/>
      <c r="BM97" s="2858"/>
      <c r="BN97" s="3013"/>
      <c r="BO97" s="3013"/>
      <c r="BP97" s="2976"/>
      <c r="BQ97" s="2976"/>
      <c r="BR97" s="2840"/>
      <c r="BS97" s="2686"/>
      <c r="BT97" s="908"/>
    </row>
    <row r="98" spans="1:72" s="458" customFormat="1" ht="28.5" x14ac:dyDescent="0.2">
      <c r="A98" s="2799"/>
      <c r="B98" s="2802"/>
      <c r="C98" s="2803"/>
      <c r="D98" s="3027"/>
      <c r="E98" s="3028"/>
      <c r="F98" s="3029"/>
      <c r="G98" s="908"/>
      <c r="H98" s="928"/>
      <c r="I98" s="929"/>
      <c r="J98" s="2849"/>
      <c r="K98" s="2811"/>
      <c r="L98" s="3034"/>
      <c r="M98" s="2849"/>
      <c r="N98" s="3017"/>
      <c r="O98" s="3018"/>
      <c r="P98" s="2809"/>
      <c r="Q98" s="2983"/>
      <c r="R98" s="2962"/>
      <c r="S98" s="2868"/>
      <c r="T98" s="2819"/>
      <c r="U98" s="2819"/>
      <c r="V98" s="845" t="s">
        <v>1003</v>
      </c>
      <c r="W98" s="945">
        <v>5000000</v>
      </c>
      <c r="X98" s="996"/>
      <c r="Y98" s="978"/>
      <c r="Z98" s="1031">
        <v>20</v>
      </c>
      <c r="AA98" s="1013" t="s">
        <v>70</v>
      </c>
      <c r="AB98" s="2973"/>
      <c r="AC98" s="2973"/>
      <c r="AD98" s="2973"/>
      <c r="AE98" s="2973"/>
      <c r="AF98" s="2973"/>
      <c r="AG98" s="2973"/>
      <c r="AH98" s="2973"/>
      <c r="AI98" s="2973"/>
      <c r="AJ98" s="2973"/>
      <c r="AK98" s="2973"/>
      <c r="AL98" s="2973"/>
      <c r="AM98" s="2973"/>
      <c r="AN98" s="2973"/>
      <c r="AO98" s="2973"/>
      <c r="AP98" s="2973"/>
      <c r="AQ98" s="2973"/>
      <c r="AR98" s="3039"/>
      <c r="AS98" s="2835"/>
      <c r="AT98" s="3039"/>
      <c r="AU98" s="2835"/>
      <c r="AV98" s="3039"/>
      <c r="AW98" s="2835"/>
      <c r="AX98" s="3039"/>
      <c r="AY98" s="2835"/>
      <c r="AZ98" s="3039"/>
      <c r="BA98" s="2835"/>
      <c r="BB98" s="3039"/>
      <c r="BC98" s="2835"/>
      <c r="BD98" s="3039"/>
      <c r="BE98" s="2835"/>
      <c r="BF98" s="2858"/>
      <c r="BG98" s="2835"/>
      <c r="BH98" s="2858"/>
      <c r="BI98" s="2865"/>
      <c r="BJ98" s="2868"/>
      <c r="BK98" s="2855"/>
      <c r="BL98" s="2858"/>
      <c r="BM98" s="2858"/>
      <c r="BN98" s="3013"/>
      <c r="BO98" s="3013"/>
      <c r="BP98" s="2976"/>
      <c r="BQ98" s="2976"/>
      <c r="BR98" s="2840"/>
      <c r="BS98" s="2686"/>
      <c r="BT98" s="908"/>
    </row>
    <row r="99" spans="1:72" s="458" customFormat="1" ht="30.75" customHeight="1" x14ac:dyDescent="0.2">
      <c r="A99" s="2799"/>
      <c r="B99" s="2802"/>
      <c r="C99" s="2803"/>
      <c r="D99" s="3027"/>
      <c r="E99" s="3028"/>
      <c r="F99" s="3029"/>
      <c r="G99" s="908"/>
      <c r="H99" s="928"/>
      <c r="I99" s="929"/>
      <c r="J99" s="2849"/>
      <c r="K99" s="2811"/>
      <c r="L99" s="3034"/>
      <c r="M99" s="2849"/>
      <c r="N99" s="3017"/>
      <c r="O99" s="3018"/>
      <c r="P99" s="2809"/>
      <c r="Q99" s="2983"/>
      <c r="R99" s="2962"/>
      <c r="S99" s="2868"/>
      <c r="T99" s="2819"/>
      <c r="U99" s="2819"/>
      <c r="V99" s="845" t="s">
        <v>1004</v>
      </c>
      <c r="W99" s="945">
        <v>8000000</v>
      </c>
      <c r="X99" s="996">
        <v>3730667</v>
      </c>
      <c r="Y99" s="978">
        <v>0</v>
      </c>
      <c r="Z99" s="1031">
        <v>20</v>
      </c>
      <c r="AA99" s="1013" t="s">
        <v>70</v>
      </c>
      <c r="AB99" s="2973"/>
      <c r="AC99" s="2973"/>
      <c r="AD99" s="2973"/>
      <c r="AE99" s="2973"/>
      <c r="AF99" s="2973"/>
      <c r="AG99" s="2973"/>
      <c r="AH99" s="2973"/>
      <c r="AI99" s="2973"/>
      <c r="AJ99" s="2973"/>
      <c r="AK99" s="2973"/>
      <c r="AL99" s="2973"/>
      <c r="AM99" s="2973"/>
      <c r="AN99" s="2973"/>
      <c r="AO99" s="2973"/>
      <c r="AP99" s="2973"/>
      <c r="AQ99" s="2973"/>
      <c r="AR99" s="3039"/>
      <c r="AS99" s="2835"/>
      <c r="AT99" s="3039"/>
      <c r="AU99" s="2835"/>
      <c r="AV99" s="3039"/>
      <c r="AW99" s="2835"/>
      <c r="AX99" s="3039"/>
      <c r="AY99" s="2835"/>
      <c r="AZ99" s="3039"/>
      <c r="BA99" s="2835"/>
      <c r="BB99" s="3039"/>
      <c r="BC99" s="2835"/>
      <c r="BD99" s="3039"/>
      <c r="BE99" s="2835"/>
      <c r="BF99" s="2858"/>
      <c r="BG99" s="2835"/>
      <c r="BH99" s="2858"/>
      <c r="BI99" s="2865"/>
      <c r="BJ99" s="2868"/>
      <c r="BK99" s="2855"/>
      <c r="BL99" s="2858"/>
      <c r="BM99" s="2858"/>
      <c r="BN99" s="3013"/>
      <c r="BO99" s="3013"/>
      <c r="BP99" s="2976"/>
      <c r="BQ99" s="2976"/>
      <c r="BR99" s="2840"/>
      <c r="BS99" s="2686"/>
      <c r="BT99" s="908"/>
    </row>
    <row r="100" spans="1:72" s="458" customFormat="1" ht="42.75" x14ac:dyDescent="0.2">
      <c r="A100" s="2799"/>
      <c r="B100" s="2802"/>
      <c r="C100" s="2803"/>
      <c r="D100" s="3027"/>
      <c r="E100" s="3028"/>
      <c r="F100" s="3029"/>
      <c r="G100" s="908"/>
      <c r="H100" s="928"/>
      <c r="I100" s="929"/>
      <c r="J100" s="2849"/>
      <c r="K100" s="2811"/>
      <c r="L100" s="3034"/>
      <c r="M100" s="2849"/>
      <c r="N100" s="3017"/>
      <c r="O100" s="3018"/>
      <c r="P100" s="2809"/>
      <c r="Q100" s="2983"/>
      <c r="R100" s="2962"/>
      <c r="S100" s="2868"/>
      <c r="T100" s="2819"/>
      <c r="U100" s="2819"/>
      <c r="V100" s="1038" t="s">
        <v>1005</v>
      </c>
      <c r="W100" s="945">
        <v>45000000</v>
      </c>
      <c r="X100" s="996"/>
      <c r="Y100" s="978">
        <v>0</v>
      </c>
      <c r="Z100" s="1031">
        <v>20</v>
      </c>
      <c r="AA100" s="1013" t="s">
        <v>70</v>
      </c>
      <c r="AB100" s="2973"/>
      <c r="AC100" s="2973"/>
      <c r="AD100" s="2973"/>
      <c r="AE100" s="2973"/>
      <c r="AF100" s="2973"/>
      <c r="AG100" s="2973"/>
      <c r="AH100" s="2973"/>
      <c r="AI100" s="2973"/>
      <c r="AJ100" s="2973"/>
      <c r="AK100" s="2973"/>
      <c r="AL100" s="2973"/>
      <c r="AM100" s="2973"/>
      <c r="AN100" s="2973"/>
      <c r="AO100" s="2973"/>
      <c r="AP100" s="2973"/>
      <c r="AQ100" s="2973"/>
      <c r="AR100" s="3039"/>
      <c r="AS100" s="2835"/>
      <c r="AT100" s="3039"/>
      <c r="AU100" s="2835"/>
      <c r="AV100" s="3039"/>
      <c r="AW100" s="2835"/>
      <c r="AX100" s="3039"/>
      <c r="AY100" s="2835"/>
      <c r="AZ100" s="3039"/>
      <c r="BA100" s="2835"/>
      <c r="BB100" s="3039"/>
      <c r="BC100" s="2835"/>
      <c r="BD100" s="3039"/>
      <c r="BE100" s="2835"/>
      <c r="BF100" s="2858"/>
      <c r="BG100" s="2835"/>
      <c r="BH100" s="2858"/>
      <c r="BI100" s="2865"/>
      <c r="BJ100" s="2868"/>
      <c r="BK100" s="2855"/>
      <c r="BL100" s="2858"/>
      <c r="BM100" s="2858"/>
      <c r="BN100" s="3013"/>
      <c r="BO100" s="3013"/>
      <c r="BP100" s="2976"/>
      <c r="BQ100" s="2976"/>
      <c r="BR100" s="2840"/>
      <c r="BS100" s="2686"/>
      <c r="BT100" s="908"/>
    </row>
    <row r="101" spans="1:72" s="458" customFormat="1" ht="57" x14ac:dyDescent="0.2">
      <c r="A101" s="2799"/>
      <c r="B101" s="2802"/>
      <c r="C101" s="2803"/>
      <c r="D101" s="3027"/>
      <c r="E101" s="3028"/>
      <c r="F101" s="3029"/>
      <c r="G101" s="908"/>
      <c r="H101" s="928"/>
      <c r="I101" s="929"/>
      <c r="J101" s="2849"/>
      <c r="K101" s="2811"/>
      <c r="L101" s="3034"/>
      <c r="M101" s="2849"/>
      <c r="N101" s="3017"/>
      <c r="O101" s="3018"/>
      <c r="P101" s="2809"/>
      <c r="Q101" s="2983"/>
      <c r="R101" s="2962"/>
      <c r="S101" s="2868"/>
      <c r="T101" s="2819"/>
      <c r="U101" s="2819"/>
      <c r="V101" s="845" t="s">
        <v>1006</v>
      </c>
      <c r="W101" s="945">
        <v>6000000</v>
      </c>
      <c r="X101" s="996"/>
      <c r="Y101" s="978"/>
      <c r="Z101" s="1031">
        <v>20</v>
      </c>
      <c r="AA101" s="1013" t="s">
        <v>70</v>
      </c>
      <c r="AB101" s="2973"/>
      <c r="AC101" s="2973"/>
      <c r="AD101" s="2973"/>
      <c r="AE101" s="2973"/>
      <c r="AF101" s="2973"/>
      <c r="AG101" s="2973"/>
      <c r="AH101" s="2973"/>
      <c r="AI101" s="2973"/>
      <c r="AJ101" s="2973"/>
      <c r="AK101" s="2973"/>
      <c r="AL101" s="2973"/>
      <c r="AM101" s="2973"/>
      <c r="AN101" s="2973"/>
      <c r="AO101" s="2973"/>
      <c r="AP101" s="2973"/>
      <c r="AQ101" s="2973"/>
      <c r="AR101" s="3039"/>
      <c r="AS101" s="2835"/>
      <c r="AT101" s="3039"/>
      <c r="AU101" s="2835"/>
      <c r="AV101" s="3039"/>
      <c r="AW101" s="2835"/>
      <c r="AX101" s="3039"/>
      <c r="AY101" s="2835"/>
      <c r="AZ101" s="3039"/>
      <c r="BA101" s="2835"/>
      <c r="BB101" s="3039"/>
      <c r="BC101" s="2835"/>
      <c r="BD101" s="3039"/>
      <c r="BE101" s="2835"/>
      <c r="BF101" s="2858"/>
      <c r="BG101" s="2835"/>
      <c r="BH101" s="2858"/>
      <c r="BI101" s="2865"/>
      <c r="BJ101" s="2868"/>
      <c r="BK101" s="2855"/>
      <c r="BL101" s="2858"/>
      <c r="BM101" s="2858"/>
      <c r="BN101" s="3013"/>
      <c r="BO101" s="3013"/>
      <c r="BP101" s="2976"/>
      <c r="BQ101" s="2976"/>
      <c r="BR101" s="2840"/>
      <c r="BS101" s="2686"/>
      <c r="BT101" s="908"/>
    </row>
    <row r="102" spans="1:72" s="458" customFormat="1" ht="42" customHeight="1" x14ac:dyDescent="0.2">
      <c r="A102" s="2799"/>
      <c r="B102" s="2802"/>
      <c r="C102" s="2803"/>
      <c r="D102" s="3027"/>
      <c r="E102" s="3028"/>
      <c r="F102" s="3029"/>
      <c r="G102" s="908"/>
      <c r="H102" s="928"/>
      <c r="I102" s="929"/>
      <c r="J102" s="3017">
        <v>251</v>
      </c>
      <c r="K102" s="2819" t="s">
        <v>1007</v>
      </c>
      <c r="L102" s="2819" t="s">
        <v>1008</v>
      </c>
      <c r="M102" s="3017">
        <v>1</v>
      </c>
      <c r="N102" s="2848">
        <v>1</v>
      </c>
      <c r="O102" s="3018"/>
      <c r="P102" s="2809"/>
      <c r="Q102" s="2983"/>
      <c r="R102" s="3004">
        <f>SUM(W102:W106)/S94</f>
        <v>0.10708403741087931</v>
      </c>
      <c r="S102" s="2868"/>
      <c r="T102" s="2819"/>
      <c r="U102" s="2819"/>
      <c r="V102" s="845" t="s">
        <v>1009</v>
      </c>
      <c r="W102" s="945">
        <v>20000000</v>
      </c>
      <c r="X102" s="1013"/>
      <c r="Y102" s="978"/>
      <c r="Z102" s="1031">
        <v>20</v>
      </c>
      <c r="AA102" s="1013" t="s">
        <v>70</v>
      </c>
      <c r="AB102" s="2973"/>
      <c r="AC102" s="2973"/>
      <c r="AD102" s="2973"/>
      <c r="AE102" s="2973"/>
      <c r="AF102" s="2973"/>
      <c r="AG102" s="2973"/>
      <c r="AH102" s="2973"/>
      <c r="AI102" s="2973"/>
      <c r="AJ102" s="2973"/>
      <c r="AK102" s="2973"/>
      <c r="AL102" s="2973"/>
      <c r="AM102" s="2973"/>
      <c r="AN102" s="2973"/>
      <c r="AO102" s="2973"/>
      <c r="AP102" s="2973"/>
      <c r="AQ102" s="2973"/>
      <c r="AR102" s="3039"/>
      <c r="AS102" s="2835"/>
      <c r="AT102" s="3039"/>
      <c r="AU102" s="2835"/>
      <c r="AV102" s="3039"/>
      <c r="AW102" s="2835"/>
      <c r="AX102" s="3039"/>
      <c r="AY102" s="2835"/>
      <c r="AZ102" s="3039"/>
      <c r="BA102" s="2835"/>
      <c r="BB102" s="3039"/>
      <c r="BC102" s="2835"/>
      <c r="BD102" s="3039"/>
      <c r="BE102" s="2835"/>
      <c r="BF102" s="2858"/>
      <c r="BG102" s="2835"/>
      <c r="BH102" s="2858"/>
      <c r="BI102" s="2865"/>
      <c r="BJ102" s="2868"/>
      <c r="BK102" s="2855"/>
      <c r="BL102" s="2858"/>
      <c r="BM102" s="2858"/>
      <c r="BN102" s="3013"/>
      <c r="BO102" s="3013"/>
      <c r="BP102" s="2976"/>
      <c r="BQ102" s="2976"/>
      <c r="BR102" s="2840"/>
      <c r="BS102" s="908"/>
      <c r="BT102" s="908"/>
    </row>
    <row r="103" spans="1:72" s="458" customFormat="1" ht="46.5" customHeight="1" x14ac:dyDescent="0.2">
      <c r="A103" s="2799"/>
      <c r="B103" s="2802"/>
      <c r="C103" s="2803"/>
      <c r="D103" s="3027"/>
      <c r="E103" s="3028"/>
      <c r="F103" s="3029"/>
      <c r="G103" s="908"/>
      <c r="H103" s="928"/>
      <c r="I103" s="929"/>
      <c r="J103" s="3017"/>
      <c r="K103" s="2819"/>
      <c r="L103" s="2819"/>
      <c r="M103" s="3017"/>
      <c r="N103" s="2849"/>
      <c r="O103" s="3018"/>
      <c r="P103" s="2809"/>
      <c r="Q103" s="2983"/>
      <c r="R103" s="3004"/>
      <c r="S103" s="2868"/>
      <c r="T103" s="2819"/>
      <c r="U103" s="2819"/>
      <c r="V103" s="840" t="s">
        <v>1010</v>
      </c>
      <c r="W103" s="945">
        <v>6000000</v>
      </c>
      <c r="X103" s="1013"/>
      <c r="Y103" s="978"/>
      <c r="Z103" s="1031">
        <v>20</v>
      </c>
      <c r="AA103" s="1013" t="s">
        <v>70</v>
      </c>
      <c r="AB103" s="2973"/>
      <c r="AC103" s="2973"/>
      <c r="AD103" s="2973"/>
      <c r="AE103" s="2973"/>
      <c r="AF103" s="2973"/>
      <c r="AG103" s="2973"/>
      <c r="AH103" s="2973"/>
      <c r="AI103" s="2973"/>
      <c r="AJ103" s="2973"/>
      <c r="AK103" s="2973"/>
      <c r="AL103" s="2973"/>
      <c r="AM103" s="2973"/>
      <c r="AN103" s="2973"/>
      <c r="AO103" s="2973"/>
      <c r="AP103" s="2973"/>
      <c r="AQ103" s="2973"/>
      <c r="AR103" s="3039"/>
      <c r="AS103" s="2835"/>
      <c r="AT103" s="3039"/>
      <c r="AU103" s="2835"/>
      <c r="AV103" s="3039"/>
      <c r="AW103" s="2835"/>
      <c r="AX103" s="3039"/>
      <c r="AY103" s="2835"/>
      <c r="AZ103" s="3039"/>
      <c r="BA103" s="2835"/>
      <c r="BB103" s="3039"/>
      <c r="BC103" s="2835"/>
      <c r="BD103" s="3039"/>
      <c r="BE103" s="2835"/>
      <c r="BF103" s="2858"/>
      <c r="BG103" s="2835"/>
      <c r="BH103" s="2858"/>
      <c r="BI103" s="2865"/>
      <c r="BJ103" s="2868"/>
      <c r="BK103" s="2855"/>
      <c r="BL103" s="2858"/>
      <c r="BM103" s="2858"/>
      <c r="BN103" s="3013"/>
      <c r="BO103" s="3013"/>
      <c r="BP103" s="2976"/>
      <c r="BQ103" s="2976"/>
      <c r="BR103" s="2840"/>
      <c r="BS103" s="908"/>
      <c r="BT103" s="908"/>
    </row>
    <row r="104" spans="1:72" s="458" customFormat="1" ht="57" customHeight="1" x14ac:dyDescent="0.2">
      <c r="A104" s="2799"/>
      <c r="B104" s="2802"/>
      <c r="C104" s="2803"/>
      <c r="D104" s="3027"/>
      <c r="E104" s="3028"/>
      <c r="F104" s="3029"/>
      <c r="G104" s="908"/>
      <c r="H104" s="928"/>
      <c r="I104" s="929"/>
      <c r="J104" s="3017"/>
      <c r="K104" s="2819"/>
      <c r="L104" s="2819"/>
      <c r="M104" s="3017"/>
      <c r="N104" s="2849"/>
      <c r="O104" s="3018"/>
      <c r="P104" s="2809"/>
      <c r="Q104" s="2983"/>
      <c r="R104" s="3004"/>
      <c r="S104" s="2868"/>
      <c r="T104" s="2819"/>
      <c r="U104" s="2819"/>
      <c r="V104" s="951" t="s">
        <v>1011</v>
      </c>
      <c r="W104" s="945">
        <v>11000000</v>
      </c>
      <c r="X104" s="1013"/>
      <c r="Y104" s="978"/>
      <c r="Z104" s="1031">
        <v>20</v>
      </c>
      <c r="AA104" s="1013" t="s">
        <v>70</v>
      </c>
      <c r="AB104" s="2973"/>
      <c r="AC104" s="2973"/>
      <c r="AD104" s="2973"/>
      <c r="AE104" s="2973"/>
      <c r="AF104" s="2973"/>
      <c r="AG104" s="2973"/>
      <c r="AH104" s="2973"/>
      <c r="AI104" s="2973"/>
      <c r="AJ104" s="2973"/>
      <c r="AK104" s="2973"/>
      <c r="AL104" s="2973"/>
      <c r="AM104" s="2973"/>
      <c r="AN104" s="2973"/>
      <c r="AO104" s="2973"/>
      <c r="AP104" s="2973"/>
      <c r="AQ104" s="2973"/>
      <c r="AR104" s="3039"/>
      <c r="AS104" s="2835"/>
      <c r="AT104" s="3039"/>
      <c r="AU104" s="2835"/>
      <c r="AV104" s="3039"/>
      <c r="AW104" s="2835"/>
      <c r="AX104" s="3039"/>
      <c r="AY104" s="2835"/>
      <c r="AZ104" s="3039"/>
      <c r="BA104" s="2835"/>
      <c r="BB104" s="3039"/>
      <c r="BC104" s="2835"/>
      <c r="BD104" s="3039"/>
      <c r="BE104" s="2835"/>
      <c r="BF104" s="2858"/>
      <c r="BG104" s="2835"/>
      <c r="BH104" s="2858"/>
      <c r="BI104" s="2865"/>
      <c r="BJ104" s="2868"/>
      <c r="BK104" s="2855"/>
      <c r="BL104" s="2858"/>
      <c r="BM104" s="2858"/>
      <c r="BN104" s="3013"/>
      <c r="BO104" s="3013"/>
      <c r="BP104" s="2976"/>
      <c r="BQ104" s="2976"/>
      <c r="BR104" s="2840"/>
      <c r="BS104" s="908"/>
      <c r="BT104" s="908"/>
    </row>
    <row r="105" spans="1:72" s="458" customFormat="1" ht="21" customHeight="1" x14ac:dyDescent="0.2">
      <c r="A105" s="2799"/>
      <c r="B105" s="2802"/>
      <c r="C105" s="2803"/>
      <c r="D105" s="3027"/>
      <c r="E105" s="3028"/>
      <c r="F105" s="3029"/>
      <c r="G105" s="908"/>
      <c r="H105" s="928"/>
      <c r="I105" s="929"/>
      <c r="J105" s="3017"/>
      <c r="K105" s="2819"/>
      <c r="L105" s="2819"/>
      <c r="M105" s="3017"/>
      <c r="N105" s="2849"/>
      <c r="O105" s="3018"/>
      <c r="P105" s="2809"/>
      <c r="Q105" s="2983"/>
      <c r="R105" s="3004"/>
      <c r="S105" s="2868"/>
      <c r="T105" s="2819"/>
      <c r="U105" s="2819"/>
      <c r="V105" s="951" t="s">
        <v>1012</v>
      </c>
      <c r="W105" s="945">
        <v>6500000</v>
      </c>
      <c r="X105" s="1013"/>
      <c r="Y105" s="978"/>
      <c r="Z105" s="1031">
        <v>20</v>
      </c>
      <c r="AA105" s="1013" t="s">
        <v>70</v>
      </c>
      <c r="AB105" s="2973"/>
      <c r="AC105" s="2973"/>
      <c r="AD105" s="2973"/>
      <c r="AE105" s="2973"/>
      <c r="AF105" s="2973"/>
      <c r="AG105" s="2973"/>
      <c r="AH105" s="2973"/>
      <c r="AI105" s="2973"/>
      <c r="AJ105" s="2973"/>
      <c r="AK105" s="2973"/>
      <c r="AL105" s="2973"/>
      <c r="AM105" s="2973"/>
      <c r="AN105" s="2973"/>
      <c r="AO105" s="2973"/>
      <c r="AP105" s="2973"/>
      <c r="AQ105" s="2973"/>
      <c r="AR105" s="3039"/>
      <c r="AS105" s="2835"/>
      <c r="AT105" s="3039"/>
      <c r="AU105" s="2835"/>
      <c r="AV105" s="3039"/>
      <c r="AW105" s="2835"/>
      <c r="AX105" s="3039"/>
      <c r="AY105" s="2835"/>
      <c r="AZ105" s="3039"/>
      <c r="BA105" s="2835"/>
      <c r="BB105" s="3039"/>
      <c r="BC105" s="2835"/>
      <c r="BD105" s="3039"/>
      <c r="BE105" s="2835"/>
      <c r="BF105" s="2858"/>
      <c r="BG105" s="2835"/>
      <c r="BH105" s="2858"/>
      <c r="BI105" s="2865"/>
      <c r="BJ105" s="2868"/>
      <c r="BK105" s="2855"/>
      <c r="BL105" s="2858"/>
      <c r="BM105" s="2858"/>
      <c r="BN105" s="3013"/>
      <c r="BO105" s="3013"/>
      <c r="BP105" s="2976"/>
      <c r="BQ105" s="2976"/>
      <c r="BR105" s="2840"/>
      <c r="BS105" s="908"/>
      <c r="BT105" s="908"/>
    </row>
    <row r="106" spans="1:72" s="458" customFormat="1" ht="19.5" customHeight="1" x14ac:dyDescent="0.2">
      <c r="A106" s="2799"/>
      <c r="B106" s="2802"/>
      <c r="C106" s="2803"/>
      <c r="D106" s="3027"/>
      <c r="E106" s="3028"/>
      <c r="F106" s="3029"/>
      <c r="G106" s="908"/>
      <c r="H106" s="928"/>
      <c r="I106" s="929"/>
      <c r="J106" s="3017"/>
      <c r="K106" s="2819"/>
      <c r="L106" s="2819"/>
      <c r="M106" s="3017"/>
      <c r="N106" s="2850"/>
      <c r="O106" s="3018"/>
      <c r="P106" s="2809"/>
      <c r="Q106" s="2983"/>
      <c r="R106" s="3004"/>
      <c r="S106" s="2868"/>
      <c r="T106" s="2819"/>
      <c r="U106" s="2819"/>
      <c r="V106" s="951" t="s">
        <v>1013</v>
      </c>
      <c r="W106" s="945">
        <v>6500000</v>
      </c>
      <c r="X106" s="1013"/>
      <c r="Y106" s="1040"/>
      <c r="Z106" s="1031">
        <v>20</v>
      </c>
      <c r="AA106" s="1013" t="s">
        <v>70</v>
      </c>
      <c r="AB106" s="2973"/>
      <c r="AC106" s="2973"/>
      <c r="AD106" s="2973"/>
      <c r="AE106" s="2973"/>
      <c r="AF106" s="2973"/>
      <c r="AG106" s="2973"/>
      <c r="AH106" s="2973"/>
      <c r="AI106" s="2973"/>
      <c r="AJ106" s="2973"/>
      <c r="AK106" s="2973"/>
      <c r="AL106" s="2973"/>
      <c r="AM106" s="2973"/>
      <c r="AN106" s="2973"/>
      <c r="AO106" s="2973"/>
      <c r="AP106" s="2973"/>
      <c r="AQ106" s="2973"/>
      <c r="AR106" s="3039"/>
      <c r="AS106" s="2835"/>
      <c r="AT106" s="3039"/>
      <c r="AU106" s="2835"/>
      <c r="AV106" s="3039"/>
      <c r="AW106" s="2835"/>
      <c r="AX106" s="3039"/>
      <c r="AY106" s="2835"/>
      <c r="AZ106" s="3039"/>
      <c r="BA106" s="2835"/>
      <c r="BB106" s="3039"/>
      <c r="BC106" s="2835"/>
      <c r="BD106" s="3039"/>
      <c r="BE106" s="2835"/>
      <c r="BF106" s="2858"/>
      <c r="BG106" s="2835"/>
      <c r="BH106" s="2858"/>
      <c r="BI106" s="2865"/>
      <c r="BJ106" s="2868"/>
      <c r="BK106" s="2855"/>
      <c r="BL106" s="2858"/>
      <c r="BM106" s="2858"/>
      <c r="BN106" s="3013"/>
      <c r="BO106" s="3013"/>
      <c r="BP106" s="2976"/>
      <c r="BQ106" s="2976"/>
      <c r="BR106" s="2840"/>
      <c r="BS106" s="908"/>
      <c r="BT106" s="908"/>
    </row>
    <row r="107" spans="1:72" s="458" customFormat="1" ht="22.5" customHeight="1" x14ac:dyDescent="0.2">
      <c r="A107" s="2799"/>
      <c r="B107" s="2802"/>
      <c r="C107" s="2803"/>
      <c r="D107" s="3027"/>
      <c r="E107" s="3028"/>
      <c r="F107" s="3029"/>
      <c r="G107" s="908"/>
      <c r="H107" s="928"/>
      <c r="I107" s="929"/>
      <c r="J107" s="2848">
        <v>253</v>
      </c>
      <c r="K107" s="2810" t="s">
        <v>1014</v>
      </c>
      <c r="L107" s="2810" t="s">
        <v>1015</v>
      </c>
      <c r="M107" s="3041" t="s">
        <v>888</v>
      </c>
      <c r="N107" s="3041"/>
      <c r="O107" s="3018"/>
      <c r="P107" s="2809"/>
      <c r="Q107" s="2983"/>
      <c r="R107" s="2961">
        <f>SUM(W107:W108)/S94</f>
        <v>0.20757812315949312</v>
      </c>
      <c r="S107" s="2868"/>
      <c r="T107" s="2819"/>
      <c r="U107" s="2819"/>
      <c r="V107" s="845" t="s">
        <v>1016</v>
      </c>
      <c r="W107" s="945">
        <v>91923000</v>
      </c>
      <c r="X107" s="1013"/>
      <c r="Y107" s="978"/>
      <c r="Z107" s="1031">
        <v>20</v>
      </c>
      <c r="AA107" s="1013" t="s">
        <v>70</v>
      </c>
      <c r="AB107" s="2973"/>
      <c r="AC107" s="2973"/>
      <c r="AD107" s="2973"/>
      <c r="AE107" s="2973"/>
      <c r="AF107" s="2973"/>
      <c r="AG107" s="2973"/>
      <c r="AH107" s="2973"/>
      <c r="AI107" s="2973"/>
      <c r="AJ107" s="2973"/>
      <c r="AK107" s="2973"/>
      <c r="AL107" s="2973"/>
      <c r="AM107" s="2973"/>
      <c r="AN107" s="2973"/>
      <c r="AO107" s="2973"/>
      <c r="AP107" s="2973"/>
      <c r="AQ107" s="2973"/>
      <c r="AR107" s="3039"/>
      <c r="AS107" s="2835"/>
      <c r="AT107" s="3039"/>
      <c r="AU107" s="2835"/>
      <c r="AV107" s="3039"/>
      <c r="AW107" s="2835"/>
      <c r="AX107" s="3039"/>
      <c r="AY107" s="2835"/>
      <c r="AZ107" s="3039"/>
      <c r="BA107" s="2835"/>
      <c r="BB107" s="3039"/>
      <c r="BC107" s="2835"/>
      <c r="BD107" s="3039"/>
      <c r="BE107" s="2835"/>
      <c r="BF107" s="2858"/>
      <c r="BG107" s="2835"/>
      <c r="BH107" s="2858"/>
      <c r="BI107" s="2865"/>
      <c r="BJ107" s="2868"/>
      <c r="BK107" s="2855"/>
      <c r="BL107" s="2858"/>
      <c r="BM107" s="2858"/>
      <c r="BN107" s="3013"/>
      <c r="BO107" s="3013"/>
      <c r="BP107" s="2976"/>
      <c r="BQ107" s="2976"/>
      <c r="BR107" s="2840"/>
      <c r="BS107" s="908"/>
      <c r="BT107" s="908"/>
    </row>
    <row r="108" spans="1:72" s="458" customFormat="1" ht="47.25" customHeight="1" x14ac:dyDescent="0.2">
      <c r="A108" s="2799"/>
      <c r="B108" s="2802"/>
      <c r="C108" s="2803"/>
      <c r="D108" s="3027"/>
      <c r="E108" s="3028"/>
      <c r="F108" s="3029"/>
      <c r="G108" s="908"/>
      <c r="H108" s="928"/>
      <c r="I108" s="929"/>
      <c r="J108" s="2849"/>
      <c r="K108" s="2811"/>
      <c r="L108" s="2811"/>
      <c r="M108" s="3042"/>
      <c r="N108" s="3042"/>
      <c r="O108" s="3018"/>
      <c r="P108" s="2809"/>
      <c r="Q108" s="2983"/>
      <c r="R108" s="2962"/>
      <c r="S108" s="2868"/>
      <c r="T108" s="2819"/>
      <c r="U108" s="2819"/>
      <c r="V108" s="845" t="s">
        <v>1017</v>
      </c>
      <c r="W108" s="945">
        <v>5000000</v>
      </c>
      <c r="X108" s="1013"/>
      <c r="Y108" s="978"/>
      <c r="Z108" s="1031">
        <v>20</v>
      </c>
      <c r="AA108" s="1013" t="s">
        <v>70</v>
      </c>
      <c r="AB108" s="2973"/>
      <c r="AC108" s="2973"/>
      <c r="AD108" s="2973"/>
      <c r="AE108" s="2973"/>
      <c r="AF108" s="2973"/>
      <c r="AG108" s="2973"/>
      <c r="AH108" s="2973"/>
      <c r="AI108" s="2973"/>
      <c r="AJ108" s="2973"/>
      <c r="AK108" s="2973"/>
      <c r="AL108" s="2973"/>
      <c r="AM108" s="2973"/>
      <c r="AN108" s="2973"/>
      <c r="AO108" s="2973"/>
      <c r="AP108" s="2973"/>
      <c r="AQ108" s="2973"/>
      <c r="AR108" s="3039"/>
      <c r="AS108" s="2835"/>
      <c r="AT108" s="3039"/>
      <c r="AU108" s="2835"/>
      <c r="AV108" s="3039"/>
      <c r="AW108" s="2835"/>
      <c r="AX108" s="3039"/>
      <c r="AY108" s="2835"/>
      <c r="AZ108" s="3039"/>
      <c r="BA108" s="2835"/>
      <c r="BB108" s="3039"/>
      <c r="BC108" s="2835"/>
      <c r="BD108" s="3039"/>
      <c r="BE108" s="2835"/>
      <c r="BF108" s="2858"/>
      <c r="BG108" s="2835"/>
      <c r="BH108" s="2858"/>
      <c r="BI108" s="2865"/>
      <c r="BJ108" s="2868"/>
      <c r="BK108" s="2855"/>
      <c r="BL108" s="2858"/>
      <c r="BM108" s="2858"/>
      <c r="BN108" s="3013"/>
      <c r="BO108" s="3013"/>
      <c r="BP108" s="2976"/>
      <c r="BQ108" s="2976"/>
      <c r="BR108" s="2840"/>
      <c r="BS108" s="908"/>
      <c r="BT108" s="908"/>
    </row>
    <row r="109" spans="1:72" s="458" customFormat="1" ht="28.5" x14ac:dyDescent="0.2">
      <c r="A109" s="2799"/>
      <c r="B109" s="2802"/>
      <c r="C109" s="2803"/>
      <c r="D109" s="3027"/>
      <c r="E109" s="3028"/>
      <c r="F109" s="3029"/>
      <c r="G109" s="908"/>
      <c r="H109" s="928"/>
      <c r="I109" s="929"/>
      <c r="J109" s="3017">
        <v>254</v>
      </c>
      <c r="K109" s="2819" t="s">
        <v>1018</v>
      </c>
      <c r="L109" s="2819" t="s">
        <v>1019</v>
      </c>
      <c r="M109" s="3017">
        <v>1</v>
      </c>
      <c r="N109" s="2848"/>
      <c r="O109" s="3018"/>
      <c r="P109" s="2809"/>
      <c r="Q109" s="2983"/>
      <c r="R109" s="2961">
        <f>SUM(W109:W113)/S94</f>
        <v>0.27841849726828621</v>
      </c>
      <c r="S109" s="2868"/>
      <c r="T109" s="2819"/>
      <c r="U109" s="2819"/>
      <c r="V109" s="845" t="s">
        <v>1020</v>
      </c>
      <c r="W109" s="945">
        <v>54000000</v>
      </c>
      <c r="X109" s="1013"/>
      <c r="Y109" s="978"/>
      <c r="Z109" s="1031">
        <v>20</v>
      </c>
      <c r="AA109" s="1013" t="s">
        <v>70</v>
      </c>
      <c r="AB109" s="2973"/>
      <c r="AC109" s="2973"/>
      <c r="AD109" s="2973"/>
      <c r="AE109" s="2973"/>
      <c r="AF109" s="2973"/>
      <c r="AG109" s="2973"/>
      <c r="AH109" s="2973"/>
      <c r="AI109" s="2973"/>
      <c r="AJ109" s="2973"/>
      <c r="AK109" s="2973"/>
      <c r="AL109" s="2973"/>
      <c r="AM109" s="2973"/>
      <c r="AN109" s="2973"/>
      <c r="AO109" s="2973"/>
      <c r="AP109" s="2973"/>
      <c r="AQ109" s="2973"/>
      <c r="AR109" s="3039"/>
      <c r="AS109" s="2835"/>
      <c r="AT109" s="3039"/>
      <c r="AU109" s="2835"/>
      <c r="AV109" s="3039"/>
      <c r="AW109" s="2835"/>
      <c r="AX109" s="3039"/>
      <c r="AY109" s="2835"/>
      <c r="AZ109" s="3039"/>
      <c r="BA109" s="2835"/>
      <c r="BB109" s="3039"/>
      <c r="BC109" s="2835"/>
      <c r="BD109" s="3039"/>
      <c r="BE109" s="2835"/>
      <c r="BF109" s="2858"/>
      <c r="BG109" s="2835"/>
      <c r="BH109" s="2858"/>
      <c r="BI109" s="2865"/>
      <c r="BJ109" s="2868"/>
      <c r="BK109" s="2855"/>
      <c r="BL109" s="2858"/>
      <c r="BM109" s="2858"/>
      <c r="BN109" s="3013"/>
      <c r="BO109" s="3013"/>
      <c r="BP109" s="2976"/>
      <c r="BQ109" s="2976"/>
      <c r="BR109" s="2840"/>
      <c r="BS109" s="908"/>
      <c r="BT109" s="908"/>
    </row>
    <row r="110" spans="1:72" s="458" customFormat="1" ht="42.75" x14ac:dyDescent="0.2">
      <c r="A110" s="2799"/>
      <c r="B110" s="2802"/>
      <c r="C110" s="2803"/>
      <c r="D110" s="3027"/>
      <c r="E110" s="3028"/>
      <c r="F110" s="3029"/>
      <c r="G110" s="908"/>
      <c r="H110" s="928"/>
      <c r="I110" s="929"/>
      <c r="J110" s="3017"/>
      <c r="K110" s="2819"/>
      <c r="L110" s="2819"/>
      <c r="M110" s="3017"/>
      <c r="N110" s="2849"/>
      <c r="O110" s="3018"/>
      <c r="P110" s="2809"/>
      <c r="Q110" s="2983"/>
      <c r="R110" s="2962"/>
      <c r="S110" s="2868"/>
      <c r="T110" s="2819"/>
      <c r="U110" s="2819"/>
      <c r="V110" s="845" t="s">
        <v>1021</v>
      </c>
      <c r="W110" s="945">
        <v>36000000</v>
      </c>
      <c r="X110" s="1013"/>
      <c r="Y110" s="978"/>
      <c r="Z110" s="1031">
        <v>20</v>
      </c>
      <c r="AA110" s="1013" t="s">
        <v>70</v>
      </c>
      <c r="AB110" s="2973"/>
      <c r="AC110" s="2973"/>
      <c r="AD110" s="2973"/>
      <c r="AE110" s="2973"/>
      <c r="AF110" s="2973"/>
      <c r="AG110" s="2973"/>
      <c r="AH110" s="2973"/>
      <c r="AI110" s="2973"/>
      <c r="AJ110" s="2973"/>
      <c r="AK110" s="2973"/>
      <c r="AL110" s="2973"/>
      <c r="AM110" s="2973"/>
      <c r="AN110" s="2973"/>
      <c r="AO110" s="2973"/>
      <c r="AP110" s="2973"/>
      <c r="AQ110" s="2973"/>
      <c r="AR110" s="3039"/>
      <c r="AS110" s="2835"/>
      <c r="AT110" s="3039"/>
      <c r="AU110" s="2835"/>
      <c r="AV110" s="3039"/>
      <c r="AW110" s="2835"/>
      <c r="AX110" s="3039"/>
      <c r="AY110" s="2835"/>
      <c r="AZ110" s="3039"/>
      <c r="BA110" s="2835"/>
      <c r="BB110" s="3039"/>
      <c r="BC110" s="2835"/>
      <c r="BD110" s="3039"/>
      <c r="BE110" s="2835"/>
      <c r="BF110" s="2858"/>
      <c r="BG110" s="2835"/>
      <c r="BH110" s="2858"/>
      <c r="BI110" s="2865"/>
      <c r="BJ110" s="2868"/>
      <c r="BK110" s="2855"/>
      <c r="BL110" s="2858"/>
      <c r="BM110" s="2858"/>
      <c r="BN110" s="3013"/>
      <c r="BO110" s="3013"/>
      <c r="BP110" s="2976"/>
      <c r="BQ110" s="2976"/>
      <c r="BR110" s="2840"/>
      <c r="BS110" s="908"/>
      <c r="BT110" s="908"/>
    </row>
    <row r="111" spans="1:72" s="458" customFormat="1" ht="28.5" x14ac:dyDescent="0.2">
      <c r="A111" s="2799"/>
      <c r="B111" s="2802"/>
      <c r="C111" s="2803"/>
      <c r="D111" s="3027"/>
      <c r="E111" s="3028"/>
      <c r="F111" s="3029"/>
      <c r="G111" s="908"/>
      <c r="H111" s="928"/>
      <c r="I111" s="929"/>
      <c r="J111" s="3017"/>
      <c r="K111" s="2819"/>
      <c r="L111" s="2819"/>
      <c r="M111" s="3017"/>
      <c r="N111" s="2849"/>
      <c r="O111" s="3018"/>
      <c r="P111" s="2809"/>
      <c r="Q111" s="2983"/>
      <c r="R111" s="2962"/>
      <c r="S111" s="2868"/>
      <c r="T111" s="2819"/>
      <c r="U111" s="2819"/>
      <c r="V111" s="840" t="s">
        <v>1022</v>
      </c>
      <c r="W111" s="945">
        <v>8000000</v>
      </c>
      <c r="X111" s="1013"/>
      <c r="Y111" s="978"/>
      <c r="Z111" s="1031">
        <v>20</v>
      </c>
      <c r="AA111" s="1013" t="s">
        <v>70</v>
      </c>
      <c r="AB111" s="2973"/>
      <c r="AC111" s="2973"/>
      <c r="AD111" s="2973"/>
      <c r="AE111" s="2973"/>
      <c r="AF111" s="2973"/>
      <c r="AG111" s="2973"/>
      <c r="AH111" s="2973"/>
      <c r="AI111" s="2973"/>
      <c r="AJ111" s="2973"/>
      <c r="AK111" s="2973"/>
      <c r="AL111" s="2973"/>
      <c r="AM111" s="2973"/>
      <c r="AN111" s="2973"/>
      <c r="AO111" s="2973"/>
      <c r="AP111" s="2973"/>
      <c r="AQ111" s="2973"/>
      <c r="AR111" s="3039"/>
      <c r="AS111" s="2835"/>
      <c r="AT111" s="3039"/>
      <c r="AU111" s="2835"/>
      <c r="AV111" s="3039"/>
      <c r="AW111" s="2835"/>
      <c r="AX111" s="3039"/>
      <c r="AY111" s="2835"/>
      <c r="AZ111" s="3039"/>
      <c r="BA111" s="2835"/>
      <c r="BB111" s="3039"/>
      <c r="BC111" s="2835"/>
      <c r="BD111" s="3039"/>
      <c r="BE111" s="2835"/>
      <c r="BF111" s="2858"/>
      <c r="BG111" s="2835"/>
      <c r="BH111" s="2858"/>
      <c r="BI111" s="2865"/>
      <c r="BJ111" s="2868"/>
      <c r="BK111" s="2855"/>
      <c r="BL111" s="2858"/>
      <c r="BM111" s="2858"/>
      <c r="BN111" s="3013"/>
      <c r="BO111" s="3013"/>
      <c r="BP111" s="2976"/>
      <c r="BQ111" s="2976"/>
      <c r="BR111" s="2840"/>
      <c r="BS111" s="908"/>
      <c r="BT111" s="908"/>
    </row>
    <row r="112" spans="1:72" s="458" customFormat="1" ht="17.25" customHeight="1" x14ac:dyDescent="0.2">
      <c r="A112" s="2799"/>
      <c r="B112" s="2802"/>
      <c r="C112" s="2803"/>
      <c r="D112" s="3027"/>
      <c r="E112" s="3028"/>
      <c r="F112" s="3029"/>
      <c r="G112" s="908"/>
      <c r="H112" s="928"/>
      <c r="I112" s="929"/>
      <c r="J112" s="3017"/>
      <c r="K112" s="2819"/>
      <c r="L112" s="2819"/>
      <c r="M112" s="3017"/>
      <c r="N112" s="2849"/>
      <c r="O112" s="3018"/>
      <c r="P112" s="2809"/>
      <c r="Q112" s="2983"/>
      <c r="R112" s="2962"/>
      <c r="S112" s="2868"/>
      <c r="T112" s="2819"/>
      <c r="U112" s="2819"/>
      <c r="V112" s="840" t="s">
        <v>1023</v>
      </c>
      <c r="W112" s="945">
        <v>12000000</v>
      </c>
      <c r="X112" s="1013"/>
      <c r="Y112" s="978"/>
      <c r="Z112" s="1031">
        <v>20</v>
      </c>
      <c r="AA112" s="1013" t="s">
        <v>70</v>
      </c>
      <c r="AB112" s="2973"/>
      <c r="AC112" s="2973"/>
      <c r="AD112" s="2973"/>
      <c r="AE112" s="2973"/>
      <c r="AF112" s="2973"/>
      <c r="AG112" s="2973"/>
      <c r="AH112" s="2973"/>
      <c r="AI112" s="2973"/>
      <c r="AJ112" s="2973"/>
      <c r="AK112" s="2973"/>
      <c r="AL112" s="2973"/>
      <c r="AM112" s="2973"/>
      <c r="AN112" s="2973"/>
      <c r="AO112" s="2973"/>
      <c r="AP112" s="2973"/>
      <c r="AQ112" s="2973"/>
      <c r="AR112" s="3039"/>
      <c r="AS112" s="2835"/>
      <c r="AT112" s="3039"/>
      <c r="AU112" s="2835"/>
      <c r="AV112" s="3039"/>
      <c r="AW112" s="2835"/>
      <c r="AX112" s="3039"/>
      <c r="AY112" s="2835"/>
      <c r="AZ112" s="3039"/>
      <c r="BA112" s="2835"/>
      <c r="BB112" s="3039"/>
      <c r="BC112" s="2835"/>
      <c r="BD112" s="3039"/>
      <c r="BE112" s="2835"/>
      <c r="BF112" s="2858"/>
      <c r="BG112" s="2835"/>
      <c r="BH112" s="2858"/>
      <c r="BI112" s="2865"/>
      <c r="BJ112" s="2868"/>
      <c r="BK112" s="2855"/>
      <c r="BL112" s="2858"/>
      <c r="BM112" s="2858"/>
      <c r="BN112" s="3013"/>
      <c r="BO112" s="3013"/>
      <c r="BP112" s="2976"/>
      <c r="BQ112" s="2976"/>
      <c r="BR112" s="2840"/>
      <c r="BS112" s="908"/>
      <c r="BT112" s="908"/>
    </row>
    <row r="113" spans="1:72" s="458" customFormat="1" ht="24" customHeight="1" x14ac:dyDescent="0.2">
      <c r="A113" s="2799"/>
      <c r="B113" s="2802"/>
      <c r="C113" s="2803"/>
      <c r="D113" s="3030"/>
      <c r="E113" s="3031"/>
      <c r="F113" s="3032"/>
      <c r="H113" s="928"/>
      <c r="I113" s="929"/>
      <c r="J113" s="2848"/>
      <c r="K113" s="2810"/>
      <c r="L113" s="2810"/>
      <c r="M113" s="2848"/>
      <c r="N113" s="2849"/>
      <c r="O113" s="3018"/>
      <c r="P113" s="2809"/>
      <c r="Q113" s="2983"/>
      <c r="R113" s="2962"/>
      <c r="S113" s="2868"/>
      <c r="T113" s="2810"/>
      <c r="U113" s="2819"/>
      <c r="V113" s="848" t="s">
        <v>1024</v>
      </c>
      <c r="W113" s="1019">
        <v>20000000</v>
      </c>
      <c r="X113" s="1023"/>
      <c r="Y113" s="978"/>
      <c r="Z113" s="1031">
        <v>20</v>
      </c>
      <c r="AA113" s="1023" t="s">
        <v>70</v>
      </c>
      <c r="AB113" s="2973"/>
      <c r="AC113" s="2973"/>
      <c r="AD113" s="2973"/>
      <c r="AE113" s="2973"/>
      <c r="AF113" s="2973"/>
      <c r="AG113" s="2973"/>
      <c r="AH113" s="2973"/>
      <c r="AI113" s="2973"/>
      <c r="AJ113" s="2973"/>
      <c r="AK113" s="2973"/>
      <c r="AL113" s="2973"/>
      <c r="AM113" s="2973"/>
      <c r="AN113" s="2973"/>
      <c r="AO113" s="2973"/>
      <c r="AP113" s="2973"/>
      <c r="AQ113" s="2973"/>
      <c r="AR113" s="3040"/>
      <c r="AS113" s="2835"/>
      <c r="AT113" s="3040"/>
      <c r="AU113" s="2835"/>
      <c r="AV113" s="3040"/>
      <c r="AW113" s="2835"/>
      <c r="AX113" s="3040"/>
      <c r="AY113" s="2835"/>
      <c r="AZ113" s="3040"/>
      <c r="BA113" s="2835"/>
      <c r="BB113" s="3040"/>
      <c r="BC113" s="2835"/>
      <c r="BD113" s="3040"/>
      <c r="BE113" s="2835"/>
      <c r="BF113" s="2858"/>
      <c r="BG113" s="2835"/>
      <c r="BH113" s="2858"/>
      <c r="BI113" s="2865"/>
      <c r="BJ113" s="2868"/>
      <c r="BK113" s="2855"/>
      <c r="BL113" s="2859"/>
      <c r="BM113" s="2859"/>
      <c r="BN113" s="3014"/>
      <c r="BO113" s="3014"/>
      <c r="BP113" s="2977"/>
      <c r="BQ113" s="2977"/>
      <c r="BR113" s="3043"/>
      <c r="BS113" s="908"/>
      <c r="BT113" s="908"/>
    </row>
    <row r="114" spans="1:72" s="458" customFormat="1" ht="21.75" customHeight="1" x14ac:dyDescent="0.2">
      <c r="A114" s="2799"/>
      <c r="B114" s="2802"/>
      <c r="C114" s="2803"/>
      <c r="D114" s="958">
        <v>27</v>
      </c>
      <c r="E114" s="1033" t="s">
        <v>990</v>
      </c>
      <c r="F114" s="1041"/>
      <c r="G114" s="1042"/>
      <c r="H114" s="893"/>
      <c r="I114" s="893"/>
      <c r="J114" s="893"/>
      <c r="K114" s="1043"/>
      <c r="L114" s="1043"/>
      <c r="M114" s="893"/>
      <c r="N114" s="893"/>
      <c r="O114" s="893"/>
      <c r="P114" s="893"/>
      <c r="Q114" s="1043"/>
      <c r="R114" s="893"/>
      <c r="S114" s="893"/>
      <c r="T114" s="1043"/>
      <c r="U114" s="893"/>
      <c r="V114" s="1043"/>
      <c r="W114" s="893"/>
      <c r="X114" s="893"/>
      <c r="Y114" s="893"/>
      <c r="Z114" s="893"/>
      <c r="AA114" s="893"/>
      <c r="AB114" s="893"/>
      <c r="AC114" s="1044"/>
      <c r="AD114" s="893"/>
      <c r="AE114" s="1044"/>
      <c r="AF114" s="893"/>
      <c r="AG114" s="1044"/>
      <c r="AH114" s="893"/>
      <c r="AI114" s="1044"/>
      <c r="AJ114" s="893"/>
      <c r="AK114" s="1044"/>
      <c r="AL114" s="893"/>
      <c r="AM114" s="1044"/>
      <c r="AN114" s="893"/>
      <c r="AO114" s="1044"/>
      <c r="AP114" s="893"/>
      <c r="AQ114" s="1044"/>
      <c r="AR114" s="893"/>
      <c r="AS114" s="1044"/>
      <c r="AT114" s="893"/>
      <c r="AU114" s="1044"/>
      <c r="AV114" s="893"/>
      <c r="AW114" s="1044"/>
      <c r="AX114" s="893"/>
      <c r="AY114" s="1044"/>
      <c r="AZ114" s="893"/>
      <c r="BA114" s="1044"/>
      <c r="BB114" s="893"/>
      <c r="BC114" s="1044"/>
      <c r="BD114" s="893"/>
      <c r="BE114" s="1044"/>
      <c r="BF114" s="893"/>
      <c r="BG114" s="1044"/>
      <c r="BH114" s="893"/>
      <c r="BI114" s="893"/>
      <c r="BJ114" s="893"/>
      <c r="BK114" s="893"/>
      <c r="BL114" s="893"/>
      <c r="BM114" s="893"/>
      <c r="BN114" s="893"/>
      <c r="BO114" s="893"/>
      <c r="BP114" s="893"/>
      <c r="BQ114" s="893"/>
      <c r="BR114" s="1045"/>
      <c r="BS114" s="908"/>
      <c r="BT114" s="908"/>
    </row>
    <row r="115" spans="1:72" s="908" customFormat="1" ht="24.75" customHeight="1" x14ac:dyDescent="0.2">
      <c r="A115" s="2799"/>
      <c r="B115" s="2802"/>
      <c r="C115" s="2803"/>
      <c r="D115" s="3044"/>
      <c r="E115" s="3044"/>
      <c r="F115" s="3044"/>
      <c r="G115" s="1046">
        <v>86</v>
      </c>
      <c r="H115" s="987" t="s">
        <v>1025</v>
      </c>
      <c r="I115" s="987"/>
      <c r="J115" s="988"/>
      <c r="K115" s="989"/>
      <c r="L115" s="990"/>
      <c r="M115" s="324"/>
      <c r="N115" s="1047"/>
      <c r="O115" s="1048"/>
      <c r="P115" s="991"/>
      <c r="Q115" s="1049"/>
      <c r="R115" s="992"/>
      <c r="S115" s="993"/>
      <c r="T115" s="990"/>
      <c r="U115" s="989"/>
      <c r="V115" s="989"/>
      <c r="W115" s="1050"/>
      <c r="X115" s="1050"/>
      <c r="Y115" s="1050"/>
      <c r="Z115" s="1051"/>
      <c r="AA115" s="1051"/>
      <c r="AB115" s="1052"/>
      <c r="AC115" s="1053"/>
      <c r="AD115" s="1052"/>
      <c r="AE115" s="1053"/>
      <c r="AF115" s="1052"/>
      <c r="AG115" s="1053"/>
      <c r="AH115" s="1052"/>
      <c r="AI115" s="1053"/>
      <c r="AJ115" s="1052"/>
      <c r="AK115" s="1053"/>
      <c r="AL115" s="1052"/>
      <c r="AM115" s="1053"/>
      <c r="AN115" s="1052"/>
      <c r="AO115" s="1053"/>
      <c r="AP115" s="1052"/>
      <c r="AQ115" s="1053"/>
      <c r="AR115" s="1052"/>
      <c r="AS115" s="1053"/>
      <c r="AT115" s="1052"/>
      <c r="AU115" s="1053"/>
      <c r="AV115" s="1052"/>
      <c r="AW115" s="1053"/>
      <c r="AX115" s="1052"/>
      <c r="AY115" s="1053"/>
      <c r="AZ115" s="1052"/>
      <c r="BA115" s="1053"/>
      <c r="BB115" s="1052"/>
      <c r="BC115" s="1053"/>
      <c r="BD115" s="1052"/>
      <c r="BE115" s="1053"/>
      <c r="BF115" s="1052"/>
      <c r="BG115" s="1053"/>
      <c r="BH115" s="1052"/>
      <c r="BI115" s="1054"/>
      <c r="BJ115" s="1054"/>
      <c r="BK115" s="1052"/>
      <c r="BL115" s="1052"/>
      <c r="BM115" s="1052"/>
      <c r="BN115" s="1052"/>
      <c r="BO115" s="1052"/>
      <c r="BP115" s="1052"/>
      <c r="BQ115" s="1052"/>
      <c r="BR115" s="1055"/>
    </row>
    <row r="116" spans="1:72" s="458" customFormat="1" ht="42.75" x14ac:dyDescent="0.2">
      <c r="A116" s="2799"/>
      <c r="B116" s="2802"/>
      <c r="C116" s="2803"/>
      <c r="D116" s="3044"/>
      <c r="E116" s="3044"/>
      <c r="F116" s="3044"/>
      <c r="G116" s="908"/>
      <c r="H116" s="1180"/>
      <c r="I116" s="923"/>
      <c r="J116" s="3017">
        <v>255</v>
      </c>
      <c r="K116" s="2819" t="s">
        <v>1026</v>
      </c>
      <c r="L116" s="2819" t="s">
        <v>1027</v>
      </c>
      <c r="M116" s="3017">
        <v>12</v>
      </c>
      <c r="N116" s="2848">
        <v>8</v>
      </c>
      <c r="O116" s="3018" t="s">
        <v>1028</v>
      </c>
      <c r="P116" s="2809" t="s">
        <v>1029</v>
      </c>
      <c r="Q116" s="2983" t="s">
        <v>1030</v>
      </c>
      <c r="R116" s="3004">
        <f>SUM(W116:W122)/S116</f>
        <v>1</v>
      </c>
      <c r="S116" s="2951">
        <f>SUM(W116:W122)</f>
        <v>170000000</v>
      </c>
      <c r="T116" s="2819" t="s">
        <v>1031</v>
      </c>
      <c r="U116" s="2819" t="s">
        <v>1032</v>
      </c>
      <c r="V116" s="1056" t="s">
        <v>1033</v>
      </c>
      <c r="W116" s="1019">
        <v>57000000</v>
      </c>
      <c r="X116" s="1057">
        <v>8800000</v>
      </c>
      <c r="Y116" s="1058">
        <v>5600000</v>
      </c>
      <c r="Z116" s="1059" t="s">
        <v>939</v>
      </c>
      <c r="AA116" s="1060" t="s">
        <v>751</v>
      </c>
      <c r="AB116" s="3046">
        <v>2290</v>
      </c>
      <c r="AC116" s="3046">
        <v>137</v>
      </c>
      <c r="AD116" s="3046">
        <v>2210</v>
      </c>
      <c r="AE116" s="3046">
        <v>104</v>
      </c>
      <c r="AF116" s="3046">
        <v>0</v>
      </c>
      <c r="AG116" s="3046"/>
      <c r="AH116" s="3048">
        <v>0</v>
      </c>
      <c r="AI116" s="3002">
        <v>3</v>
      </c>
      <c r="AJ116" s="3048">
        <v>4500</v>
      </c>
      <c r="AK116" s="3048">
        <v>207</v>
      </c>
      <c r="AL116" s="3048">
        <v>0</v>
      </c>
      <c r="AM116" s="3002">
        <v>31</v>
      </c>
      <c r="AN116" s="3048">
        <v>0</v>
      </c>
      <c r="AO116" s="2863"/>
      <c r="AP116" s="2856">
        <v>0</v>
      </c>
      <c r="AQ116" s="2834"/>
      <c r="AR116" s="2856">
        <v>0</v>
      </c>
      <c r="AS116" s="2834"/>
      <c r="AT116" s="2856">
        <v>0</v>
      </c>
      <c r="AU116" s="2834"/>
      <c r="AV116" s="2856">
        <v>0</v>
      </c>
      <c r="AW116" s="2834"/>
      <c r="AX116" s="2856">
        <v>0</v>
      </c>
      <c r="AY116" s="2834"/>
      <c r="AZ116" s="2856">
        <v>0</v>
      </c>
      <c r="BA116" s="2834"/>
      <c r="BB116" s="2856">
        <v>0</v>
      </c>
      <c r="BC116" s="2834"/>
      <c r="BD116" s="2856">
        <v>0</v>
      </c>
      <c r="BE116" s="2834"/>
      <c r="BF116" s="2863">
        <f>SUM(AB116:AD122)</f>
        <v>4637</v>
      </c>
      <c r="BG116" s="2949">
        <f>AC116+AE116+AG116+AI116+AK116+AM116</f>
        <v>482</v>
      </c>
      <c r="BH116" s="2863">
        <v>2</v>
      </c>
      <c r="BI116" s="2864">
        <f>SUM(X116:X122)</f>
        <v>8800000</v>
      </c>
      <c r="BJ116" s="2867">
        <f>SUM(Y116:Y122)</f>
        <v>5600000</v>
      </c>
      <c r="BK116" s="2854"/>
      <c r="BL116" s="2863">
        <v>20</v>
      </c>
      <c r="BM116" s="2857" t="s">
        <v>853</v>
      </c>
      <c r="BN116" s="2975">
        <v>43832</v>
      </c>
      <c r="BO116" s="2975">
        <v>43874</v>
      </c>
      <c r="BP116" s="3051">
        <v>44196</v>
      </c>
      <c r="BQ116" s="3051">
        <v>43993</v>
      </c>
      <c r="BR116" s="2950" t="s">
        <v>854</v>
      </c>
      <c r="BS116" s="908"/>
      <c r="BT116" s="908"/>
    </row>
    <row r="117" spans="1:72" s="458" customFormat="1" ht="48.75" customHeight="1" x14ac:dyDescent="0.2">
      <c r="A117" s="2799"/>
      <c r="B117" s="2802"/>
      <c r="C117" s="2803"/>
      <c r="D117" s="3044"/>
      <c r="E117" s="3044"/>
      <c r="F117" s="3044"/>
      <c r="G117" s="908"/>
      <c r="H117" s="928"/>
      <c r="I117" s="929"/>
      <c r="J117" s="3017"/>
      <c r="K117" s="2819"/>
      <c r="L117" s="2819"/>
      <c r="M117" s="3017"/>
      <c r="N117" s="2849"/>
      <c r="O117" s="3018"/>
      <c r="P117" s="2809"/>
      <c r="Q117" s="2983"/>
      <c r="R117" s="3004"/>
      <c r="S117" s="2951"/>
      <c r="T117" s="2819"/>
      <c r="U117" s="2819"/>
      <c r="V117" s="1056" t="s">
        <v>1034</v>
      </c>
      <c r="W117" s="1019">
        <v>30000000</v>
      </c>
      <c r="X117" s="1057"/>
      <c r="Y117" s="1058"/>
      <c r="Z117" s="1059" t="s">
        <v>939</v>
      </c>
      <c r="AA117" s="1060" t="s">
        <v>751</v>
      </c>
      <c r="AB117" s="3046"/>
      <c r="AC117" s="3046"/>
      <c r="AD117" s="3046"/>
      <c r="AE117" s="3046"/>
      <c r="AF117" s="3046"/>
      <c r="AG117" s="3046"/>
      <c r="AH117" s="3048"/>
      <c r="AI117" s="3003"/>
      <c r="AJ117" s="3048"/>
      <c r="AK117" s="3048"/>
      <c r="AL117" s="3048"/>
      <c r="AM117" s="3003"/>
      <c r="AN117" s="3048"/>
      <c r="AO117" s="2858"/>
      <c r="AP117" s="2856"/>
      <c r="AQ117" s="2835"/>
      <c r="AR117" s="2856"/>
      <c r="AS117" s="2835"/>
      <c r="AT117" s="2856"/>
      <c r="AU117" s="2835"/>
      <c r="AV117" s="2856"/>
      <c r="AW117" s="2835"/>
      <c r="AX117" s="2856"/>
      <c r="AY117" s="2835"/>
      <c r="AZ117" s="2856"/>
      <c r="BA117" s="2835"/>
      <c r="BB117" s="2856"/>
      <c r="BC117" s="2835"/>
      <c r="BD117" s="2856"/>
      <c r="BE117" s="2835"/>
      <c r="BF117" s="2858"/>
      <c r="BG117" s="2949"/>
      <c r="BH117" s="2858"/>
      <c r="BI117" s="2865"/>
      <c r="BJ117" s="2868"/>
      <c r="BK117" s="2855"/>
      <c r="BL117" s="2858"/>
      <c r="BM117" s="2858"/>
      <c r="BN117" s="2976"/>
      <c r="BO117" s="2976"/>
      <c r="BP117" s="3052"/>
      <c r="BQ117" s="3052"/>
      <c r="BR117" s="2950"/>
      <c r="BS117" s="908"/>
      <c r="BT117" s="908"/>
    </row>
    <row r="118" spans="1:72" s="458" customFormat="1" ht="39.75" customHeight="1" x14ac:dyDescent="0.2">
      <c r="A118" s="2799"/>
      <c r="B118" s="2802"/>
      <c r="C118" s="2803"/>
      <c r="D118" s="3044"/>
      <c r="E118" s="3044"/>
      <c r="F118" s="3044"/>
      <c r="G118" s="908"/>
      <c r="H118" s="928"/>
      <c r="I118" s="929"/>
      <c r="J118" s="3017"/>
      <c r="K118" s="2819"/>
      <c r="L118" s="2819"/>
      <c r="M118" s="3017"/>
      <c r="N118" s="2849"/>
      <c r="O118" s="3018"/>
      <c r="P118" s="2809"/>
      <c r="Q118" s="2983"/>
      <c r="R118" s="3004"/>
      <c r="S118" s="2951"/>
      <c r="T118" s="2819"/>
      <c r="U118" s="2819"/>
      <c r="V118" s="1056" t="s">
        <v>1035</v>
      </c>
      <c r="W118" s="1019">
        <v>12000000</v>
      </c>
      <c r="X118" s="1057"/>
      <c r="Y118" s="1058"/>
      <c r="Z118" s="1059" t="s">
        <v>939</v>
      </c>
      <c r="AA118" s="1060" t="s">
        <v>751</v>
      </c>
      <c r="AB118" s="3046"/>
      <c r="AC118" s="3046"/>
      <c r="AD118" s="3046"/>
      <c r="AE118" s="3046"/>
      <c r="AF118" s="3046"/>
      <c r="AG118" s="3046"/>
      <c r="AH118" s="3048"/>
      <c r="AI118" s="3003"/>
      <c r="AJ118" s="3048"/>
      <c r="AK118" s="3048"/>
      <c r="AL118" s="3048"/>
      <c r="AM118" s="3003"/>
      <c r="AN118" s="3048"/>
      <c r="AO118" s="2858"/>
      <c r="AP118" s="2856"/>
      <c r="AQ118" s="2835"/>
      <c r="AR118" s="2856"/>
      <c r="AS118" s="2835"/>
      <c r="AT118" s="2856"/>
      <c r="AU118" s="2835"/>
      <c r="AV118" s="2856"/>
      <c r="AW118" s="2835"/>
      <c r="AX118" s="2856"/>
      <c r="AY118" s="2835"/>
      <c r="AZ118" s="2856"/>
      <c r="BA118" s="2835"/>
      <c r="BB118" s="2856"/>
      <c r="BC118" s="2835"/>
      <c r="BD118" s="2856"/>
      <c r="BE118" s="2835"/>
      <c r="BF118" s="2858"/>
      <c r="BG118" s="2949"/>
      <c r="BH118" s="2858"/>
      <c r="BI118" s="2865"/>
      <c r="BJ118" s="2868"/>
      <c r="BK118" s="2855"/>
      <c r="BL118" s="2858"/>
      <c r="BM118" s="2858"/>
      <c r="BN118" s="2976"/>
      <c r="BO118" s="2976"/>
      <c r="BP118" s="3052"/>
      <c r="BQ118" s="3052"/>
      <c r="BR118" s="2950"/>
      <c r="BS118" s="908"/>
      <c r="BT118" s="908"/>
    </row>
    <row r="119" spans="1:72" s="458" customFormat="1" ht="36" customHeight="1" x14ac:dyDescent="0.2">
      <c r="A119" s="2799"/>
      <c r="B119" s="2802"/>
      <c r="C119" s="2803"/>
      <c r="D119" s="3044"/>
      <c r="E119" s="3044"/>
      <c r="F119" s="3044"/>
      <c r="G119" s="908"/>
      <c r="H119" s="928"/>
      <c r="I119" s="929"/>
      <c r="J119" s="3017"/>
      <c r="K119" s="2819"/>
      <c r="L119" s="2819"/>
      <c r="M119" s="3017"/>
      <c r="N119" s="2849"/>
      <c r="O119" s="3018"/>
      <c r="P119" s="2809"/>
      <c r="Q119" s="2983"/>
      <c r="R119" s="3004"/>
      <c r="S119" s="2951"/>
      <c r="T119" s="2819"/>
      <c r="U119" s="2819"/>
      <c r="V119" s="1056" t="s">
        <v>1036</v>
      </c>
      <c r="W119" s="1019">
        <v>9000000</v>
      </c>
      <c r="X119" s="1057"/>
      <c r="Y119" s="1058"/>
      <c r="Z119" s="1059" t="s">
        <v>939</v>
      </c>
      <c r="AA119" s="1060" t="s">
        <v>751</v>
      </c>
      <c r="AB119" s="3046"/>
      <c r="AC119" s="3046"/>
      <c r="AD119" s="3046"/>
      <c r="AE119" s="3046"/>
      <c r="AF119" s="3046"/>
      <c r="AG119" s="3046"/>
      <c r="AH119" s="3048"/>
      <c r="AI119" s="3003"/>
      <c r="AJ119" s="3048"/>
      <c r="AK119" s="3048"/>
      <c r="AL119" s="3048"/>
      <c r="AM119" s="3003"/>
      <c r="AN119" s="3048"/>
      <c r="AO119" s="2858"/>
      <c r="AP119" s="2856"/>
      <c r="AQ119" s="2835"/>
      <c r="AR119" s="2856"/>
      <c r="AS119" s="2835"/>
      <c r="AT119" s="2856"/>
      <c r="AU119" s="2835"/>
      <c r="AV119" s="2856"/>
      <c r="AW119" s="2835"/>
      <c r="AX119" s="2856"/>
      <c r="AY119" s="2835"/>
      <c r="AZ119" s="2856"/>
      <c r="BA119" s="2835"/>
      <c r="BB119" s="2856"/>
      <c r="BC119" s="2835"/>
      <c r="BD119" s="2856"/>
      <c r="BE119" s="2835"/>
      <c r="BF119" s="2858"/>
      <c r="BG119" s="2949"/>
      <c r="BH119" s="2858"/>
      <c r="BI119" s="2865"/>
      <c r="BJ119" s="2868"/>
      <c r="BK119" s="2855"/>
      <c r="BL119" s="2858"/>
      <c r="BM119" s="2858"/>
      <c r="BN119" s="2976"/>
      <c r="BO119" s="2976"/>
      <c r="BP119" s="3052"/>
      <c r="BQ119" s="3052"/>
      <c r="BR119" s="2950"/>
      <c r="BS119" s="908"/>
      <c r="BT119" s="908"/>
    </row>
    <row r="120" spans="1:72" s="458" customFormat="1" ht="24" customHeight="1" x14ac:dyDescent="0.2">
      <c r="A120" s="2799"/>
      <c r="B120" s="2802"/>
      <c r="C120" s="2803"/>
      <c r="D120" s="3044"/>
      <c r="E120" s="3044"/>
      <c r="F120" s="3044"/>
      <c r="G120" s="908"/>
      <c r="H120" s="928"/>
      <c r="I120" s="929"/>
      <c r="J120" s="3017"/>
      <c r="K120" s="2819"/>
      <c r="L120" s="2819"/>
      <c r="M120" s="3017"/>
      <c r="N120" s="2849"/>
      <c r="O120" s="3018"/>
      <c r="P120" s="2809"/>
      <c r="Q120" s="2983"/>
      <c r="R120" s="3004"/>
      <c r="S120" s="2951"/>
      <c r="T120" s="2819"/>
      <c r="U120" s="2819"/>
      <c r="V120" s="1056" t="s">
        <v>1037</v>
      </c>
      <c r="W120" s="1019">
        <v>7000000</v>
      </c>
      <c r="X120" s="1061"/>
      <c r="Y120" s="1062"/>
      <c r="Z120" s="1059" t="s">
        <v>939</v>
      </c>
      <c r="AA120" s="1023" t="s">
        <v>1038</v>
      </c>
      <c r="AB120" s="3046"/>
      <c r="AC120" s="3046"/>
      <c r="AD120" s="3046"/>
      <c r="AE120" s="3046"/>
      <c r="AF120" s="3046"/>
      <c r="AG120" s="3046"/>
      <c r="AH120" s="3049"/>
      <c r="AI120" s="3003"/>
      <c r="AJ120" s="3049"/>
      <c r="AK120" s="3049"/>
      <c r="AL120" s="3049"/>
      <c r="AM120" s="3003"/>
      <c r="AN120" s="3049"/>
      <c r="AO120" s="2858"/>
      <c r="AP120" s="2916"/>
      <c r="AQ120" s="2835"/>
      <c r="AR120" s="2916"/>
      <c r="AS120" s="2835"/>
      <c r="AT120" s="2916"/>
      <c r="AU120" s="2835"/>
      <c r="AV120" s="2916"/>
      <c r="AW120" s="2835"/>
      <c r="AX120" s="2916"/>
      <c r="AY120" s="2835"/>
      <c r="AZ120" s="2916"/>
      <c r="BA120" s="2835"/>
      <c r="BB120" s="2916"/>
      <c r="BC120" s="2835"/>
      <c r="BD120" s="2916"/>
      <c r="BE120" s="2835"/>
      <c r="BF120" s="2858"/>
      <c r="BG120" s="3055"/>
      <c r="BH120" s="2858"/>
      <c r="BI120" s="2865"/>
      <c r="BJ120" s="2868"/>
      <c r="BK120" s="2855"/>
      <c r="BL120" s="2858"/>
      <c r="BM120" s="2858"/>
      <c r="BN120" s="2976"/>
      <c r="BO120" s="2976"/>
      <c r="BP120" s="3052"/>
      <c r="BQ120" s="3052"/>
      <c r="BR120" s="2978"/>
      <c r="BS120" s="908"/>
      <c r="BT120" s="908"/>
    </row>
    <row r="121" spans="1:72" s="458" customFormat="1" ht="42.75" x14ac:dyDescent="0.2">
      <c r="A121" s="2799"/>
      <c r="B121" s="2802"/>
      <c r="C121" s="2803"/>
      <c r="D121" s="3044"/>
      <c r="E121" s="3044"/>
      <c r="F121" s="3044"/>
      <c r="G121" s="908"/>
      <c r="H121" s="928"/>
      <c r="I121" s="929"/>
      <c r="J121" s="3017"/>
      <c r="K121" s="2819"/>
      <c r="L121" s="2819"/>
      <c r="M121" s="3017"/>
      <c r="N121" s="2849"/>
      <c r="O121" s="3018"/>
      <c r="P121" s="2809"/>
      <c r="Q121" s="2983"/>
      <c r="R121" s="3004"/>
      <c r="S121" s="2951"/>
      <c r="T121" s="2819"/>
      <c r="U121" s="2819"/>
      <c r="V121" s="1063" t="s">
        <v>1039</v>
      </c>
      <c r="W121" s="1019">
        <v>30000000</v>
      </c>
      <c r="X121" s="1061"/>
      <c r="Y121" s="1062"/>
      <c r="Z121" s="1059" t="s">
        <v>939</v>
      </c>
      <c r="AA121" s="1023" t="s">
        <v>1038</v>
      </c>
      <c r="AB121" s="3046"/>
      <c r="AC121" s="3046"/>
      <c r="AD121" s="3046"/>
      <c r="AE121" s="3046"/>
      <c r="AF121" s="3046"/>
      <c r="AG121" s="3046"/>
      <c r="AH121" s="3049"/>
      <c r="AI121" s="3003"/>
      <c r="AJ121" s="3049"/>
      <c r="AK121" s="3049"/>
      <c r="AL121" s="3049"/>
      <c r="AM121" s="3003"/>
      <c r="AN121" s="3049"/>
      <c r="AO121" s="2858"/>
      <c r="AP121" s="2916"/>
      <c r="AQ121" s="2835"/>
      <c r="AR121" s="2916"/>
      <c r="AS121" s="2835"/>
      <c r="AT121" s="2916"/>
      <c r="AU121" s="2835"/>
      <c r="AV121" s="2916"/>
      <c r="AW121" s="2835"/>
      <c r="AX121" s="2916"/>
      <c r="AY121" s="2835"/>
      <c r="AZ121" s="2916"/>
      <c r="BA121" s="2835"/>
      <c r="BB121" s="2916"/>
      <c r="BC121" s="2835"/>
      <c r="BD121" s="2916"/>
      <c r="BE121" s="2835"/>
      <c r="BF121" s="2858"/>
      <c r="BG121" s="3055"/>
      <c r="BH121" s="2858"/>
      <c r="BI121" s="2865"/>
      <c r="BJ121" s="2868"/>
      <c r="BK121" s="2855"/>
      <c r="BL121" s="2858"/>
      <c r="BM121" s="2858"/>
      <c r="BN121" s="2976"/>
      <c r="BO121" s="2976"/>
      <c r="BP121" s="3052"/>
      <c r="BQ121" s="3052"/>
      <c r="BR121" s="2978"/>
      <c r="BS121" s="908"/>
      <c r="BT121" s="908"/>
    </row>
    <row r="122" spans="1:72" s="458" customFormat="1" ht="42.75" x14ac:dyDescent="0.2">
      <c r="A122" s="2799"/>
      <c r="B122" s="2802"/>
      <c r="C122" s="2803"/>
      <c r="D122" s="3044"/>
      <c r="E122" s="3044"/>
      <c r="F122" s="3044"/>
      <c r="G122" s="908"/>
      <c r="H122" s="928"/>
      <c r="I122" s="929"/>
      <c r="J122" s="2848"/>
      <c r="K122" s="2810"/>
      <c r="L122" s="2810"/>
      <c r="M122" s="2848"/>
      <c r="N122" s="2849"/>
      <c r="O122" s="3018"/>
      <c r="P122" s="2809"/>
      <c r="Q122" s="2983"/>
      <c r="R122" s="2961"/>
      <c r="S122" s="2867"/>
      <c r="T122" s="2810"/>
      <c r="U122" s="2985"/>
      <c r="V122" s="1064" t="s">
        <v>1040</v>
      </c>
      <c r="W122" s="1065">
        <v>25000000</v>
      </c>
      <c r="X122" s="1066"/>
      <c r="Y122" s="1067"/>
      <c r="Z122" s="1059" t="s">
        <v>939</v>
      </c>
      <c r="AA122" s="1068" t="s">
        <v>1038</v>
      </c>
      <c r="AB122" s="3047"/>
      <c r="AC122" s="3047"/>
      <c r="AD122" s="3047"/>
      <c r="AE122" s="3047"/>
      <c r="AF122" s="3047"/>
      <c r="AG122" s="3047"/>
      <c r="AH122" s="3050"/>
      <c r="AI122" s="3003"/>
      <c r="AJ122" s="3050"/>
      <c r="AK122" s="3050"/>
      <c r="AL122" s="3050"/>
      <c r="AM122" s="3003"/>
      <c r="AN122" s="3050"/>
      <c r="AO122" s="2858"/>
      <c r="AP122" s="2971"/>
      <c r="AQ122" s="2835"/>
      <c r="AR122" s="2971"/>
      <c r="AS122" s="2835"/>
      <c r="AT122" s="2971"/>
      <c r="AU122" s="2835"/>
      <c r="AV122" s="2971"/>
      <c r="AW122" s="2835"/>
      <c r="AX122" s="2971"/>
      <c r="AY122" s="2835"/>
      <c r="AZ122" s="2971"/>
      <c r="BA122" s="2835"/>
      <c r="BB122" s="2971"/>
      <c r="BC122" s="2835"/>
      <c r="BD122" s="2971"/>
      <c r="BE122" s="2835"/>
      <c r="BF122" s="2858"/>
      <c r="BG122" s="2825"/>
      <c r="BH122" s="2858"/>
      <c r="BI122" s="2865"/>
      <c r="BJ122" s="2868"/>
      <c r="BK122" s="2855"/>
      <c r="BL122" s="2858"/>
      <c r="BM122" s="2858"/>
      <c r="BN122" s="2977"/>
      <c r="BO122" s="2977"/>
      <c r="BP122" s="3053"/>
      <c r="BQ122" s="3053"/>
      <c r="BR122" s="2979"/>
      <c r="BS122" s="908"/>
      <c r="BT122" s="908"/>
    </row>
    <row r="123" spans="1:72" s="458" customFormat="1" ht="15" customHeight="1" x14ac:dyDescent="0.2">
      <c r="A123" s="2799"/>
      <c r="B123" s="2802"/>
      <c r="C123" s="2803"/>
      <c r="D123" s="3044"/>
      <c r="E123" s="3044"/>
      <c r="F123" s="3044"/>
      <c r="G123" s="1069"/>
      <c r="H123" s="1069"/>
      <c r="I123" s="1069"/>
      <c r="J123" s="1069"/>
      <c r="K123" s="1069"/>
      <c r="L123" s="1069"/>
      <c r="M123" s="1069"/>
      <c r="N123" s="1069"/>
      <c r="O123" s="1069"/>
      <c r="P123" s="1069"/>
      <c r="Q123" s="1069"/>
      <c r="R123" s="1069"/>
      <c r="S123" s="1069"/>
      <c r="T123" s="1069"/>
      <c r="U123" s="1069"/>
      <c r="V123" s="1069"/>
      <c r="W123" s="1069"/>
      <c r="X123" s="1069"/>
      <c r="Y123" s="1069"/>
      <c r="Z123" s="1069"/>
      <c r="AA123" s="1069"/>
      <c r="AB123" s="1069"/>
      <c r="AC123" s="1069"/>
      <c r="AD123" s="1069"/>
      <c r="AE123" s="1069"/>
      <c r="AF123" s="1069"/>
      <c r="AG123" s="1069"/>
      <c r="AH123" s="1069"/>
      <c r="AI123" s="1069"/>
      <c r="AJ123" s="1069"/>
      <c r="AK123" s="1069"/>
      <c r="AL123" s="1069"/>
      <c r="AM123" s="1069"/>
      <c r="AN123" s="1069"/>
      <c r="AO123" s="1069"/>
      <c r="AP123" s="1069"/>
      <c r="AQ123" s="1069"/>
      <c r="AR123" s="1069"/>
      <c r="AS123" s="1069"/>
      <c r="AT123" s="1069"/>
      <c r="AU123" s="1069"/>
      <c r="AV123" s="1069"/>
      <c r="AW123" s="1069"/>
      <c r="AX123" s="1069"/>
      <c r="AY123" s="1069"/>
      <c r="AZ123" s="1069"/>
      <c r="BA123" s="1069"/>
      <c r="BB123" s="1069"/>
      <c r="BC123" s="1069"/>
      <c r="BD123" s="1069"/>
      <c r="BE123" s="1069"/>
      <c r="BF123" s="1069"/>
      <c r="BG123" s="1069"/>
      <c r="BH123" s="1069"/>
      <c r="BI123" s="1069"/>
      <c r="BJ123" s="1069"/>
      <c r="BK123" s="1069"/>
      <c r="BL123" s="1069"/>
      <c r="BM123" s="1069"/>
      <c r="BN123" s="1069"/>
      <c r="BO123" s="1069"/>
      <c r="BP123" s="1069"/>
      <c r="BQ123" s="1069"/>
      <c r="BR123" s="1069"/>
      <c r="BS123" s="908"/>
      <c r="BT123" s="908"/>
    </row>
    <row r="124" spans="1:72" s="908" customFormat="1" ht="19.5" customHeight="1" x14ac:dyDescent="0.2">
      <c r="A124" s="2799"/>
      <c r="B124" s="2802"/>
      <c r="C124" s="2803"/>
      <c r="D124" s="3044"/>
      <c r="E124" s="3044"/>
      <c r="F124" s="3044"/>
      <c r="G124" s="3054"/>
      <c r="H124" s="3054"/>
      <c r="I124" s="3054"/>
      <c r="J124" s="3054"/>
      <c r="K124" s="3054"/>
      <c r="L124" s="3054"/>
      <c r="M124" s="3054"/>
      <c r="N124" s="3054"/>
      <c r="O124" s="3054"/>
      <c r="P124" s="3054"/>
      <c r="Q124" s="3054"/>
      <c r="R124" s="3054"/>
      <c r="S124" s="3054"/>
      <c r="T124" s="3054"/>
      <c r="U124" s="3054"/>
      <c r="V124" s="3054"/>
      <c r="W124" s="3054"/>
      <c r="X124" s="3054"/>
      <c r="Y124" s="3054"/>
      <c r="Z124" s="3054"/>
      <c r="AA124" s="3054"/>
      <c r="AB124" s="3054"/>
      <c r="AC124" s="3054"/>
      <c r="AD124" s="3054"/>
      <c r="AE124" s="3054"/>
      <c r="AF124" s="3054"/>
      <c r="AG124" s="3054"/>
      <c r="AH124" s="3054"/>
      <c r="AI124" s="3054"/>
      <c r="AJ124" s="3054"/>
      <c r="AK124" s="3054"/>
      <c r="AL124" s="3054"/>
      <c r="AM124" s="3054"/>
      <c r="AN124" s="3054"/>
      <c r="AO124" s="3054"/>
      <c r="AP124" s="3054"/>
      <c r="AQ124" s="3054"/>
      <c r="AR124" s="3054"/>
      <c r="AS124" s="3054"/>
      <c r="AT124" s="3054"/>
      <c r="AU124" s="3054"/>
      <c r="AV124" s="3054"/>
      <c r="AW124" s="3054"/>
      <c r="AX124" s="3054"/>
      <c r="AY124" s="3054"/>
      <c r="AZ124" s="3054"/>
      <c r="BA124" s="3054"/>
      <c r="BB124" s="3054"/>
      <c r="BC124" s="3054"/>
      <c r="BD124" s="3054"/>
      <c r="BE124" s="3054"/>
      <c r="BF124" s="3054"/>
      <c r="BG124" s="3054"/>
      <c r="BH124" s="3054"/>
      <c r="BI124" s="3054"/>
      <c r="BJ124" s="3054"/>
      <c r="BK124" s="3054"/>
      <c r="BL124" s="3054"/>
      <c r="BM124" s="3054"/>
      <c r="BN124" s="3054"/>
      <c r="BO124" s="3054"/>
      <c r="BP124" s="3054"/>
      <c r="BQ124" s="3054"/>
      <c r="BR124" s="3054"/>
    </row>
    <row r="125" spans="1:72" s="908" customFormat="1" ht="29.25" customHeight="1" x14ac:dyDescent="0.2">
      <c r="A125" s="2799"/>
      <c r="B125" s="2802"/>
      <c r="C125" s="2803"/>
      <c r="D125" s="3044"/>
      <c r="E125" s="3044"/>
      <c r="F125" s="3044"/>
      <c r="G125" s="1070">
        <v>84</v>
      </c>
      <c r="H125" s="286" t="s">
        <v>1041</v>
      </c>
      <c r="I125" s="286"/>
      <c r="J125" s="295"/>
      <c r="K125" s="1071"/>
      <c r="L125" s="1071"/>
      <c r="M125" s="1071"/>
      <c r="N125" s="1071"/>
      <c r="O125" s="1071"/>
      <c r="P125" s="1071"/>
      <c r="Q125" s="1071"/>
      <c r="R125" s="1071"/>
      <c r="S125" s="1071"/>
      <c r="T125" s="1071"/>
      <c r="U125" s="1071"/>
      <c r="V125" s="1071"/>
      <c r="W125" s="1071"/>
      <c r="X125" s="1071"/>
      <c r="Y125" s="1071"/>
      <c r="Z125" s="1071"/>
      <c r="AA125" s="1071"/>
      <c r="AB125" s="1071"/>
      <c r="AC125" s="1071"/>
      <c r="AD125" s="1071"/>
      <c r="AE125" s="1071"/>
      <c r="AF125" s="1071"/>
      <c r="AG125" s="1071"/>
      <c r="AH125" s="1071"/>
      <c r="AI125" s="1071"/>
      <c r="AJ125" s="1071"/>
      <c r="AK125" s="1071"/>
      <c r="AL125" s="1071"/>
      <c r="AM125" s="1071"/>
      <c r="AN125" s="1071"/>
      <c r="AO125" s="1071"/>
      <c r="AP125" s="1071"/>
      <c r="AQ125" s="1071"/>
      <c r="AR125" s="1071"/>
      <c r="AS125" s="1071"/>
      <c r="AT125" s="1071"/>
      <c r="AU125" s="1071"/>
      <c r="AV125" s="1071"/>
      <c r="AW125" s="1071"/>
      <c r="AX125" s="1071"/>
      <c r="AY125" s="1071"/>
      <c r="AZ125" s="1071"/>
      <c r="BA125" s="1071"/>
      <c r="BB125" s="1071"/>
      <c r="BC125" s="1071"/>
      <c r="BD125" s="1071"/>
      <c r="BE125" s="1071"/>
      <c r="BF125" s="1071"/>
      <c r="BG125" s="1071"/>
      <c r="BH125" s="1071"/>
      <c r="BI125" s="1071"/>
      <c r="BJ125" s="1071"/>
      <c r="BK125" s="1071"/>
      <c r="BL125" s="1071"/>
      <c r="BM125" s="1071"/>
      <c r="BN125" s="1071"/>
      <c r="BO125" s="1071"/>
      <c r="BP125" s="1071"/>
      <c r="BQ125" s="1071"/>
      <c r="BR125" s="1072"/>
    </row>
    <row r="126" spans="1:72" s="458" customFormat="1" ht="52.5" customHeight="1" x14ac:dyDescent="0.25">
      <c r="A126" s="2799"/>
      <c r="B126" s="2802"/>
      <c r="C126" s="2803"/>
      <c r="D126" s="3044"/>
      <c r="E126" s="3044"/>
      <c r="F126" s="3044"/>
      <c r="G126" s="923"/>
      <c r="H126" s="1073"/>
      <c r="I126" s="1074"/>
      <c r="J126" s="2895">
        <v>247</v>
      </c>
      <c r="K126" s="2811" t="s">
        <v>1042</v>
      </c>
      <c r="L126" s="2811" t="s">
        <v>1043</v>
      </c>
      <c r="M126" s="2849">
        <v>1</v>
      </c>
      <c r="N126" s="2848">
        <v>1</v>
      </c>
      <c r="O126" s="2989" t="s">
        <v>1044</v>
      </c>
      <c r="P126" s="2809" t="s">
        <v>1045</v>
      </c>
      <c r="Q126" s="2811" t="s">
        <v>1046</v>
      </c>
      <c r="R126" s="2962">
        <f>SUM(W126:W130)/S126</f>
        <v>1</v>
      </c>
      <c r="S126" s="2868">
        <f>SUM(W126:W130)</f>
        <v>50000000</v>
      </c>
      <c r="T126" s="2811" t="s">
        <v>1047</v>
      </c>
      <c r="U126" s="2983" t="s">
        <v>1048</v>
      </c>
      <c r="V126" s="1075" t="s">
        <v>1049</v>
      </c>
      <c r="W126" s="945">
        <v>21000000</v>
      </c>
      <c r="X126" s="1076">
        <v>4000000</v>
      </c>
      <c r="Y126" s="978">
        <v>2800000</v>
      </c>
      <c r="Z126" s="1077">
        <v>20</v>
      </c>
      <c r="AA126" s="1013" t="s">
        <v>70</v>
      </c>
      <c r="AB126" s="3063">
        <v>357</v>
      </c>
      <c r="AC126" s="3056">
        <v>18</v>
      </c>
      <c r="AD126" s="3056">
        <v>343</v>
      </c>
      <c r="AE126" s="3056">
        <v>19</v>
      </c>
      <c r="AF126" s="3056">
        <v>0</v>
      </c>
      <c r="AG126" s="3058"/>
      <c r="AH126" s="3060">
        <v>0</v>
      </c>
      <c r="AI126" s="3058"/>
      <c r="AJ126" s="3060">
        <v>700</v>
      </c>
      <c r="AK126" s="3058">
        <v>37</v>
      </c>
      <c r="AL126" s="3060">
        <v>0</v>
      </c>
      <c r="AM126" s="3058"/>
      <c r="AN126" s="3060">
        <v>0</v>
      </c>
      <c r="AO126" s="3066"/>
      <c r="AP126" s="3060">
        <v>0</v>
      </c>
      <c r="AQ126" s="3066"/>
      <c r="AR126" s="3060">
        <v>0</v>
      </c>
      <c r="AS126" s="3066"/>
      <c r="AT126" s="3060">
        <v>0</v>
      </c>
      <c r="AU126" s="3066"/>
      <c r="AV126" s="3060">
        <v>0</v>
      </c>
      <c r="AW126" s="3066"/>
      <c r="AX126" s="3060">
        <v>0</v>
      </c>
      <c r="AY126" s="3066"/>
      <c r="AZ126" s="3060">
        <v>0</v>
      </c>
      <c r="BA126" s="3066"/>
      <c r="BB126" s="3060">
        <v>0</v>
      </c>
      <c r="BC126" s="3066"/>
      <c r="BD126" s="3060">
        <v>0</v>
      </c>
      <c r="BE126" s="3066"/>
      <c r="BF126" s="3074">
        <f>SUM(AB126:AD130)</f>
        <v>718</v>
      </c>
      <c r="BG126" s="3071">
        <f>AC126+AE126+AG126+AI126+AK126</f>
        <v>74</v>
      </c>
      <c r="BH126" s="3060">
        <v>1</v>
      </c>
      <c r="BI126" s="2864">
        <f>SUM(X126:X130)</f>
        <v>4000000</v>
      </c>
      <c r="BJ126" s="2867">
        <f>SUM(Y126:Y130)</f>
        <v>2800000</v>
      </c>
      <c r="BK126" s="2854"/>
      <c r="BL126" s="2863">
        <v>20</v>
      </c>
      <c r="BM126" s="2857" t="s">
        <v>853</v>
      </c>
      <c r="BN126" s="2975">
        <v>43832</v>
      </c>
      <c r="BO126" s="2975">
        <v>43874</v>
      </c>
      <c r="BP126" s="3051">
        <v>44196</v>
      </c>
      <c r="BQ126" s="3051">
        <v>43993</v>
      </c>
      <c r="BR126" s="2950" t="s">
        <v>854</v>
      </c>
      <c r="BS126" s="908"/>
      <c r="BT126" s="908"/>
    </row>
    <row r="127" spans="1:72" s="458" customFormat="1" ht="42.75" customHeight="1" x14ac:dyDescent="0.25">
      <c r="A127" s="2799"/>
      <c r="B127" s="2802"/>
      <c r="C127" s="2803"/>
      <c r="D127" s="3044"/>
      <c r="E127" s="3044"/>
      <c r="F127" s="3044"/>
      <c r="G127" s="1079"/>
      <c r="H127" s="1080"/>
      <c r="I127" s="1079"/>
      <c r="J127" s="2895"/>
      <c r="K127" s="2811"/>
      <c r="L127" s="2811"/>
      <c r="M127" s="2849"/>
      <c r="N127" s="2849"/>
      <c r="O127" s="2989"/>
      <c r="P127" s="2809"/>
      <c r="Q127" s="2811"/>
      <c r="R127" s="2962"/>
      <c r="S127" s="2868"/>
      <c r="T127" s="2811"/>
      <c r="U127" s="2983"/>
      <c r="V127" s="1081" t="s">
        <v>1050</v>
      </c>
      <c r="W127" s="945">
        <v>7000000</v>
      </c>
      <c r="X127" s="1082"/>
      <c r="Y127" s="1040"/>
      <c r="Z127" s="1077">
        <v>20</v>
      </c>
      <c r="AA127" s="1013" t="s">
        <v>70</v>
      </c>
      <c r="AB127" s="3064"/>
      <c r="AC127" s="3056"/>
      <c r="AD127" s="3056"/>
      <c r="AE127" s="3056"/>
      <c r="AF127" s="3056"/>
      <c r="AG127" s="3059"/>
      <c r="AH127" s="3061"/>
      <c r="AI127" s="3059"/>
      <c r="AJ127" s="3061"/>
      <c r="AK127" s="3059"/>
      <c r="AL127" s="3061"/>
      <c r="AM127" s="3059"/>
      <c r="AN127" s="3061"/>
      <c r="AO127" s="3067"/>
      <c r="AP127" s="3061"/>
      <c r="AQ127" s="3067"/>
      <c r="AR127" s="3061"/>
      <c r="AS127" s="3067"/>
      <c r="AT127" s="3061"/>
      <c r="AU127" s="3067"/>
      <c r="AV127" s="3061"/>
      <c r="AW127" s="3067"/>
      <c r="AX127" s="3061"/>
      <c r="AY127" s="3067"/>
      <c r="AZ127" s="3061"/>
      <c r="BA127" s="3067"/>
      <c r="BB127" s="3061"/>
      <c r="BC127" s="3067"/>
      <c r="BD127" s="3061"/>
      <c r="BE127" s="3067"/>
      <c r="BF127" s="3075"/>
      <c r="BG127" s="3072"/>
      <c r="BH127" s="3061"/>
      <c r="BI127" s="2865"/>
      <c r="BJ127" s="2868"/>
      <c r="BK127" s="2855"/>
      <c r="BL127" s="2858"/>
      <c r="BM127" s="2858"/>
      <c r="BN127" s="2976"/>
      <c r="BO127" s="2976"/>
      <c r="BP127" s="3052"/>
      <c r="BQ127" s="3052"/>
      <c r="BR127" s="2978"/>
      <c r="BS127" s="908"/>
      <c r="BT127" s="908"/>
    </row>
    <row r="128" spans="1:72" s="458" customFormat="1" ht="75" customHeight="1" x14ac:dyDescent="0.25">
      <c r="A128" s="2799"/>
      <c r="B128" s="2802"/>
      <c r="C128" s="2803"/>
      <c r="D128" s="3044"/>
      <c r="E128" s="3044"/>
      <c r="F128" s="3044"/>
      <c r="G128" s="1079"/>
      <c r="H128" s="1080"/>
      <c r="I128" s="1079"/>
      <c r="J128" s="2895"/>
      <c r="K128" s="2811"/>
      <c r="L128" s="2811"/>
      <c r="M128" s="2849"/>
      <c r="N128" s="2849"/>
      <c r="O128" s="2989"/>
      <c r="P128" s="2809"/>
      <c r="Q128" s="2811"/>
      <c r="R128" s="2962"/>
      <c r="S128" s="2868"/>
      <c r="T128" s="2811"/>
      <c r="U128" s="2983"/>
      <c r="V128" s="1081" t="s">
        <v>1051</v>
      </c>
      <c r="W128" s="945">
        <v>12000000</v>
      </c>
      <c r="X128" s="1082"/>
      <c r="Y128" s="978"/>
      <c r="Z128" s="1077">
        <v>20</v>
      </c>
      <c r="AA128" s="1013" t="s">
        <v>70</v>
      </c>
      <c r="AB128" s="3064"/>
      <c r="AC128" s="3056"/>
      <c r="AD128" s="3056"/>
      <c r="AE128" s="3056"/>
      <c r="AF128" s="3056"/>
      <c r="AG128" s="3059"/>
      <c r="AH128" s="3061"/>
      <c r="AI128" s="3059"/>
      <c r="AJ128" s="3061"/>
      <c r="AK128" s="3059"/>
      <c r="AL128" s="3061"/>
      <c r="AM128" s="3059"/>
      <c r="AN128" s="3061"/>
      <c r="AO128" s="3067"/>
      <c r="AP128" s="3061"/>
      <c r="AQ128" s="3067"/>
      <c r="AR128" s="3061"/>
      <c r="AS128" s="3067"/>
      <c r="AT128" s="3061"/>
      <c r="AU128" s="3067"/>
      <c r="AV128" s="3061"/>
      <c r="AW128" s="3067"/>
      <c r="AX128" s="3061"/>
      <c r="AY128" s="3067"/>
      <c r="AZ128" s="3061"/>
      <c r="BA128" s="3067"/>
      <c r="BB128" s="3061"/>
      <c r="BC128" s="3067"/>
      <c r="BD128" s="3061"/>
      <c r="BE128" s="3067"/>
      <c r="BF128" s="3075"/>
      <c r="BG128" s="3072"/>
      <c r="BH128" s="3061"/>
      <c r="BI128" s="2865"/>
      <c r="BJ128" s="2868"/>
      <c r="BK128" s="2855"/>
      <c r="BL128" s="2858"/>
      <c r="BM128" s="2858"/>
      <c r="BN128" s="2976"/>
      <c r="BO128" s="2976"/>
      <c r="BP128" s="3052"/>
      <c r="BQ128" s="3052"/>
      <c r="BR128" s="2978"/>
      <c r="BS128" s="908"/>
      <c r="BT128" s="908"/>
    </row>
    <row r="129" spans="1:72" s="458" customFormat="1" ht="78.75" customHeight="1" x14ac:dyDescent="0.25">
      <c r="A129" s="2799"/>
      <c r="B129" s="2802"/>
      <c r="C129" s="2803"/>
      <c r="D129" s="3044"/>
      <c r="E129" s="3044"/>
      <c r="F129" s="3044"/>
      <c r="G129" s="1079"/>
      <c r="H129" s="1080"/>
      <c r="I129" s="1079"/>
      <c r="J129" s="2895"/>
      <c r="K129" s="2811"/>
      <c r="L129" s="2811"/>
      <c r="M129" s="2849"/>
      <c r="N129" s="2849"/>
      <c r="O129" s="2989"/>
      <c r="P129" s="2809"/>
      <c r="Q129" s="2811"/>
      <c r="R129" s="2962"/>
      <c r="S129" s="2868"/>
      <c r="T129" s="2811"/>
      <c r="U129" s="2983"/>
      <c r="V129" s="924" t="s">
        <v>1052</v>
      </c>
      <c r="W129" s="945">
        <v>3500000</v>
      </c>
      <c r="X129" s="1082"/>
      <c r="Y129" s="978"/>
      <c r="Z129" s="1077">
        <v>20</v>
      </c>
      <c r="AA129" s="1013" t="s">
        <v>70</v>
      </c>
      <c r="AB129" s="3064"/>
      <c r="AC129" s="3056"/>
      <c r="AD129" s="3056"/>
      <c r="AE129" s="3056"/>
      <c r="AF129" s="3056"/>
      <c r="AG129" s="3059"/>
      <c r="AH129" s="3061"/>
      <c r="AI129" s="3059"/>
      <c r="AJ129" s="3061"/>
      <c r="AK129" s="3059"/>
      <c r="AL129" s="3061"/>
      <c r="AM129" s="3059"/>
      <c r="AN129" s="3061"/>
      <c r="AO129" s="3067"/>
      <c r="AP129" s="3061"/>
      <c r="AQ129" s="3067"/>
      <c r="AR129" s="3061"/>
      <c r="AS129" s="3067"/>
      <c r="AT129" s="3061"/>
      <c r="AU129" s="3067"/>
      <c r="AV129" s="3061"/>
      <c r="AW129" s="3067"/>
      <c r="AX129" s="3061"/>
      <c r="AY129" s="3067"/>
      <c r="AZ129" s="3061"/>
      <c r="BA129" s="3067"/>
      <c r="BB129" s="3061"/>
      <c r="BC129" s="3067"/>
      <c r="BD129" s="3061"/>
      <c r="BE129" s="3067"/>
      <c r="BF129" s="3075"/>
      <c r="BG129" s="3072"/>
      <c r="BH129" s="3061"/>
      <c r="BI129" s="2865"/>
      <c r="BJ129" s="2868"/>
      <c r="BK129" s="2855"/>
      <c r="BL129" s="2858"/>
      <c r="BM129" s="2858"/>
      <c r="BN129" s="2976"/>
      <c r="BO129" s="2976"/>
      <c r="BP129" s="3052"/>
      <c r="BQ129" s="3052"/>
      <c r="BR129" s="2978"/>
      <c r="BS129" s="908"/>
      <c r="BT129" s="908"/>
    </row>
    <row r="130" spans="1:72" s="458" customFormat="1" ht="30.75" customHeight="1" thickBot="1" x14ac:dyDescent="0.3">
      <c r="A130" s="2799"/>
      <c r="B130" s="2802"/>
      <c r="C130" s="2803"/>
      <c r="D130" s="3045"/>
      <c r="E130" s="3045"/>
      <c r="F130" s="3045"/>
      <c r="G130" s="1079"/>
      <c r="H130" s="1080"/>
      <c r="I130" s="1079"/>
      <c r="J130" s="2895"/>
      <c r="K130" s="2811"/>
      <c r="L130" s="2811"/>
      <c r="M130" s="2849"/>
      <c r="N130" s="2849"/>
      <c r="O130" s="2989"/>
      <c r="P130" s="2809"/>
      <c r="Q130" s="2811"/>
      <c r="R130" s="2962"/>
      <c r="S130" s="2868"/>
      <c r="T130" s="2811"/>
      <c r="U130" s="2983"/>
      <c r="V130" s="1083" t="s">
        <v>1053</v>
      </c>
      <c r="W130" s="1084">
        <v>6500000</v>
      </c>
      <c r="X130" s="1085"/>
      <c r="Y130" s="1086"/>
      <c r="Z130" s="1077">
        <v>20</v>
      </c>
      <c r="AA130" s="1039" t="s">
        <v>70</v>
      </c>
      <c r="AB130" s="3065"/>
      <c r="AC130" s="3057"/>
      <c r="AD130" s="3057"/>
      <c r="AE130" s="3057"/>
      <c r="AF130" s="3057"/>
      <c r="AG130" s="3059"/>
      <c r="AH130" s="3062"/>
      <c r="AI130" s="3059"/>
      <c r="AJ130" s="3062"/>
      <c r="AK130" s="3059"/>
      <c r="AL130" s="3062"/>
      <c r="AM130" s="3059"/>
      <c r="AN130" s="3062"/>
      <c r="AO130" s="3067"/>
      <c r="AP130" s="3062"/>
      <c r="AQ130" s="3067"/>
      <c r="AR130" s="3062"/>
      <c r="AS130" s="3067"/>
      <c r="AT130" s="3062"/>
      <c r="AU130" s="3067"/>
      <c r="AV130" s="3062"/>
      <c r="AW130" s="3067"/>
      <c r="AX130" s="3062"/>
      <c r="AY130" s="3067"/>
      <c r="AZ130" s="3062"/>
      <c r="BA130" s="3067"/>
      <c r="BB130" s="3062"/>
      <c r="BC130" s="3067"/>
      <c r="BD130" s="3062"/>
      <c r="BE130" s="3067"/>
      <c r="BF130" s="3075"/>
      <c r="BG130" s="3073"/>
      <c r="BH130" s="3062"/>
      <c r="BI130" s="2865"/>
      <c r="BJ130" s="2868"/>
      <c r="BK130" s="2855"/>
      <c r="BL130" s="2858"/>
      <c r="BM130" s="2858"/>
      <c r="BN130" s="3069"/>
      <c r="BO130" s="3069"/>
      <c r="BP130" s="3070"/>
      <c r="BQ130" s="3070"/>
      <c r="BR130" s="2979"/>
      <c r="BS130" s="908"/>
      <c r="BT130" s="908"/>
    </row>
    <row r="131" spans="1:72" s="1111" customFormat="1" ht="31.5" customHeight="1" thickBot="1" x14ac:dyDescent="0.3">
      <c r="A131" s="1087"/>
      <c r="B131" s="1088"/>
      <c r="C131" s="1088"/>
      <c r="D131" s="1089"/>
      <c r="E131" s="1089"/>
      <c r="F131" s="1089"/>
      <c r="G131" s="1090"/>
      <c r="H131" s="1090"/>
      <c r="I131" s="1090"/>
      <c r="J131" s="1091"/>
      <c r="K131" s="1092"/>
      <c r="L131" s="1092"/>
      <c r="M131" s="1093"/>
      <c r="N131" s="1093"/>
      <c r="O131" s="1094"/>
      <c r="P131" s="1095"/>
      <c r="Q131" s="1092"/>
      <c r="R131" s="1096"/>
      <c r="S131" s="1097">
        <f>SUM(S13:S130)</f>
        <v>3291343402</v>
      </c>
      <c r="T131" s="1098"/>
      <c r="U131" s="1092"/>
      <c r="V131" s="1099"/>
      <c r="W131" s="1100">
        <f>SUM(W13:W130)</f>
        <v>3291343402</v>
      </c>
      <c r="X131" s="1100">
        <f>SUM(X13:X130)</f>
        <v>194506058</v>
      </c>
      <c r="Y131" s="1100">
        <f>SUM(Y13:Y130)</f>
        <v>76801390</v>
      </c>
      <c r="Z131" s="1101"/>
      <c r="AA131" s="1093"/>
      <c r="AB131" s="1102"/>
      <c r="AC131" s="1103"/>
      <c r="AD131" s="1102"/>
      <c r="AE131" s="1103"/>
      <c r="AF131" s="1102"/>
      <c r="AG131" s="1103"/>
      <c r="AH131" s="1102"/>
      <c r="AI131" s="1103"/>
      <c r="AJ131" s="1102"/>
      <c r="AK131" s="1103"/>
      <c r="AL131" s="1102"/>
      <c r="AM131" s="1103"/>
      <c r="AN131" s="1102"/>
      <c r="AO131" s="1103"/>
      <c r="AP131" s="1102"/>
      <c r="AQ131" s="1103"/>
      <c r="AR131" s="1102"/>
      <c r="AS131" s="1103"/>
      <c r="AT131" s="1102"/>
      <c r="AU131" s="1103"/>
      <c r="AV131" s="1102"/>
      <c r="AW131" s="1103"/>
      <c r="AX131" s="1102"/>
      <c r="AY131" s="1103"/>
      <c r="AZ131" s="1102"/>
      <c r="BA131" s="1103"/>
      <c r="BB131" s="1102"/>
      <c r="BC131" s="1103"/>
      <c r="BD131" s="1102"/>
      <c r="BE131" s="1103"/>
      <c r="BF131" s="1102"/>
      <c r="BG131" s="1103"/>
      <c r="BH131" s="1104"/>
      <c r="BI131" s="1105">
        <f>SUM(BI13:BI130)</f>
        <v>194506058</v>
      </c>
      <c r="BJ131" s="1106">
        <f>SUM(BJ13:BJ130)</f>
        <v>76801390</v>
      </c>
      <c r="BK131" s="1107"/>
      <c r="BL131" s="1102"/>
      <c r="BM131" s="1102"/>
      <c r="BN131" s="1108"/>
      <c r="BO131" s="1108"/>
      <c r="BP131" s="1108"/>
      <c r="BQ131" s="1108"/>
      <c r="BR131" s="1109"/>
      <c r="BS131" s="1110"/>
      <c r="BT131" s="1110"/>
    </row>
    <row r="132" spans="1:72" ht="27" customHeight="1" x14ac:dyDescent="0.2">
      <c r="X132" s="1120"/>
      <c r="Y132" s="1120"/>
      <c r="BS132" s="854"/>
      <c r="BT132" s="854"/>
    </row>
    <row r="133" spans="1:72" ht="27" customHeight="1" x14ac:dyDescent="0.2">
      <c r="X133" s="1120"/>
      <c r="Y133" s="1120"/>
      <c r="BS133" s="854"/>
      <c r="BT133" s="854"/>
    </row>
    <row r="134" spans="1:72" ht="27" customHeight="1" x14ac:dyDescent="0.2">
      <c r="D134" s="1122"/>
      <c r="F134" s="1122"/>
      <c r="H134" s="1122"/>
      <c r="J134" s="1122"/>
      <c r="X134" s="1120"/>
      <c r="Y134" s="1120"/>
      <c r="BS134" s="854"/>
      <c r="BT134" s="854"/>
    </row>
    <row r="135" spans="1:72" ht="27" customHeight="1" thickBot="1" x14ac:dyDescent="0.25">
      <c r="D135" s="1125"/>
      <c r="E135" s="1126"/>
      <c r="F135" s="1125"/>
      <c r="G135" s="1126"/>
      <c r="H135" s="1127"/>
      <c r="J135" s="1122"/>
      <c r="Y135" s="1128"/>
      <c r="BS135" s="854"/>
      <c r="BT135" s="854"/>
    </row>
    <row r="136" spans="1:72" ht="27" customHeight="1" x14ac:dyDescent="0.25">
      <c r="C136" s="1129"/>
      <c r="D136" s="1129" t="s">
        <v>1054</v>
      </c>
      <c r="E136" s="1129"/>
      <c r="F136" s="1129"/>
      <c r="G136" s="1129"/>
      <c r="H136" s="1129"/>
      <c r="J136" s="1122"/>
      <c r="V136" s="1124"/>
      <c r="W136" s="1130"/>
      <c r="X136" s="1130"/>
      <c r="Y136" s="1130"/>
      <c r="Z136" s="1131"/>
      <c r="BS136" s="854"/>
      <c r="BT136" s="854"/>
    </row>
    <row r="137" spans="1:72" ht="27" customHeight="1" x14ac:dyDescent="0.2">
      <c r="C137" s="3068" t="s">
        <v>1055</v>
      </c>
      <c r="D137" s="3068"/>
      <c r="E137" s="3068"/>
      <c r="F137" s="3068"/>
      <c r="G137" s="3068"/>
      <c r="H137" s="3068"/>
      <c r="I137" s="1132"/>
      <c r="J137" s="1132"/>
      <c r="V137" s="1124"/>
      <c r="W137" s="1133"/>
      <c r="X137" s="1133"/>
      <c r="Y137" s="1133"/>
      <c r="Z137" s="1131"/>
      <c r="BI137" s="1134"/>
      <c r="BJ137" s="1134"/>
    </row>
    <row r="138" spans="1:72" ht="27" customHeight="1" x14ac:dyDescent="0.2">
      <c r="C138" s="1132"/>
      <c r="D138" s="1132"/>
      <c r="E138" s="1132"/>
      <c r="F138" s="1132"/>
      <c r="G138" s="1132"/>
      <c r="H138" s="1132"/>
      <c r="I138" s="1132"/>
      <c r="J138" s="1132"/>
      <c r="V138" s="1124"/>
      <c r="W138" s="1133"/>
      <c r="X138" s="1135"/>
      <c r="Y138" s="1136"/>
      <c r="Z138" s="1131"/>
    </row>
    <row r="139" spans="1:72" ht="27" customHeight="1" x14ac:dyDescent="0.2">
      <c r="C139" s="1131"/>
      <c r="D139" s="1132" t="s">
        <v>1056</v>
      </c>
      <c r="E139" s="1132"/>
      <c r="F139" s="1132"/>
      <c r="G139" s="1132"/>
      <c r="H139" s="1132"/>
      <c r="I139" s="1132"/>
      <c r="J139" s="1132"/>
      <c r="AL139" s="1131"/>
      <c r="AM139" s="1137"/>
    </row>
    <row r="140" spans="1:72" ht="27" customHeight="1" x14ac:dyDescent="0.2">
      <c r="AC140" s="855"/>
      <c r="AE140" s="855"/>
      <c r="AG140" s="855"/>
      <c r="AI140" s="855"/>
      <c r="AJ140" s="1131"/>
      <c r="AK140" s="1131"/>
    </row>
  </sheetData>
  <sheetProtection algorithmName="SHA-512" hashValue="TV6veogjOWsvXtg4aYW+Va8JwqmiqxM41xX8BV+LeZpGTBLqv+ODnj6VE6GjqC30bpNvm3SMIFDSeljL0O63zg==" saltValue="8oAFuyQcR34/Ju/Qp2XAMw==" spinCount="100000" sheet="1" objects="1" scenarios="1"/>
  <mergeCells count="616">
    <mergeCell ref="C137:H137"/>
    <mergeCell ref="BM126:BM130"/>
    <mergeCell ref="BN126:BN130"/>
    <mergeCell ref="BO126:BO130"/>
    <mergeCell ref="BP126:BP130"/>
    <mergeCell ref="BQ126:BQ130"/>
    <mergeCell ref="BR126:BR130"/>
    <mergeCell ref="BG126:BG130"/>
    <mergeCell ref="BH126:BH130"/>
    <mergeCell ref="BI126:BI130"/>
    <mergeCell ref="BJ126:BJ130"/>
    <mergeCell ref="BK126:BK130"/>
    <mergeCell ref="BL126:BL130"/>
    <mergeCell ref="BA126:BA130"/>
    <mergeCell ref="BB126:BB130"/>
    <mergeCell ref="BC126:BC130"/>
    <mergeCell ref="BD126:BD130"/>
    <mergeCell ref="BE126:BE130"/>
    <mergeCell ref="BF126:BF130"/>
    <mergeCell ref="AU126:AU130"/>
    <mergeCell ref="AV126:AV130"/>
    <mergeCell ref="AW126:AW130"/>
    <mergeCell ref="AX126:AX130"/>
    <mergeCell ref="AY126:AY130"/>
    <mergeCell ref="AZ126:AZ130"/>
    <mergeCell ref="AO126:AO130"/>
    <mergeCell ref="AP126:AP130"/>
    <mergeCell ref="AQ126:AQ130"/>
    <mergeCell ref="AR126:AR130"/>
    <mergeCell ref="AS126:AS130"/>
    <mergeCell ref="AT126:AT130"/>
    <mergeCell ref="AI126:AI130"/>
    <mergeCell ref="AJ126:AJ130"/>
    <mergeCell ref="AK126:AK130"/>
    <mergeCell ref="AL126:AL130"/>
    <mergeCell ref="AM126:AM130"/>
    <mergeCell ref="AN126:AN130"/>
    <mergeCell ref="AC126:AC130"/>
    <mergeCell ref="AD126:AD130"/>
    <mergeCell ref="AE126:AE130"/>
    <mergeCell ref="AF126:AF130"/>
    <mergeCell ref="AG126:AG130"/>
    <mergeCell ref="AH126:AH130"/>
    <mergeCell ref="Q126:Q130"/>
    <mergeCell ref="R126:R130"/>
    <mergeCell ref="S126:S130"/>
    <mergeCell ref="T126:T130"/>
    <mergeCell ref="U126:U130"/>
    <mergeCell ref="AB126:AB130"/>
    <mergeCell ref="BQ116:BQ122"/>
    <mergeCell ref="BR116:BR122"/>
    <mergeCell ref="G124:BR124"/>
    <mergeCell ref="J126:J130"/>
    <mergeCell ref="K126:K130"/>
    <mergeCell ref="L126:L130"/>
    <mergeCell ref="M126:M130"/>
    <mergeCell ref="N126:N130"/>
    <mergeCell ref="O126:O130"/>
    <mergeCell ref="P126:P130"/>
    <mergeCell ref="BK116:BK122"/>
    <mergeCell ref="BL116:BL122"/>
    <mergeCell ref="BM116:BM122"/>
    <mergeCell ref="BN116:BN122"/>
    <mergeCell ref="BO116:BO122"/>
    <mergeCell ref="BP116:BP122"/>
    <mergeCell ref="BE116:BE122"/>
    <mergeCell ref="BF116:BF122"/>
    <mergeCell ref="BG116:BG122"/>
    <mergeCell ref="BH116:BH122"/>
    <mergeCell ref="BI116:BI122"/>
    <mergeCell ref="BJ116:BJ122"/>
    <mergeCell ref="AY116:AY122"/>
    <mergeCell ref="AZ116:AZ122"/>
    <mergeCell ref="BA116:BA122"/>
    <mergeCell ref="BB116:BB122"/>
    <mergeCell ref="BC116:BC122"/>
    <mergeCell ref="BD116:BD122"/>
    <mergeCell ref="AS116:AS122"/>
    <mergeCell ref="AT116:AT122"/>
    <mergeCell ref="AU116:AU122"/>
    <mergeCell ref="AV116:AV122"/>
    <mergeCell ref="AW116:AW122"/>
    <mergeCell ref="AX116:AX122"/>
    <mergeCell ref="AM116:AM122"/>
    <mergeCell ref="AN116:AN122"/>
    <mergeCell ref="AO116:AO122"/>
    <mergeCell ref="AP116:AP122"/>
    <mergeCell ref="AQ116:AQ122"/>
    <mergeCell ref="AR116:AR122"/>
    <mergeCell ref="AG116:AG122"/>
    <mergeCell ref="AH116:AH122"/>
    <mergeCell ref="AI116:AI122"/>
    <mergeCell ref="AJ116:AJ122"/>
    <mergeCell ref="AK116:AK122"/>
    <mergeCell ref="AL116:AL122"/>
    <mergeCell ref="U116:U122"/>
    <mergeCell ref="AB116:AB122"/>
    <mergeCell ref="AC116:AC122"/>
    <mergeCell ref="AD116:AD122"/>
    <mergeCell ref="AE116:AE122"/>
    <mergeCell ref="AF116:AF122"/>
    <mergeCell ref="O116:O122"/>
    <mergeCell ref="P116:P122"/>
    <mergeCell ref="Q116:Q122"/>
    <mergeCell ref="R116:R122"/>
    <mergeCell ref="S116:S122"/>
    <mergeCell ref="T116:T122"/>
    <mergeCell ref="D115:F130"/>
    <mergeCell ref="J116:J122"/>
    <mergeCell ref="K116:K122"/>
    <mergeCell ref="L116:L122"/>
    <mergeCell ref="M116:M122"/>
    <mergeCell ref="N116:N122"/>
    <mergeCell ref="J109:J113"/>
    <mergeCell ref="K109:K113"/>
    <mergeCell ref="L109:L113"/>
    <mergeCell ref="M109:M113"/>
    <mergeCell ref="N109:N113"/>
    <mergeCell ref="J107:J108"/>
    <mergeCell ref="K107:K108"/>
    <mergeCell ref="L107:L108"/>
    <mergeCell ref="M107:M108"/>
    <mergeCell ref="N107:N108"/>
    <mergeCell ref="R107:R108"/>
    <mergeCell ref="BS96:BS101"/>
    <mergeCell ref="J102:J106"/>
    <mergeCell ref="K102:K106"/>
    <mergeCell ref="L102:L106"/>
    <mergeCell ref="M102:M106"/>
    <mergeCell ref="N102:N106"/>
    <mergeCell ref="R102:R106"/>
    <mergeCell ref="BM94:BM113"/>
    <mergeCell ref="BN94:BN113"/>
    <mergeCell ref="BO94:BO113"/>
    <mergeCell ref="BP94:BP113"/>
    <mergeCell ref="BQ94:BQ113"/>
    <mergeCell ref="BR94:BR113"/>
    <mergeCell ref="BG94:BG113"/>
    <mergeCell ref="BH94:BH113"/>
    <mergeCell ref="BI94:BI113"/>
    <mergeCell ref="BJ94:BJ113"/>
    <mergeCell ref="BK94:BK113"/>
    <mergeCell ref="BL94:BL113"/>
    <mergeCell ref="BA94:BA113"/>
    <mergeCell ref="BB94:BB113"/>
    <mergeCell ref="BC94:BC113"/>
    <mergeCell ref="BD94:BD113"/>
    <mergeCell ref="BE94:BE113"/>
    <mergeCell ref="BF94:BF113"/>
    <mergeCell ref="AU94:AU113"/>
    <mergeCell ref="AV94:AV113"/>
    <mergeCell ref="AW94:AW113"/>
    <mergeCell ref="AX94:AX113"/>
    <mergeCell ref="AY94:AY113"/>
    <mergeCell ref="AZ94:AZ113"/>
    <mergeCell ref="AO94:AO113"/>
    <mergeCell ref="AP94:AP113"/>
    <mergeCell ref="AQ94:AQ113"/>
    <mergeCell ref="AR94:AR113"/>
    <mergeCell ref="AS94:AS113"/>
    <mergeCell ref="AT94:AT113"/>
    <mergeCell ref="AI94:AI113"/>
    <mergeCell ref="AJ94:AJ113"/>
    <mergeCell ref="AK94:AK113"/>
    <mergeCell ref="AL94:AL113"/>
    <mergeCell ref="AM94:AM113"/>
    <mergeCell ref="AN94:AN113"/>
    <mergeCell ref="AC94:AC113"/>
    <mergeCell ref="AD94:AD113"/>
    <mergeCell ref="AE94:AE113"/>
    <mergeCell ref="AF94:AF113"/>
    <mergeCell ref="AG94:AG113"/>
    <mergeCell ref="AH94:AH113"/>
    <mergeCell ref="Q94:Q113"/>
    <mergeCell ref="R94:R101"/>
    <mergeCell ref="S94:S113"/>
    <mergeCell ref="T94:T113"/>
    <mergeCell ref="U94:U113"/>
    <mergeCell ref="AB94:AB113"/>
    <mergeCell ref="R109:R113"/>
    <mergeCell ref="BR90:BR91"/>
    <mergeCell ref="BS90:BS91"/>
    <mergeCell ref="D93:F113"/>
    <mergeCell ref="J94:J101"/>
    <mergeCell ref="K94:K101"/>
    <mergeCell ref="L94:L101"/>
    <mergeCell ref="M94:M101"/>
    <mergeCell ref="N94:N101"/>
    <mergeCell ref="O94:O113"/>
    <mergeCell ref="P94:P113"/>
    <mergeCell ref="BL90:BL91"/>
    <mergeCell ref="BM90:BM91"/>
    <mergeCell ref="BN90:BN91"/>
    <mergeCell ref="BO90:BO91"/>
    <mergeCell ref="BP90:BP91"/>
    <mergeCell ref="BQ90:BQ91"/>
    <mergeCell ref="BF90:BF91"/>
    <mergeCell ref="BG90:BG91"/>
    <mergeCell ref="BH90:BH91"/>
    <mergeCell ref="BI90:BI91"/>
    <mergeCell ref="BJ90:BJ91"/>
    <mergeCell ref="BK90:BK91"/>
    <mergeCell ref="AZ90:AZ91"/>
    <mergeCell ref="BA90:BA91"/>
    <mergeCell ref="BB90:BB91"/>
    <mergeCell ref="BC90:BC91"/>
    <mergeCell ref="BD90:BD91"/>
    <mergeCell ref="BE90:BE91"/>
    <mergeCell ref="AT90:AT91"/>
    <mergeCell ref="AU90:AU91"/>
    <mergeCell ref="AV90:AV91"/>
    <mergeCell ref="AW90:AW91"/>
    <mergeCell ref="AX90:AX91"/>
    <mergeCell ref="AY90:AY91"/>
    <mergeCell ref="AN90:AN91"/>
    <mergeCell ref="AO90:AO91"/>
    <mergeCell ref="AP90:AP91"/>
    <mergeCell ref="AQ90:AQ91"/>
    <mergeCell ref="AR90:AR91"/>
    <mergeCell ref="AS90:AS91"/>
    <mergeCell ref="AH90:AH91"/>
    <mergeCell ref="AI90:AI91"/>
    <mergeCell ref="AJ90:AJ91"/>
    <mergeCell ref="AK90:AK91"/>
    <mergeCell ref="AL90:AL91"/>
    <mergeCell ref="AM90:AM91"/>
    <mergeCell ref="AB90:AB91"/>
    <mergeCell ref="AC90:AC91"/>
    <mergeCell ref="AD90:AD91"/>
    <mergeCell ref="AE90:AE91"/>
    <mergeCell ref="AF90:AF91"/>
    <mergeCell ref="AG90:AG91"/>
    <mergeCell ref="P90:P91"/>
    <mergeCell ref="Q90:Q91"/>
    <mergeCell ref="R90:R91"/>
    <mergeCell ref="S90:S91"/>
    <mergeCell ref="T90:T91"/>
    <mergeCell ref="U90:U91"/>
    <mergeCell ref="J90:J91"/>
    <mergeCell ref="K90:K91"/>
    <mergeCell ref="L90:L91"/>
    <mergeCell ref="M90:M91"/>
    <mergeCell ref="N90:N91"/>
    <mergeCell ref="O90:O91"/>
    <mergeCell ref="L78:L88"/>
    <mergeCell ref="M78:M88"/>
    <mergeCell ref="N78:N88"/>
    <mergeCell ref="R78:R88"/>
    <mergeCell ref="V78:V79"/>
    <mergeCell ref="W78:W79"/>
    <mergeCell ref="V84:V87"/>
    <mergeCell ref="W84:W87"/>
    <mergeCell ref="BQ71:BQ88"/>
    <mergeCell ref="BR71:BR88"/>
    <mergeCell ref="J72:J76"/>
    <mergeCell ref="K72:K76"/>
    <mergeCell ref="L72:L76"/>
    <mergeCell ref="M72:M76"/>
    <mergeCell ref="N72:N76"/>
    <mergeCell ref="R72:R76"/>
    <mergeCell ref="J78:J88"/>
    <mergeCell ref="K78:K88"/>
    <mergeCell ref="BK71:BK88"/>
    <mergeCell ref="BL71:BL88"/>
    <mergeCell ref="BM71:BM88"/>
    <mergeCell ref="BN71:BN88"/>
    <mergeCell ref="BO71:BO88"/>
    <mergeCell ref="BP71:BP88"/>
    <mergeCell ref="BE71:BE88"/>
    <mergeCell ref="BF71:BF88"/>
    <mergeCell ref="BG71:BG88"/>
    <mergeCell ref="BH71:BH88"/>
    <mergeCell ref="BI71:BI88"/>
    <mergeCell ref="BJ71:BJ88"/>
    <mergeCell ref="AY71:AY88"/>
    <mergeCell ref="AZ71:AZ88"/>
    <mergeCell ref="BA71:BA88"/>
    <mergeCell ref="BB71:BB88"/>
    <mergeCell ref="BC71:BC88"/>
    <mergeCell ref="BD71:BD88"/>
    <mergeCell ref="AS71:AS88"/>
    <mergeCell ref="AT71:AT88"/>
    <mergeCell ref="AU71:AU88"/>
    <mergeCell ref="AV71:AV88"/>
    <mergeCell ref="AW71:AW88"/>
    <mergeCell ref="AX71:AX88"/>
    <mergeCell ref="AM71:AM88"/>
    <mergeCell ref="AN71:AN88"/>
    <mergeCell ref="AO71:AO88"/>
    <mergeCell ref="AP71:AP88"/>
    <mergeCell ref="AQ71:AQ88"/>
    <mergeCell ref="AR71:AR88"/>
    <mergeCell ref="AI71:AI88"/>
    <mergeCell ref="AJ71:AJ88"/>
    <mergeCell ref="AK71:AK88"/>
    <mergeCell ref="AL71:AL88"/>
    <mergeCell ref="U71:U88"/>
    <mergeCell ref="AB71:AB88"/>
    <mergeCell ref="AC71:AC88"/>
    <mergeCell ref="AD71:AD88"/>
    <mergeCell ref="AE71:AE88"/>
    <mergeCell ref="AF71:AF88"/>
    <mergeCell ref="X78:X79"/>
    <mergeCell ref="Y78:Y79"/>
    <mergeCell ref="X84:X87"/>
    <mergeCell ref="Y84:Y87"/>
    <mergeCell ref="K68:AH68"/>
    <mergeCell ref="D70:F91"/>
    <mergeCell ref="K70:AE70"/>
    <mergeCell ref="O71:O88"/>
    <mergeCell ref="P71:P88"/>
    <mergeCell ref="Q71:Q88"/>
    <mergeCell ref="S71:S88"/>
    <mergeCell ref="T71:T88"/>
    <mergeCell ref="AH59:AH67"/>
    <mergeCell ref="P59:P67"/>
    <mergeCell ref="Q59:Q67"/>
    <mergeCell ref="R59:R65"/>
    <mergeCell ref="S59:S67"/>
    <mergeCell ref="T59:T67"/>
    <mergeCell ref="U59:U67"/>
    <mergeCell ref="J59:J65"/>
    <mergeCell ref="K59:K65"/>
    <mergeCell ref="L59:L65"/>
    <mergeCell ref="M59:M65"/>
    <mergeCell ref="N59:N65"/>
    <mergeCell ref="O59:O67"/>
    <mergeCell ref="J66:J67"/>
    <mergeCell ref="AG71:AG88"/>
    <mergeCell ref="AH71:AH88"/>
    <mergeCell ref="BM59:BM67"/>
    <mergeCell ref="BN59:BN67"/>
    <mergeCell ref="BO59:BO67"/>
    <mergeCell ref="BP59:BP67"/>
    <mergeCell ref="BQ59:BQ67"/>
    <mergeCell ref="BR59:BR67"/>
    <mergeCell ref="BG59:BG67"/>
    <mergeCell ref="BH59:BH67"/>
    <mergeCell ref="BI59:BI67"/>
    <mergeCell ref="BJ59:BJ67"/>
    <mergeCell ref="BK59:BK67"/>
    <mergeCell ref="BL59:BL67"/>
    <mergeCell ref="AX59:AX67"/>
    <mergeCell ref="AZ59:AZ67"/>
    <mergeCell ref="BB59:BB67"/>
    <mergeCell ref="BD59:BD67"/>
    <mergeCell ref="BF59:BF67"/>
    <mergeCell ref="AN59:AN67"/>
    <mergeCell ref="AO59:AO67"/>
    <mergeCell ref="AP59:AP67"/>
    <mergeCell ref="AQ59:AQ67"/>
    <mergeCell ref="AR59:AR67"/>
    <mergeCell ref="AT59:AT67"/>
    <mergeCell ref="AL59:AL67"/>
    <mergeCell ref="AM59:AM67"/>
    <mergeCell ref="AB59:AB67"/>
    <mergeCell ref="AC59:AC67"/>
    <mergeCell ref="AD59:AD67"/>
    <mergeCell ref="AE59:AE67"/>
    <mergeCell ref="AF59:AF67"/>
    <mergeCell ref="AG59:AG67"/>
    <mergeCell ref="AV59:AV67"/>
    <mergeCell ref="J54:J57"/>
    <mergeCell ref="K54:K57"/>
    <mergeCell ref="L54:L57"/>
    <mergeCell ref="M54:M57"/>
    <mergeCell ref="N54:N57"/>
    <mergeCell ref="R54:R57"/>
    <mergeCell ref="AI59:AI67"/>
    <mergeCell ref="AJ59:AJ67"/>
    <mergeCell ref="AK59:AK67"/>
    <mergeCell ref="N66:N67"/>
    <mergeCell ref="R66:R67"/>
    <mergeCell ref="T35:T57"/>
    <mergeCell ref="U35:U57"/>
    <mergeCell ref="AB35:AB57"/>
    <mergeCell ref="AC35:AC57"/>
    <mergeCell ref="AD35:AD57"/>
    <mergeCell ref="AE35:AE57"/>
    <mergeCell ref="N35:N43"/>
    <mergeCell ref="O35:O57"/>
    <mergeCell ref="P35:P57"/>
    <mergeCell ref="Q35:Q57"/>
    <mergeCell ref="R35:R43"/>
    <mergeCell ref="S35:S57"/>
    <mergeCell ref="N51:N53"/>
    <mergeCell ref="BP35:BP57"/>
    <mergeCell ref="BQ35:BQ57"/>
    <mergeCell ref="BR35:BR57"/>
    <mergeCell ref="BS39:BS40"/>
    <mergeCell ref="J44:J45"/>
    <mergeCell ref="K44:K45"/>
    <mergeCell ref="L44:L45"/>
    <mergeCell ref="M44:M45"/>
    <mergeCell ref="N44:N45"/>
    <mergeCell ref="R44:R45"/>
    <mergeCell ref="BJ35:BJ57"/>
    <mergeCell ref="BK35:BK57"/>
    <mergeCell ref="BL35:BL57"/>
    <mergeCell ref="BM35:BM57"/>
    <mergeCell ref="BN35:BN57"/>
    <mergeCell ref="BO35:BO57"/>
    <mergeCell ref="BD35:BD57"/>
    <mergeCell ref="BE35:BE57"/>
    <mergeCell ref="BF35:BF57"/>
    <mergeCell ref="BG35:BG57"/>
    <mergeCell ref="BH35:BH57"/>
    <mergeCell ref="BI35:BI57"/>
    <mergeCell ref="AX35:AX57"/>
    <mergeCell ref="AY35:AY57"/>
    <mergeCell ref="AZ35:AZ57"/>
    <mergeCell ref="BA35:BA57"/>
    <mergeCell ref="BB35:BB57"/>
    <mergeCell ref="BC35:BC57"/>
    <mergeCell ref="AR35:AR57"/>
    <mergeCell ref="AS35:AS57"/>
    <mergeCell ref="AT35:AT57"/>
    <mergeCell ref="AU35:AU57"/>
    <mergeCell ref="AV35:AV57"/>
    <mergeCell ref="AW35:AW57"/>
    <mergeCell ref="AL35:AL57"/>
    <mergeCell ref="AM35:AM57"/>
    <mergeCell ref="AN35:AN57"/>
    <mergeCell ref="AO35:AO57"/>
    <mergeCell ref="AP35:AP57"/>
    <mergeCell ref="AQ35:AQ57"/>
    <mergeCell ref="AF35:AF57"/>
    <mergeCell ref="AG35:AG57"/>
    <mergeCell ref="AH35:AH57"/>
    <mergeCell ref="AI35:AI57"/>
    <mergeCell ref="AJ35:AJ57"/>
    <mergeCell ref="AK35:AK57"/>
    <mergeCell ref="R51:R53"/>
    <mergeCell ref="N46:N50"/>
    <mergeCell ref="R46:R50"/>
    <mergeCell ref="N31:N32"/>
    <mergeCell ref="R31:R32"/>
    <mergeCell ref="D34:F68"/>
    <mergeCell ref="G35:G57"/>
    <mergeCell ref="H35:H57"/>
    <mergeCell ref="I35:I57"/>
    <mergeCell ref="J35:J43"/>
    <mergeCell ref="K35:K43"/>
    <mergeCell ref="L35:L43"/>
    <mergeCell ref="M35:M43"/>
    <mergeCell ref="P28:P32"/>
    <mergeCell ref="Q28:Q32"/>
    <mergeCell ref="R28:R30"/>
    <mergeCell ref="J51:J53"/>
    <mergeCell ref="K51:K53"/>
    <mergeCell ref="L51:L53"/>
    <mergeCell ref="M51:M53"/>
    <mergeCell ref="J46:J50"/>
    <mergeCell ref="K46:K50"/>
    <mergeCell ref="L46:L50"/>
    <mergeCell ref="M46:M50"/>
    <mergeCell ref="K66:K67"/>
    <mergeCell ref="L66:L67"/>
    <mergeCell ref="M66:M67"/>
    <mergeCell ref="BM28:BM32"/>
    <mergeCell ref="BN28:BN32"/>
    <mergeCell ref="BO28:BO32"/>
    <mergeCell ref="BP28:BP32"/>
    <mergeCell ref="BQ28:BQ32"/>
    <mergeCell ref="BR28:BR32"/>
    <mergeCell ref="BG28:BG32"/>
    <mergeCell ref="BH28:BH32"/>
    <mergeCell ref="BI28:BI32"/>
    <mergeCell ref="BJ28:BJ32"/>
    <mergeCell ref="BK28:BK32"/>
    <mergeCell ref="BL28:BL32"/>
    <mergeCell ref="AF28:AF32"/>
    <mergeCell ref="AG28:AG32"/>
    <mergeCell ref="AZ28:AZ32"/>
    <mergeCell ref="BB28:BB32"/>
    <mergeCell ref="BC28:BC32"/>
    <mergeCell ref="BD28:BD32"/>
    <mergeCell ref="BE28:BE32"/>
    <mergeCell ref="BF28:BF32"/>
    <mergeCell ref="AN28:AN32"/>
    <mergeCell ref="AP28:AP32"/>
    <mergeCell ref="AR28:AR32"/>
    <mergeCell ref="AT28:AT32"/>
    <mergeCell ref="AV28:AV32"/>
    <mergeCell ref="AX28:AX32"/>
    <mergeCell ref="AY13:AY26"/>
    <mergeCell ref="S28:S32"/>
    <mergeCell ref="T28:T32"/>
    <mergeCell ref="U28:U32"/>
    <mergeCell ref="AH28:AH32"/>
    <mergeCell ref="AI28:AI32"/>
    <mergeCell ref="AJ28:AJ32"/>
    <mergeCell ref="AK28:AK32"/>
    <mergeCell ref="AL28:AL32"/>
    <mergeCell ref="AM28:AM32"/>
    <mergeCell ref="AB28:AB32"/>
    <mergeCell ref="AC28:AC32"/>
    <mergeCell ref="AD28:AD32"/>
    <mergeCell ref="AE28:AE32"/>
    <mergeCell ref="AW13:AW26"/>
    <mergeCell ref="J28:J30"/>
    <mergeCell ref="K28:K30"/>
    <mergeCell ref="L28:L30"/>
    <mergeCell ref="M28:M30"/>
    <mergeCell ref="N28:N30"/>
    <mergeCell ref="O28:O32"/>
    <mergeCell ref="J31:J32"/>
    <mergeCell ref="K31:K32"/>
    <mergeCell ref="L31:L32"/>
    <mergeCell ref="M31:M32"/>
    <mergeCell ref="BQ13:BQ26"/>
    <mergeCell ref="BR13:BR26"/>
    <mergeCell ref="BS13:BT14"/>
    <mergeCell ref="J15:J26"/>
    <mergeCell ref="K15:K26"/>
    <mergeCell ref="L15:L26"/>
    <mergeCell ref="M15:M26"/>
    <mergeCell ref="N15:N26"/>
    <mergeCell ref="R15:R26"/>
    <mergeCell ref="BL15:BL26"/>
    <mergeCell ref="BK13:BK26"/>
    <mergeCell ref="BL13:BL14"/>
    <mergeCell ref="BM13:BM26"/>
    <mergeCell ref="BN13:BN26"/>
    <mergeCell ref="BO13:BO26"/>
    <mergeCell ref="BP13:BP26"/>
    <mergeCell ref="BD13:BD26"/>
    <mergeCell ref="BF13:BF26"/>
    <mergeCell ref="BG13:BG26"/>
    <mergeCell ref="BH13:BH26"/>
    <mergeCell ref="BI13:BI26"/>
    <mergeCell ref="BJ13:BJ26"/>
    <mergeCell ref="AX13:AX26"/>
    <mergeCell ref="BH8:BM8"/>
    <mergeCell ref="BN8:BO8"/>
    <mergeCell ref="BP8:BQ8"/>
    <mergeCell ref="AF8:AG8"/>
    <mergeCell ref="AK13:AK26"/>
    <mergeCell ref="AL13:AL26"/>
    <mergeCell ref="AM13:AM26"/>
    <mergeCell ref="AN13:AN26"/>
    <mergeCell ref="AO13:AO26"/>
    <mergeCell ref="AP13:AP26"/>
    <mergeCell ref="AF13:AF26"/>
    <mergeCell ref="AG13:AG26"/>
    <mergeCell ref="AH13:AH26"/>
    <mergeCell ref="AI13:AI26"/>
    <mergeCell ref="AJ13:AJ26"/>
    <mergeCell ref="AZ13:AZ26"/>
    <mergeCell ref="BA13:BA26"/>
    <mergeCell ref="BB13:BB26"/>
    <mergeCell ref="BC13:BC26"/>
    <mergeCell ref="AQ13:AQ26"/>
    <mergeCell ref="AR13:AR26"/>
    <mergeCell ref="AT13:AT26"/>
    <mergeCell ref="AU13:AU26"/>
    <mergeCell ref="AV13:AV26"/>
    <mergeCell ref="Z8:Z9"/>
    <mergeCell ref="AA8:AA9"/>
    <mergeCell ref="AB8:AC8"/>
    <mergeCell ref="AD8:AE8"/>
    <mergeCell ref="S13:S26"/>
    <mergeCell ref="T13:T26"/>
    <mergeCell ref="U13:U26"/>
    <mergeCell ref="AB13:AB26"/>
    <mergeCell ref="AC13:AC26"/>
    <mergeCell ref="AD13:AD26"/>
    <mergeCell ref="AE13:AE26"/>
    <mergeCell ref="L8:L9"/>
    <mergeCell ref="M8:N8"/>
    <mergeCell ref="O8:O9"/>
    <mergeCell ref="P8:P9"/>
    <mergeCell ref="BR8:BR9"/>
    <mergeCell ref="A11:A130"/>
    <mergeCell ref="B11:C130"/>
    <mergeCell ref="D12:F32"/>
    <mergeCell ref="O13:O26"/>
    <mergeCell ref="P13:P26"/>
    <mergeCell ref="Q13:Q26"/>
    <mergeCell ref="AT8:AU8"/>
    <mergeCell ref="AV8:AW8"/>
    <mergeCell ref="AX8:AY8"/>
    <mergeCell ref="AZ8:BA8"/>
    <mergeCell ref="BB8:BC8"/>
    <mergeCell ref="BD8:BE8"/>
    <mergeCell ref="AH8:AI8"/>
    <mergeCell ref="AJ8:AK8"/>
    <mergeCell ref="AL8:AM8"/>
    <mergeCell ref="AN8:AO8"/>
    <mergeCell ref="AP8:AQ8"/>
    <mergeCell ref="AR8:AS8"/>
    <mergeCell ref="W8:Y8"/>
    <mergeCell ref="A8:A9"/>
    <mergeCell ref="B8:C9"/>
    <mergeCell ref="D8:D9"/>
    <mergeCell ref="E8:F9"/>
    <mergeCell ref="G8:G9"/>
    <mergeCell ref="H8:I9"/>
    <mergeCell ref="A1:BN4"/>
    <mergeCell ref="A5:M6"/>
    <mergeCell ref="O5:BR5"/>
    <mergeCell ref="AB6:BD6"/>
    <mergeCell ref="AB7:AE7"/>
    <mergeCell ref="AF7:AM7"/>
    <mergeCell ref="AN7:AY7"/>
    <mergeCell ref="AZ7:BE7"/>
    <mergeCell ref="BF7:BG8"/>
    <mergeCell ref="BH7:BR7"/>
    <mergeCell ref="Q8:Q9"/>
    <mergeCell ref="R8:R9"/>
    <mergeCell ref="S8:S9"/>
    <mergeCell ref="T8:T9"/>
    <mergeCell ref="U8:U9"/>
    <mergeCell ref="V8:V9"/>
    <mergeCell ref="J8:J9"/>
    <mergeCell ref="K8:K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159"/>
  <sheetViews>
    <sheetView showGridLines="0" zoomScale="70" zoomScaleNormal="70" workbookViewId="0">
      <selection activeCell="K12" sqref="K12:K14"/>
    </sheetView>
  </sheetViews>
  <sheetFormatPr baseColWidth="10" defaultColWidth="11.42578125" defaultRowHeight="12.75" x14ac:dyDescent="0.2"/>
  <cols>
    <col min="1" max="10" width="14.5703125" style="19" customWidth="1"/>
    <col min="11" max="11" width="27.85546875" style="1380" customWidth="1"/>
    <col min="12" max="12" width="26.140625" style="1380" customWidth="1"/>
    <col min="13" max="13" width="11" style="19" hidden="1" customWidth="1"/>
    <col min="14" max="14" width="11.5703125" style="19" hidden="1" customWidth="1"/>
    <col min="15" max="15" width="29.7109375" style="1381" customWidth="1"/>
    <col min="16" max="16" width="9" style="19" customWidth="1"/>
    <col min="17" max="17" width="28.5703125" style="1380" customWidth="1"/>
    <col min="18" max="18" width="12.140625" style="19" customWidth="1"/>
    <col min="19" max="19" width="23.42578125" style="1382" customWidth="1"/>
    <col min="20" max="20" width="29.42578125" style="1380" customWidth="1"/>
    <col min="21" max="21" width="31.5703125" style="1380" customWidth="1"/>
    <col min="22" max="22" width="41" style="1380" customWidth="1"/>
    <col min="23" max="23" width="26.42578125" style="1383" customWidth="1"/>
    <col min="24" max="24" width="26.42578125" style="1384" customWidth="1"/>
    <col min="25" max="25" width="26.42578125" style="1385" customWidth="1"/>
    <col min="26" max="26" width="11.140625" style="19" customWidth="1"/>
    <col min="27" max="27" width="28.140625" style="1386" customWidth="1"/>
    <col min="28" max="59" width="10.7109375" style="1377" customWidth="1"/>
    <col min="60" max="60" width="20.85546875" style="1387" customWidth="1"/>
    <col min="61" max="61" width="20.85546875" style="1388" customWidth="1"/>
    <col min="62" max="62" width="20.85546875" style="1389" customWidth="1"/>
    <col min="63" max="63" width="20.85546875" style="1390" customWidth="1"/>
    <col min="64" max="64" width="21" style="1390" customWidth="1"/>
    <col min="65" max="65" width="29.42578125" style="1381" customWidth="1"/>
    <col min="66" max="66" width="17.140625" style="19" customWidth="1"/>
    <col min="67" max="67" width="16.42578125" style="19" customWidth="1"/>
    <col min="68" max="68" width="15.85546875" style="19" customWidth="1"/>
    <col min="69" max="69" width="18.7109375" style="19" customWidth="1"/>
    <col min="70" max="70" width="27.28515625" style="19" customWidth="1"/>
    <col min="71" max="16384" width="11.42578125" style="19"/>
  </cols>
  <sheetData>
    <row r="1" spans="1:70" x14ac:dyDescent="0.2">
      <c r="A1" s="3076" t="s">
        <v>1057</v>
      </c>
      <c r="B1" s="3077"/>
      <c r="C1" s="3077"/>
      <c r="D1" s="3077"/>
      <c r="E1" s="3077"/>
      <c r="F1" s="3077"/>
      <c r="G1" s="3077"/>
      <c r="H1" s="3077"/>
      <c r="I1" s="3077"/>
      <c r="J1" s="3077"/>
      <c r="K1" s="3077"/>
      <c r="L1" s="3077"/>
      <c r="M1" s="3077"/>
      <c r="N1" s="3077"/>
      <c r="O1" s="3077"/>
      <c r="P1" s="3077"/>
      <c r="Q1" s="3077"/>
      <c r="R1" s="3077"/>
      <c r="S1" s="3077"/>
      <c r="T1" s="3077"/>
      <c r="U1" s="3077"/>
      <c r="V1" s="3077"/>
      <c r="W1" s="3077"/>
      <c r="X1" s="3077"/>
      <c r="Y1" s="3077"/>
      <c r="Z1" s="3077"/>
      <c r="AA1" s="3077"/>
      <c r="AB1" s="3077"/>
      <c r="AC1" s="3077"/>
      <c r="AD1" s="3077"/>
      <c r="AE1" s="3077"/>
      <c r="AF1" s="3077"/>
      <c r="AG1" s="3077"/>
      <c r="AH1" s="3077"/>
      <c r="AI1" s="3077"/>
      <c r="AJ1" s="3077"/>
      <c r="AK1" s="3077"/>
      <c r="AL1" s="3077"/>
      <c r="AM1" s="3077"/>
      <c r="AN1" s="3077"/>
      <c r="AO1" s="3077"/>
      <c r="AP1" s="3077"/>
      <c r="AQ1" s="3077"/>
      <c r="AR1" s="3077"/>
      <c r="AS1" s="3077"/>
      <c r="AT1" s="3077"/>
      <c r="AU1" s="3077"/>
      <c r="AV1" s="3077"/>
      <c r="AW1" s="3077"/>
      <c r="AX1" s="3077"/>
      <c r="AY1" s="3077"/>
      <c r="AZ1" s="3077"/>
      <c r="BA1" s="3077"/>
      <c r="BB1" s="3077"/>
      <c r="BC1" s="3077"/>
      <c r="BD1" s="3077"/>
      <c r="BE1" s="3077"/>
      <c r="BF1" s="3077"/>
      <c r="BG1" s="3077"/>
      <c r="BH1" s="3077"/>
      <c r="BI1" s="3077"/>
      <c r="BJ1" s="3077"/>
      <c r="BK1" s="3077"/>
      <c r="BL1" s="3077"/>
      <c r="BM1" s="3077"/>
      <c r="BN1" s="3077"/>
      <c r="BO1" s="3077"/>
      <c r="BP1" s="3078"/>
      <c r="BQ1" s="1192" t="s">
        <v>0</v>
      </c>
      <c r="BR1" s="1193" t="s">
        <v>1</v>
      </c>
    </row>
    <row r="2" spans="1:70" x14ac:dyDescent="0.2">
      <c r="A2" s="3079"/>
      <c r="B2" s="3080"/>
      <c r="C2" s="3080"/>
      <c r="D2" s="3080"/>
      <c r="E2" s="3080"/>
      <c r="F2" s="3080"/>
      <c r="G2" s="3080"/>
      <c r="H2" s="3080"/>
      <c r="I2" s="3080"/>
      <c r="J2" s="3080"/>
      <c r="K2" s="3080"/>
      <c r="L2" s="3080"/>
      <c r="M2" s="3080"/>
      <c r="N2" s="3080"/>
      <c r="O2" s="3080"/>
      <c r="P2" s="3080"/>
      <c r="Q2" s="3080"/>
      <c r="R2" s="3080"/>
      <c r="S2" s="3080"/>
      <c r="T2" s="3080"/>
      <c r="U2" s="3080"/>
      <c r="V2" s="3080"/>
      <c r="W2" s="3080"/>
      <c r="X2" s="3080"/>
      <c r="Y2" s="3080"/>
      <c r="Z2" s="3080"/>
      <c r="AA2" s="3080"/>
      <c r="AB2" s="3080"/>
      <c r="AC2" s="3080"/>
      <c r="AD2" s="3080"/>
      <c r="AE2" s="3080"/>
      <c r="AF2" s="3080"/>
      <c r="AG2" s="3080"/>
      <c r="AH2" s="3080"/>
      <c r="AI2" s="3080"/>
      <c r="AJ2" s="3080"/>
      <c r="AK2" s="3080"/>
      <c r="AL2" s="3080"/>
      <c r="AM2" s="3080"/>
      <c r="AN2" s="3080"/>
      <c r="AO2" s="3080"/>
      <c r="AP2" s="3080"/>
      <c r="AQ2" s="3080"/>
      <c r="AR2" s="3080"/>
      <c r="AS2" s="3080"/>
      <c r="AT2" s="3080"/>
      <c r="AU2" s="3080"/>
      <c r="AV2" s="3080"/>
      <c r="AW2" s="3080"/>
      <c r="AX2" s="3080"/>
      <c r="AY2" s="3080"/>
      <c r="AZ2" s="3080"/>
      <c r="BA2" s="3080"/>
      <c r="BB2" s="3080"/>
      <c r="BC2" s="3080"/>
      <c r="BD2" s="3080"/>
      <c r="BE2" s="3080"/>
      <c r="BF2" s="3080"/>
      <c r="BG2" s="3080"/>
      <c r="BH2" s="3080"/>
      <c r="BI2" s="3080"/>
      <c r="BJ2" s="3080"/>
      <c r="BK2" s="3080"/>
      <c r="BL2" s="3080"/>
      <c r="BM2" s="3080"/>
      <c r="BN2" s="3080"/>
      <c r="BO2" s="3080"/>
      <c r="BP2" s="3081"/>
      <c r="BQ2" s="1194" t="s">
        <v>2</v>
      </c>
      <c r="BR2" s="1195">
        <v>6</v>
      </c>
    </row>
    <row r="3" spans="1:70" x14ac:dyDescent="0.2">
      <c r="A3" s="3079"/>
      <c r="B3" s="3080"/>
      <c r="C3" s="3080"/>
      <c r="D3" s="3080"/>
      <c r="E3" s="3080"/>
      <c r="F3" s="3080"/>
      <c r="G3" s="3080"/>
      <c r="H3" s="3080"/>
      <c r="I3" s="3080"/>
      <c r="J3" s="3080"/>
      <c r="K3" s="3080"/>
      <c r="L3" s="3080"/>
      <c r="M3" s="3080"/>
      <c r="N3" s="3080"/>
      <c r="O3" s="3080"/>
      <c r="P3" s="3080"/>
      <c r="Q3" s="3080"/>
      <c r="R3" s="3080"/>
      <c r="S3" s="3080"/>
      <c r="T3" s="3080"/>
      <c r="U3" s="3080"/>
      <c r="V3" s="3080"/>
      <c r="W3" s="3080"/>
      <c r="X3" s="3080"/>
      <c r="Y3" s="3080"/>
      <c r="Z3" s="3080"/>
      <c r="AA3" s="3080"/>
      <c r="AB3" s="3080"/>
      <c r="AC3" s="3080"/>
      <c r="AD3" s="3080"/>
      <c r="AE3" s="3080"/>
      <c r="AF3" s="3080"/>
      <c r="AG3" s="3080"/>
      <c r="AH3" s="3080"/>
      <c r="AI3" s="3080"/>
      <c r="AJ3" s="3080"/>
      <c r="AK3" s="3080"/>
      <c r="AL3" s="3080"/>
      <c r="AM3" s="3080"/>
      <c r="AN3" s="3080"/>
      <c r="AO3" s="3080"/>
      <c r="AP3" s="3080"/>
      <c r="AQ3" s="3080"/>
      <c r="AR3" s="3080"/>
      <c r="AS3" s="3080"/>
      <c r="AT3" s="3080"/>
      <c r="AU3" s="3080"/>
      <c r="AV3" s="3080"/>
      <c r="AW3" s="3080"/>
      <c r="AX3" s="3080"/>
      <c r="AY3" s="3080"/>
      <c r="AZ3" s="3080"/>
      <c r="BA3" s="3080"/>
      <c r="BB3" s="3080"/>
      <c r="BC3" s="3080"/>
      <c r="BD3" s="3080"/>
      <c r="BE3" s="3080"/>
      <c r="BF3" s="3080"/>
      <c r="BG3" s="3080"/>
      <c r="BH3" s="3080"/>
      <c r="BI3" s="3080"/>
      <c r="BJ3" s="3080"/>
      <c r="BK3" s="3080"/>
      <c r="BL3" s="3080"/>
      <c r="BM3" s="3080"/>
      <c r="BN3" s="3080"/>
      <c r="BO3" s="3080"/>
      <c r="BP3" s="3081"/>
      <c r="BQ3" s="1196" t="s">
        <v>3</v>
      </c>
      <c r="BR3" s="1197" t="s">
        <v>4</v>
      </c>
    </row>
    <row r="4" spans="1:70" s="1199" customFormat="1" x14ac:dyDescent="0.2">
      <c r="A4" s="3082"/>
      <c r="B4" s="3083"/>
      <c r="C4" s="3083"/>
      <c r="D4" s="3083"/>
      <c r="E4" s="3083"/>
      <c r="F4" s="3083"/>
      <c r="G4" s="3083"/>
      <c r="H4" s="3083"/>
      <c r="I4" s="3083"/>
      <c r="J4" s="3083"/>
      <c r="K4" s="3083"/>
      <c r="L4" s="3083"/>
      <c r="M4" s="3083"/>
      <c r="N4" s="3083"/>
      <c r="O4" s="3083"/>
      <c r="P4" s="3083"/>
      <c r="Q4" s="3083"/>
      <c r="R4" s="3083"/>
      <c r="S4" s="3083"/>
      <c r="T4" s="3083"/>
      <c r="U4" s="3083"/>
      <c r="V4" s="3083"/>
      <c r="W4" s="3083"/>
      <c r="X4" s="3083"/>
      <c r="Y4" s="3083"/>
      <c r="Z4" s="3083"/>
      <c r="AA4" s="3083"/>
      <c r="AB4" s="3083"/>
      <c r="AC4" s="3083"/>
      <c r="AD4" s="3083"/>
      <c r="AE4" s="3083"/>
      <c r="AF4" s="3083"/>
      <c r="AG4" s="3083"/>
      <c r="AH4" s="3083"/>
      <c r="AI4" s="3083"/>
      <c r="AJ4" s="3083"/>
      <c r="AK4" s="3083"/>
      <c r="AL4" s="3083"/>
      <c r="AM4" s="3083"/>
      <c r="AN4" s="3083"/>
      <c r="AO4" s="3083"/>
      <c r="AP4" s="3083"/>
      <c r="AQ4" s="3083"/>
      <c r="AR4" s="3083"/>
      <c r="AS4" s="3083"/>
      <c r="AT4" s="3083"/>
      <c r="AU4" s="3083"/>
      <c r="AV4" s="3083"/>
      <c r="AW4" s="3083"/>
      <c r="AX4" s="3083"/>
      <c r="AY4" s="3083"/>
      <c r="AZ4" s="3083"/>
      <c r="BA4" s="3083"/>
      <c r="BB4" s="3083"/>
      <c r="BC4" s="3083"/>
      <c r="BD4" s="3083"/>
      <c r="BE4" s="3083"/>
      <c r="BF4" s="3083"/>
      <c r="BG4" s="3083"/>
      <c r="BH4" s="3083"/>
      <c r="BI4" s="3083"/>
      <c r="BJ4" s="3083"/>
      <c r="BK4" s="3083"/>
      <c r="BL4" s="3083"/>
      <c r="BM4" s="3083"/>
      <c r="BN4" s="3083"/>
      <c r="BO4" s="3083"/>
      <c r="BP4" s="3084"/>
      <c r="BQ4" s="1196" t="s">
        <v>5</v>
      </c>
      <c r="BR4" s="1198" t="s">
        <v>6</v>
      </c>
    </row>
    <row r="5" spans="1:70" ht="37.5" customHeight="1" x14ac:dyDescent="0.2">
      <c r="A5" s="3085" t="s">
        <v>7</v>
      </c>
      <c r="B5" s="3086"/>
      <c r="C5" s="3086"/>
      <c r="D5" s="3086"/>
      <c r="E5" s="3086"/>
      <c r="F5" s="3086"/>
      <c r="G5" s="3086"/>
      <c r="H5" s="3086"/>
      <c r="I5" s="3086"/>
      <c r="J5" s="3086"/>
      <c r="K5" s="3086"/>
      <c r="L5" s="3086"/>
      <c r="M5" s="3086"/>
      <c r="N5" s="3087"/>
      <c r="O5" s="1200"/>
      <c r="P5" s="1200"/>
      <c r="Q5" s="3091" t="s">
        <v>8</v>
      </c>
      <c r="R5" s="3091"/>
      <c r="S5" s="3091"/>
      <c r="T5" s="3091"/>
      <c r="U5" s="3091"/>
      <c r="V5" s="3091"/>
      <c r="W5" s="3091"/>
      <c r="X5" s="3091"/>
      <c r="Y5" s="3091"/>
      <c r="Z5" s="3091"/>
      <c r="AA5" s="3091"/>
      <c r="AB5" s="3091"/>
      <c r="AC5" s="3091"/>
      <c r="AD5" s="3091"/>
      <c r="AE5" s="3091"/>
      <c r="AF5" s="3091"/>
      <c r="AG5" s="3091"/>
      <c r="AH5" s="3091"/>
      <c r="AI5" s="3091"/>
      <c r="AJ5" s="3091"/>
      <c r="AK5" s="3091"/>
      <c r="AL5" s="3091"/>
      <c r="AM5" s="3091"/>
      <c r="AN5" s="3091"/>
      <c r="AO5" s="3091"/>
      <c r="AP5" s="3091"/>
      <c r="AQ5" s="3091"/>
      <c r="AR5" s="3091"/>
      <c r="AS5" s="3091"/>
      <c r="AT5" s="3091"/>
      <c r="AU5" s="3091"/>
      <c r="AV5" s="3091"/>
      <c r="AW5" s="3091"/>
      <c r="AX5" s="3091"/>
      <c r="AY5" s="3091"/>
      <c r="AZ5" s="3091"/>
      <c r="BA5" s="3091"/>
      <c r="BB5" s="3091"/>
      <c r="BC5" s="3091"/>
      <c r="BD5" s="3091"/>
      <c r="BE5" s="3091"/>
      <c r="BF5" s="3091"/>
      <c r="BG5" s="3091"/>
      <c r="BH5" s="3091"/>
      <c r="BI5" s="3091"/>
      <c r="BJ5" s="3091"/>
      <c r="BK5" s="3091"/>
      <c r="BL5" s="3091"/>
      <c r="BM5" s="3091"/>
      <c r="BN5" s="3091"/>
      <c r="BO5" s="3091"/>
      <c r="BP5" s="3091"/>
      <c r="BQ5" s="3091"/>
      <c r="BR5" s="3092"/>
    </row>
    <row r="6" spans="1:70" ht="23.25" customHeight="1" thickBot="1" x14ac:dyDescent="0.25">
      <c r="A6" s="3088"/>
      <c r="B6" s="3089"/>
      <c r="C6" s="3089"/>
      <c r="D6" s="3089"/>
      <c r="E6" s="3089"/>
      <c r="F6" s="3089"/>
      <c r="G6" s="3089"/>
      <c r="H6" s="3089"/>
      <c r="I6" s="3089"/>
      <c r="J6" s="3089"/>
      <c r="K6" s="3089"/>
      <c r="L6" s="3089"/>
      <c r="M6" s="3089"/>
      <c r="N6" s="3090"/>
      <c r="O6" s="1200"/>
      <c r="P6" s="1201"/>
      <c r="Q6" s="3093"/>
      <c r="R6" s="3094"/>
      <c r="S6" s="3094"/>
      <c r="T6" s="3094"/>
      <c r="U6" s="3094"/>
      <c r="V6" s="3094"/>
      <c r="W6" s="3094"/>
      <c r="X6" s="3094"/>
      <c r="Y6" s="3094"/>
      <c r="Z6" s="3094"/>
      <c r="AA6" s="3095"/>
      <c r="AB6" s="1202"/>
      <c r="AC6" s="1202"/>
      <c r="AD6" s="1202"/>
      <c r="AE6" s="1202"/>
      <c r="AF6" s="1202"/>
      <c r="AG6" s="1202"/>
      <c r="AH6" s="1202"/>
      <c r="AI6" s="1202"/>
      <c r="AJ6" s="1202"/>
      <c r="AK6" s="1202"/>
      <c r="AL6" s="1202"/>
      <c r="AM6" s="1202"/>
      <c r="AN6" s="1202"/>
      <c r="AO6" s="1202"/>
      <c r="AP6" s="1202"/>
      <c r="AQ6" s="1202"/>
      <c r="AR6" s="1202"/>
      <c r="AS6" s="1202"/>
      <c r="AT6" s="1202"/>
      <c r="AU6" s="1202"/>
      <c r="AV6" s="1202"/>
      <c r="AW6" s="1202"/>
      <c r="AX6" s="1202"/>
      <c r="AY6" s="1202"/>
      <c r="AZ6" s="1202"/>
      <c r="BA6" s="1202"/>
      <c r="BB6" s="1202"/>
      <c r="BC6" s="1202"/>
      <c r="BD6" s="1202"/>
      <c r="BE6" s="1202"/>
      <c r="BF6" s="1202"/>
      <c r="BG6" s="1202"/>
      <c r="BH6" s="1202"/>
      <c r="BI6" s="1202"/>
      <c r="BJ6" s="1203"/>
      <c r="BK6" s="1204"/>
      <c r="BL6" s="1205"/>
      <c r="BM6" s="1206"/>
      <c r="BN6" s="3093"/>
      <c r="BO6" s="3094"/>
      <c r="BP6" s="3094"/>
      <c r="BQ6" s="3094"/>
      <c r="BR6" s="3096"/>
    </row>
    <row r="7" spans="1:70" s="1207" customFormat="1" ht="15.75" customHeight="1" x14ac:dyDescent="0.25">
      <c r="A7" s="3097" t="s">
        <v>9</v>
      </c>
      <c r="B7" s="2589" t="s">
        <v>10</v>
      </c>
      <c r="C7" s="2589"/>
      <c r="D7" s="2589" t="s">
        <v>9</v>
      </c>
      <c r="E7" s="2589" t="s">
        <v>11</v>
      </c>
      <c r="F7" s="2589"/>
      <c r="G7" s="2589" t="s">
        <v>9</v>
      </c>
      <c r="H7" s="2589" t="s">
        <v>12</v>
      </c>
      <c r="I7" s="2589"/>
      <c r="J7" s="2589" t="s">
        <v>9</v>
      </c>
      <c r="K7" s="2589" t="s">
        <v>13</v>
      </c>
      <c r="L7" s="2589" t="s">
        <v>14</v>
      </c>
      <c r="M7" s="3121" t="s">
        <v>15</v>
      </c>
      <c r="N7" s="3121"/>
      <c r="O7" s="3121" t="s">
        <v>16</v>
      </c>
      <c r="P7" s="3121" t="s">
        <v>98</v>
      </c>
      <c r="Q7" s="3121" t="s">
        <v>8</v>
      </c>
      <c r="R7" s="3121" t="s">
        <v>18</v>
      </c>
      <c r="S7" s="3128" t="s">
        <v>19</v>
      </c>
      <c r="T7" s="3129" t="s">
        <v>20</v>
      </c>
      <c r="U7" s="3100" t="s">
        <v>21</v>
      </c>
      <c r="V7" s="3100" t="s">
        <v>22</v>
      </c>
      <c r="W7" s="3103" t="s">
        <v>19</v>
      </c>
      <c r="X7" s="3104"/>
      <c r="Y7" s="3105"/>
      <c r="Z7" s="3109" t="s">
        <v>9</v>
      </c>
      <c r="AA7" s="3112" t="s">
        <v>23</v>
      </c>
      <c r="AB7" s="3115" t="s">
        <v>24</v>
      </c>
      <c r="AC7" s="3116"/>
      <c r="AD7" s="3116"/>
      <c r="AE7" s="3117"/>
      <c r="AF7" s="3118" t="s">
        <v>25</v>
      </c>
      <c r="AG7" s="3119"/>
      <c r="AH7" s="3119"/>
      <c r="AI7" s="3119"/>
      <c r="AJ7" s="3119"/>
      <c r="AK7" s="3119"/>
      <c r="AL7" s="3119"/>
      <c r="AM7" s="3120"/>
      <c r="AN7" s="3132" t="s">
        <v>26</v>
      </c>
      <c r="AO7" s="3133"/>
      <c r="AP7" s="3133"/>
      <c r="AQ7" s="3133"/>
      <c r="AR7" s="3133"/>
      <c r="AS7" s="3133"/>
      <c r="AT7" s="3133"/>
      <c r="AU7" s="3133"/>
      <c r="AV7" s="3133"/>
      <c r="AW7" s="3133"/>
      <c r="AX7" s="3133"/>
      <c r="AY7" s="3134"/>
      <c r="AZ7" s="3118" t="s">
        <v>27</v>
      </c>
      <c r="BA7" s="3119"/>
      <c r="BB7" s="3119"/>
      <c r="BC7" s="3119"/>
      <c r="BD7" s="3119"/>
      <c r="BE7" s="3120"/>
      <c r="BF7" s="3135" t="s">
        <v>28</v>
      </c>
      <c r="BG7" s="3136"/>
      <c r="BH7" s="3139" t="s">
        <v>29</v>
      </c>
      <c r="BI7" s="3140"/>
      <c r="BJ7" s="3140"/>
      <c r="BK7" s="3140"/>
      <c r="BL7" s="3140"/>
      <c r="BM7" s="3140"/>
      <c r="BN7" s="3141" t="s">
        <v>30</v>
      </c>
      <c r="BO7" s="3142"/>
      <c r="BP7" s="3141" t="s">
        <v>31</v>
      </c>
      <c r="BQ7" s="3142"/>
      <c r="BR7" s="3152" t="s">
        <v>32</v>
      </c>
    </row>
    <row r="8" spans="1:70" s="1207" customFormat="1" ht="133.5" customHeight="1" x14ac:dyDescent="0.25">
      <c r="A8" s="3098"/>
      <c r="B8" s="2589"/>
      <c r="C8" s="2589"/>
      <c r="D8" s="2589"/>
      <c r="E8" s="2589"/>
      <c r="F8" s="2589"/>
      <c r="G8" s="2589"/>
      <c r="H8" s="2589"/>
      <c r="I8" s="2589"/>
      <c r="J8" s="2589"/>
      <c r="K8" s="2589"/>
      <c r="L8" s="2589"/>
      <c r="M8" s="3121"/>
      <c r="N8" s="3121"/>
      <c r="O8" s="3121"/>
      <c r="P8" s="3121"/>
      <c r="Q8" s="3121"/>
      <c r="R8" s="3121"/>
      <c r="S8" s="3128"/>
      <c r="T8" s="3130"/>
      <c r="U8" s="3101"/>
      <c r="V8" s="3101"/>
      <c r="W8" s="3106"/>
      <c r="X8" s="3107"/>
      <c r="Y8" s="3108"/>
      <c r="Z8" s="3110"/>
      <c r="AA8" s="3113"/>
      <c r="AB8" s="3155" t="s">
        <v>33</v>
      </c>
      <c r="AC8" s="3155"/>
      <c r="AD8" s="3155" t="s">
        <v>1058</v>
      </c>
      <c r="AE8" s="3155"/>
      <c r="AF8" s="3156" t="s">
        <v>35</v>
      </c>
      <c r="AG8" s="3157"/>
      <c r="AH8" s="3156" t="s">
        <v>36</v>
      </c>
      <c r="AI8" s="3157"/>
      <c r="AJ8" s="3156" t="s">
        <v>1059</v>
      </c>
      <c r="AK8" s="3157"/>
      <c r="AL8" s="3156" t="s">
        <v>38</v>
      </c>
      <c r="AM8" s="3157"/>
      <c r="AN8" s="3158" t="s">
        <v>39</v>
      </c>
      <c r="AO8" s="3159"/>
      <c r="AP8" s="3158" t="s">
        <v>40</v>
      </c>
      <c r="AQ8" s="3159"/>
      <c r="AR8" s="3158" t="s">
        <v>41</v>
      </c>
      <c r="AS8" s="3159"/>
      <c r="AT8" s="3158" t="s">
        <v>42</v>
      </c>
      <c r="AU8" s="3159"/>
      <c r="AV8" s="3158" t="s">
        <v>1060</v>
      </c>
      <c r="AW8" s="3159"/>
      <c r="AX8" s="3158" t="s">
        <v>44</v>
      </c>
      <c r="AY8" s="3159"/>
      <c r="AZ8" s="3149" t="s">
        <v>45</v>
      </c>
      <c r="BA8" s="3150"/>
      <c r="BB8" s="3149" t="s">
        <v>46</v>
      </c>
      <c r="BC8" s="3150"/>
      <c r="BD8" s="3149" t="s">
        <v>1061</v>
      </c>
      <c r="BE8" s="3150"/>
      <c r="BF8" s="3137"/>
      <c r="BG8" s="3138"/>
      <c r="BH8" s="3121" t="s">
        <v>48</v>
      </c>
      <c r="BI8" s="3151" t="s">
        <v>49</v>
      </c>
      <c r="BJ8" s="3151" t="s">
        <v>50</v>
      </c>
      <c r="BK8" s="3122" t="s">
        <v>51</v>
      </c>
      <c r="BL8" s="3122" t="s">
        <v>52</v>
      </c>
      <c r="BM8" s="3121" t="s">
        <v>53</v>
      </c>
      <c r="BN8" s="3143"/>
      <c r="BO8" s="3144"/>
      <c r="BP8" s="3143"/>
      <c r="BQ8" s="3144"/>
      <c r="BR8" s="3153"/>
    </row>
    <row r="9" spans="1:70" s="1207" customFormat="1" ht="34.5" customHeight="1" x14ac:dyDescent="0.25">
      <c r="A9" s="3099"/>
      <c r="B9" s="2589"/>
      <c r="C9" s="2589"/>
      <c r="D9" s="2589"/>
      <c r="E9" s="2589"/>
      <c r="F9" s="2589"/>
      <c r="G9" s="2589"/>
      <c r="H9" s="2589"/>
      <c r="I9" s="2589"/>
      <c r="J9" s="2589"/>
      <c r="K9" s="2589"/>
      <c r="L9" s="2589"/>
      <c r="M9" s="849" t="s">
        <v>54</v>
      </c>
      <c r="N9" s="849" t="s">
        <v>55</v>
      </c>
      <c r="O9" s="3121"/>
      <c r="P9" s="3121"/>
      <c r="Q9" s="3121"/>
      <c r="R9" s="3121"/>
      <c r="S9" s="3128"/>
      <c r="T9" s="3131"/>
      <c r="U9" s="3102"/>
      <c r="V9" s="3102"/>
      <c r="W9" s="1208" t="s">
        <v>56</v>
      </c>
      <c r="X9" s="1208" t="s">
        <v>1062</v>
      </c>
      <c r="Y9" s="1208" t="s">
        <v>1063</v>
      </c>
      <c r="Z9" s="3111"/>
      <c r="AA9" s="3114"/>
      <c r="AB9" s="849" t="s">
        <v>54</v>
      </c>
      <c r="AC9" s="849" t="s">
        <v>55</v>
      </c>
      <c r="AD9" s="849" t="s">
        <v>54</v>
      </c>
      <c r="AE9" s="849" t="s">
        <v>55</v>
      </c>
      <c r="AF9" s="849" t="s">
        <v>54</v>
      </c>
      <c r="AG9" s="849" t="s">
        <v>55</v>
      </c>
      <c r="AH9" s="849" t="s">
        <v>54</v>
      </c>
      <c r="AI9" s="849" t="s">
        <v>55</v>
      </c>
      <c r="AJ9" s="849" t="s">
        <v>54</v>
      </c>
      <c r="AK9" s="849" t="s">
        <v>55</v>
      </c>
      <c r="AL9" s="849" t="s">
        <v>54</v>
      </c>
      <c r="AM9" s="849" t="s">
        <v>55</v>
      </c>
      <c r="AN9" s="849" t="s">
        <v>54</v>
      </c>
      <c r="AO9" s="849" t="s">
        <v>55</v>
      </c>
      <c r="AP9" s="849" t="s">
        <v>54</v>
      </c>
      <c r="AQ9" s="849" t="s">
        <v>55</v>
      </c>
      <c r="AR9" s="849" t="s">
        <v>54</v>
      </c>
      <c r="AS9" s="849" t="s">
        <v>55</v>
      </c>
      <c r="AT9" s="849" t="s">
        <v>54</v>
      </c>
      <c r="AU9" s="849" t="s">
        <v>55</v>
      </c>
      <c r="AV9" s="849" t="s">
        <v>54</v>
      </c>
      <c r="AW9" s="849" t="s">
        <v>55</v>
      </c>
      <c r="AX9" s="849" t="s">
        <v>54</v>
      </c>
      <c r="AY9" s="849" t="s">
        <v>55</v>
      </c>
      <c r="AZ9" s="849" t="s">
        <v>54</v>
      </c>
      <c r="BA9" s="849" t="s">
        <v>55</v>
      </c>
      <c r="BB9" s="849" t="s">
        <v>54</v>
      </c>
      <c r="BC9" s="849" t="s">
        <v>55</v>
      </c>
      <c r="BD9" s="849" t="s">
        <v>54</v>
      </c>
      <c r="BE9" s="849" t="s">
        <v>55</v>
      </c>
      <c r="BF9" s="849" t="s">
        <v>54</v>
      </c>
      <c r="BG9" s="849" t="s">
        <v>55</v>
      </c>
      <c r="BH9" s="3121"/>
      <c r="BI9" s="3151"/>
      <c r="BJ9" s="3151"/>
      <c r="BK9" s="3123"/>
      <c r="BL9" s="3123"/>
      <c r="BM9" s="3121"/>
      <c r="BN9" s="1209" t="s">
        <v>54</v>
      </c>
      <c r="BO9" s="1209" t="s">
        <v>55</v>
      </c>
      <c r="BP9" s="1209" t="s">
        <v>54</v>
      </c>
      <c r="BQ9" s="1209" t="s">
        <v>55</v>
      </c>
      <c r="BR9" s="3154"/>
    </row>
    <row r="10" spans="1:70" s="1222" customFormat="1" ht="15" customHeight="1" x14ac:dyDescent="0.2">
      <c r="A10" s="1210"/>
      <c r="B10" s="1211"/>
      <c r="C10" s="1212"/>
      <c r="D10" s="1213">
        <v>9</v>
      </c>
      <c r="E10" s="3124" t="s">
        <v>1064</v>
      </c>
      <c r="F10" s="3125"/>
      <c r="G10" s="3125"/>
      <c r="H10" s="3125"/>
      <c r="I10" s="3125"/>
      <c r="J10" s="3125"/>
      <c r="K10" s="3125"/>
      <c r="L10" s="1214"/>
      <c r="M10" s="1215"/>
      <c r="N10" s="1215"/>
      <c r="O10" s="1216"/>
      <c r="P10" s="1215"/>
      <c r="Q10" s="1214"/>
      <c r="R10" s="1215"/>
      <c r="S10" s="1217"/>
      <c r="T10" s="1214"/>
      <c r="U10" s="1214"/>
      <c r="V10" s="1214"/>
      <c r="W10" s="1218"/>
      <c r="X10" s="1218"/>
      <c r="Y10" s="1219"/>
      <c r="Z10" s="1220"/>
      <c r="AA10" s="1216"/>
      <c r="AB10" s="1221"/>
      <c r="AC10" s="1221"/>
      <c r="AD10" s="1221"/>
      <c r="AE10" s="1221"/>
      <c r="AF10" s="1221"/>
      <c r="AG10" s="1221"/>
      <c r="AH10" s="1221"/>
      <c r="AI10" s="1221"/>
      <c r="AJ10" s="1221"/>
      <c r="AK10" s="1221"/>
      <c r="AL10" s="1221"/>
      <c r="AM10" s="1221"/>
      <c r="AN10" s="1221"/>
      <c r="AO10" s="1221"/>
      <c r="AP10" s="1221"/>
      <c r="AQ10" s="1221"/>
      <c r="AR10" s="1221"/>
      <c r="AS10" s="1221"/>
      <c r="AT10" s="1221"/>
      <c r="AU10" s="1221"/>
      <c r="AV10" s="1221"/>
      <c r="AW10" s="1221"/>
      <c r="AX10" s="1221"/>
      <c r="AY10" s="1221"/>
      <c r="AZ10" s="1221"/>
      <c r="BA10" s="1221"/>
      <c r="BB10" s="1221"/>
      <c r="BC10" s="1221"/>
      <c r="BD10" s="1221"/>
      <c r="BE10" s="1221"/>
      <c r="BF10" s="1221"/>
      <c r="BG10" s="1221"/>
      <c r="BH10" s="3126"/>
      <c r="BI10" s="3126"/>
      <c r="BJ10" s="3126"/>
      <c r="BK10" s="3126"/>
      <c r="BL10" s="3126"/>
      <c r="BM10" s="3126"/>
      <c r="BN10" s="3126"/>
      <c r="BO10" s="3126"/>
      <c r="BP10" s="3126"/>
      <c r="BQ10" s="3126"/>
      <c r="BR10" s="3127"/>
    </row>
    <row r="11" spans="1:70" ht="15" customHeight="1" x14ac:dyDescent="0.2">
      <c r="A11" s="1223"/>
      <c r="B11" s="1224"/>
      <c r="C11" s="1225"/>
      <c r="D11" s="1226"/>
      <c r="E11" s="1227"/>
      <c r="F11" s="1228"/>
      <c r="G11" s="1229">
        <v>29</v>
      </c>
      <c r="H11" s="3145" t="s">
        <v>1065</v>
      </c>
      <c r="I11" s="3146"/>
      <c r="J11" s="3146"/>
      <c r="K11" s="3146"/>
      <c r="L11" s="1230"/>
      <c r="M11" s="1231"/>
      <c r="N11" s="1231"/>
      <c r="O11" s="1232"/>
      <c r="P11" s="1231"/>
      <c r="Q11" s="1230"/>
      <c r="R11" s="1231"/>
      <c r="S11" s="1233"/>
      <c r="T11" s="1230"/>
      <c r="U11" s="1230"/>
      <c r="V11" s="1230"/>
      <c r="W11" s="1234"/>
      <c r="X11" s="1234"/>
      <c r="Y11" s="1235"/>
      <c r="Z11" s="1236"/>
      <c r="AA11" s="1232"/>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37"/>
      <c r="BC11" s="1237"/>
      <c r="BD11" s="1237"/>
      <c r="BE11" s="1237"/>
      <c r="BF11" s="1237"/>
      <c r="BG11" s="1237"/>
      <c r="BH11" s="3147"/>
      <c r="BI11" s="3147"/>
      <c r="BJ11" s="3147"/>
      <c r="BK11" s="3147"/>
      <c r="BL11" s="3147"/>
      <c r="BM11" s="3147"/>
      <c r="BN11" s="3147"/>
      <c r="BO11" s="3147"/>
      <c r="BP11" s="3147"/>
      <c r="BQ11" s="3147"/>
      <c r="BR11" s="3148"/>
    </row>
    <row r="12" spans="1:70" s="1249" customFormat="1" ht="30" customHeight="1" x14ac:dyDescent="0.2">
      <c r="A12" s="1238"/>
      <c r="B12" s="1239"/>
      <c r="C12" s="1240"/>
      <c r="D12" s="1241"/>
      <c r="E12" s="1242"/>
      <c r="F12" s="1243"/>
      <c r="G12" s="3160"/>
      <c r="H12" s="3163"/>
      <c r="I12" s="3164"/>
      <c r="J12" s="3169">
        <v>114</v>
      </c>
      <c r="K12" s="3172" t="s">
        <v>1066</v>
      </c>
      <c r="L12" s="3172" t="s">
        <v>1067</v>
      </c>
      <c r="M12" s="3169">
        <v>30</v>
      </c>
      <c r="N12" s="1244">
        <v>0</v>
      </c>
      <c r="O12" s="3160" t="s">
        <v>1068</v>
      </c>
      <c r="P12" s="3160">
        <v>45</v>
      </c>
      <c r="Q12" s="3172" t="s">
        <v>1069</v>
      </c>
      <c r="R12" s="3183">
        <f>SUM(W12:W14)/S12</f>
        <v>1</v>
      </c>
      <c r="S12" s="3186">
        <v>189078900</v>
      </c>
      <c r="T12" s="3172" t="s">
        <v>1070</v>
      </c>
      <c r="U12" s="3172" t="s">
        <v>1071</v>
      </c>
      <c r="V12" s="3172" t="s">
        <v>1072</v>
      </c>
      <c r="W12" s="3179">
        <v>94539450</v>
      </c>
      <c r="X12" s="3179">
        <v>0</v>
      </c>
      <c r="Y12" s="3179">
        <v>0</v>
      </c>
      <c r="Z12" s="3181">
        <v>33</v>
      </c>
      <c r="AA12" s="3192" t="s">
        <v>1073</v>
      </c>
      <c r="AB12" s="3160">
        <v>26</v>
      </c>
      <c r="AC12" s="1245"/>
      <c r="AD12" s="3160">
        <v>26</v>
      </c>
      <c r="AE12" s="1245"/>
      <c r="AF12" s="3189">
        <v>0</v>
      </c>
      <c r="AG12" s="1246"/>
      <c r="AH12" s="3189">
        <v>0</v>
      </c>
      <c r="AI12" s="1246"/>
      <c r="AJ12" s="3189">
        <v>52</v>
      </c>
      <c r="AK12" s="1246"/>
      <c r="AL12" s="3189">
        <v>0</v>
      </c>
      <c r="AM12" s="1246"/>
      <c r="AN12" s="3189">
        <v>0</v>
      </c>
      <c r="AO12" s="1246"/>
      <c r="AP12" s="3189">
        <v>0</v>
      </c>
      <c r="AQ12" s="1246"/>
      <c r="AR12" s="3189">
        <v>0</v>
      </c>
      <c r="AS12" s="1246"/>
      <c r="AT12" s="3189">
        <v>0</v>
      </c>
      <c r="AU12" s="1246"/>
      <c r="AV12" s="3189">
        <v>0</v>
      </c>
      <c r="AW12" s="1246"/>
      <c r="AX12" s="3189">
        <v>0</v>
      </c>
      <c r="AY12" s="1246"/>
      <c r="AZ12" s="3189">
        <v>0</v>
      </c>
      <c r="BA12" s="1246"/>
      <c r="BB12" s="3189">
        <v>0</v>
      </c>
      <c r="BC12" s="1246"/>
      <c r="BD12" s="3189">
        <v>0</v>
      </c>
      <c r="BE12" s="1246"/>
      <c r="BF12" s="3189">
        <f>AB12+AD12</f>
        <v>52</v>
      </c>
      <c r="BG12" s="1246"/>
      <c r="BH12" s="3201"/>
      <c r="BI12" s="3198">
        <v>0</v>
      </c>
      <c r="BJ12" s="3198">
        <v>0</v>
      </c>
      <c r="BK12" s="1247"/>
      <c r="BL12" s="3201"/>
      <c r="BM12" s="3203" t="s">
        <v>1074</v>
      </c>
      <c r="BN12" s="3206">
        <v>43832</v>
      </c>
      <c r="BO12" s="1248"/>
      <c r="BP12" s="3206">
        <v>44196</v>
      </c>
      <c r="BQ12" s="1248"/>
      <c r="BR12" s="3194" t="s">
        <v>1075</v>
      </c>
    </row>
    <row r="13" spans="1:70" s="1249" customFormat="1" ht="31.5" customHeight="1" x14ac:dyDescent="0.2">
      <c r="A13" s="1238"/>
      <c r="B13" s="1239"/>
      <c r="C13" s="1240"/>
      <c r="D13" s="1241"/>
      <c r="E13" s="1242"/>
      <c r="F13" s="1243"/>
      <c r="G13" s="3161"/>
      <c r="H13" s="3165"/>
      <c r="I13" s="3166"/>
      <c r="J13" s="3170"/>
      <c r="K13" s="3173"/>
      <c r="L13" s="3173"/>
      <c r="M13" s="3170"/>
      <c r="N13" s="1250">
        <v>0</v>
      </c>
      <c r="O13" s="3161"/>
      <c r="P13" s="3161"/>
      <c r="Q13" s="3173"/>
      <c r="R13" s="3184"/>
      <c r="S13" s="3187"/>
      <c r="T13" s="3173"/>
      <c r="U13" s="3173"/>
      <c r="V13" s="3173"/>
      <c r="W13" s="3180"/>
      <c r="X13" s="3180"/>
      <c r="Y13" s="3180"/>
      <c r="Z13" s="3182"/>
      <c r="AA13" s="3193"/>
      <c r="AB13" s="3161"/>
      <c r="AC13" s="1251"/>
      <c r="AD13" s="3161"/>
      <c r="AE13" s="1251"/>
      <c r="AF13" s="3190"/>
      <c r="AG13" s="1252"/>
      <c r="AH13" s="3190"/>
      <c r="AI13" s="1252"/>
      <c r="AJ13" s="3190"/>
      <c r="AK13" s="1252"/>
      <c r="AL13" s="3190"/>
      <c r="AM13" s="1252"/>
      <c r="AN13" s="3190"/>
      <c r="AO13" s="1252"/>
      <c r="AP13" s="3190"/>
      <c r="AQ13" s="1252"/>
      <c r="AR13" s="3190"/>
      <c r="AS13" s="1252"/>
      <c r="AT13" s="3190"/>
      <c r="AU13" s="1252"/>
      <c r="AV13" s="3190"/>
      <c r="AW13" s="1252"/>
      <c r="AX13" s="3190"/>
      <c r="AY13" s="1252"/>
      <c r="AZ13" s="3190"/>
      <c r="BA13" s="1252"/>
      <c r="BB13" s="3190"/>
      <c r="BC13" s="1252"/>
      <c r="BD13" s="3190"/>
      <c r="BE13" s="1252"/>
      <c r="BF13" s="3190"/>
      <c r="BG13" s="1252"/>
      <c r="BH13" s="3202"/>
      <c r="BI13" s="3199"/>
      <c r="BJ13" s="3199"/>
      <c r="BK13" s="1253"/>
      <c r="BL13" s="3202"/>
      <c r="BM13" s="3204"/>
      <c r="BN13" s="3207"/>
      <c r="BO13" s="1254"/>
      <c r="BP13" s="3207"/>
      <c r="BQ13" s="1254"/>
      <c r="BR13" s="3195"/>
    </row>
    <row r="14" spans="1:70" s="1249" customFormat="1" ht="48" customHeight="1" x14ac:dyDescent="0.2">
      <c r="A14" s="1238"/>
      <c r="B14" s="1239"/>
      <c r="C14" s="1240"/>
      <c r="D14" s="1241"/>
      <c r="E14" s="1242"/>
      <c r="F14" s="1243"/>
      <c r="G14" s="3161"/>
      <c r="H14" s="3165"/>
      <c r="I14" s="3166"/>
      <c r="J14" s="3171"/>
      <c r="K14" s="3174"/>
      <c r="L14" s="3174"/>
      <c r="M14" s="3171"/>
      <c r="N14" s="1250">
        <v>2</v>
      </c>
      <c r="O14" s="3162"/>
      <c r="P14" s="3162"/>
      <c r="Q14" s="3174"/>
      <c r="R14" s="3185"/>
      <c r="S14" s="3188"/>
      <c r="T14" s="3174"/>
      <c r="U14" s="3178"/>
      <c r="V14" s="1255" t="s">
        <v>1076</v>
      </c>
      <c r="W14" s="1256">
        <v>94539450</v>
      </c>
      <c r="X14" s="1257">
        <v>0</v>
      </c>
      <c r="Y14" s="1257">
        <v>0</v>
      </c>
      <c r="Z14" s="1258">
        <v>33</v>
      </c>
      <c r="AA14" s="1259" t="s">
        <v>1073</v>
      </c>
      <c r="AB14" s="3162"/>
      <c r="AC14" s="1260"/>
      <c r="AD14" s="3162"/>
      <c r="AE14" s="1260"/>
      <c r="AF14" s="3191"/>
      <c r="AG14" s="1261"/>
      <c r="AH14" s="3191"/>
      <c r="AI14" s="1261"/>
      <c r="AJ14" s="3191"/>
      <c r="AK14" s="1261"/>
      <c r="AL14" s="3191"/>
      <c r="AM14" s="1261"/>
      <c r="AN14" s="3191"/>
      <c r="AO14" s="1261"/>
      <c r="AP14" s="3191"/>
      <c r="AQ14" s="1261"/>
      <c r="AR14" s="3191"/>
      <c r="AS14" s="1261"/>
      <c r="AT14" s="3191"/>
      <c r="AU14" s="1261"/>
      <c r="AV14" s="3191"/>
      <c r="AW14" s="1261"/>
      <c r="AX14" s="3191"/>
      <c r="AY14" s="1261"/>
      <c r="AZ14" s="3191"/>
      <c r="BA14" s="1261"/>
      <c r="BB14" s="3191"/>
      <c r="BC14" s="1261"/>
      <c r="BD14" s="3191"/>
      <c r="BE14" s="1261"/>
      <c r="BF14" s="3191"/>
      <c r="BG14" s="1261"/>
      <c r="BH14" s="3209"/>
      <c r="BI14" s="3200"/>
      <c r="BJ14" s="3200"/>
      <c r="BK14" s="1262"/>
      <c r="BL14" s="1263"/>
      <c r="BM14" s="3205"/>
      <c r="BN14" s="3208"/>
      <c r="BO14" s="1264"/>
      <c r="BP14" s="3208"/>
      <c r="BQ14" s="1264"/>
      <c r="BR14" s="3196"/>
    </row>
    <row r="15" spans="1:70" s="1249" customFormat="1" ht="37.5" customHeight="1" x14ac:dyDescent="0.2">
      <c r="A15" s="1238"/>
      <c r="B15" s="1239"/>
      <c r="C15" s="1240"/>
      <c r="D15" s="1241"/>
      <c r="E15" s="1242"/>
      <c r="F15" s="1243"/>
      <c r="G15" s="3161"/>
      <c r="H15" s="3165"/>
      <c r="I15" s="3166"/>
      <c r="J15" s="3169">
        <v>114</v>
      </c>
      <c r="K15" s="3175" t="s">
        <v>1077</v>
      </c>
      <c r="L15" s="3172" t="s">
        <v>1078</v>
      </c>
      <c r="M15" s="3169">
        <v>30</v>
      </c>
      <c r="N15" s="3197">
        <v>0</v>
      </c>
      <c r="O15" s="3160" t="s">
        <v>1079</v>
      </c>
      <c r="P15" s="3160">
        <v>46</v>
      </c>
      <c r="Q15" s="3172" t="s">
        <v>1080</v>
      </c>
      <c r="R15" s="3183">
        <f>SUM(W15:W18)/S15</f>
        <v>0.51516457183220032</v>
      </c>
      <c r="S15" s="3186">
        <v>2339914400</v>
      </c>
      <c r="T15" s="3172" t="s">
        <v>1081</v>
      </c>
      <c r="U15" s="3210" t="s">
        <v>1082</v>
      </c>
      <c r="V15" s="1255" t="s">
        <v>1083</v>
      </c>
      <c r="W15" s="1265">
        <v>603106000</v>
      </c>
      <c r="X15" s="1266">
        <v>0</v>
      </c>
      <c r="Y15" s="1266">
        <v>0</v>
      </c>
      <c r="Z15" s="1267">
        <v>20</v>
      </c>
      <c r="AA15" s="1268" t="s">
        <v>70</v>
      </c>
      <c r="AB15" s="3160">
        <v>85275</v>
      </c>
      <c r="AC15" s="3160"/>
      <c r="AD15" s="3160">
        <v>85275</v>
      </c>
      <c r="AE15" s="3160"/>
      <c r="AF15" s="3189">
        <v>25580</v>
      </c>
      <c r="AG15" s="3189"/>
      <c r="AH15" s="3160">
        <v>42638</v>
      </c>
      <c r="AI15" s="3189"/>
      <c r="AJ15" s="3160">
        <v>68221</v>
      </c>
      <c r="AK15" s="3189"/>
      <c r="AL15" s="3160">
        <v>17055</v>
      </c>
      <c r="AM15" s="3189"/>
      <c r="AN15" s="3160">
        <v>8528</v>
      </c>
      <c r="AO15" s="3189"/>
      <c r="AP15" s="3160">
        <v>8527.5</v>
      </c>
      <c r="AQ15" s="3189"/>
      <c r="AR15" s="3189"/>
      <c r="AS15" s="3189"/>
      <c r="AT15" s="3189"/>
      <c r="AU15" s="3189"/>
      <c r="AV15" s="3189"/>
      <c r="AW15" s="3189"/>
      <c r="AX15" s="3189"/>
      <c r="AY15" s="3189"/>
      <c r="AZ15" s="3189"/>
      <c r="BA15" s="3189"/>
      <c r="BB15" s="3231"/>
      <c r="BC15" s="3189"/>
      <c r="BD15" s="3189"/>
      <c r="BE15" s="3189"/>
      <c r="BF15" s="3160">
        <f>AB15+AD15</f>
        <v>170550</v>
      </c>
      <c r="BG15" s="3189">
        <f>AG15+AI15+AK15+AM15</f>
        <v>0</v>
      </c>
      <c r="BH15" s="3221">
        <v>8</v>
      </c>
      <c r="BI15" s="3198">
        <v>104000000</v>
      </c>
      <c r="BJ15" s="3198">
        <v>66200000</v>
      </c>
      <c r="BK15" s="3218">
        <f>BJ15/BI15</f>
        <v>0.6365384615384615</v>
      </c>
      <c r="BL15" s="3221" t="s">
        <v>1084</v>
      </c>
      <c r="BM15" s="3160" t="s">
        <v>1085</v>
      </c>
      <c r="BN15" s="3224">
        <v>43832</v>
      </c>
      <c r="BO15" s="3224">
        <v>43921</v>
      </c>
      <c r="BP15" s="3224">
        <v>43981</v>
      </c>
      <c r="BQ15" s="3224">
        <v>43921</v>
      </c>
      <c r="BR15" s="3215" t="s">
        <v>1075</v>
      </c>
    </row>
    <row r="16" spans="1:70" s="1249" customFormat="1" ht="14.25" customHeight="1" x14ac:dyDescent="0.2">
      <c r="A16" s="1238"/>
      <c r="B16" s="1239"/>
      <c r="C16" s="1240"/>
      <c r="D16" s="1241"/>
      <c r="E16" s="1242"/>
      <c r="F16" s="1243"/>
      <c r="G16" s="3161"/>
      <c r="H16" s="3165"/>
      <c r="I16" s="3166"/>
      <c r="J16" s="3170"/>
      <c r="K16" s="3176"/>
      <c r="L16" s="3173"/>
      <c r="M16" s="3170"/>
      <c r="N16" s="3197"/>
      <c r="O16" s="3161"/>
      <c r="P16" s="3161"/>
      <c r="Q16" s="3173"/>
      <c r="R16" s="3184"/>
      <c r="S16" s="3187"/>
      <c r="T16" s="3173"/>
      <c r="U16" s="3176"/>
      <c r="V16" s="3173" t="s">
        <v>1086</v>
      </c>
      <c r="W16" s="3179">
        <v>487100000</v>
      </c>
      <c r="X16" s="3179">
        <v>45120000</v>
      </c>
      <c r="Y16" s="3179">
        <v>39800000</v>
      </c>
      <c r="Z16" s="3211">
        <v>20</v>
      </c>
      <c r="AA16" s="3213" t="s">
        <v>70</v>
      </c>
      <c r="AB16" s="3161"/>
      <c r="AC16" s="3161"/>
      <c r="AD16" s="3161"/>
      <c r="AE16" s="3161"/>
      <c r="AF16" s="3190"/>
      <c r="AG16" s="3190"/>
      <c r="AH16" s="3161"/>
      <c r="AI16" s="3190"/>
      <c r="AJ16" s="3161"/>
      <c r="AK16" s="3190"/>
      <c r="AL16" s="3161"/>
      <c r="AM16" s="3190"/>
      <c r="AN16" s="3161"/>
      <c r="AO16" s="3190"/>
      <c r="AP16" s="3161"/>
      <c r="AQ16" s="3190"/>
      <c r="AR16" s="3190"/>
      <c r="AS16" s="3190"/>
      <c r="AT16" s="3190"/>
      <c r="AU16" s="3190"/>
      <c r="AV16" s="3190"/>
      <c r="AW16" s="3190"/>
      <c r="AX16" s="3190"/>
      <c r="AY16" s="3190"/>
      <c r="AZ16" s="3190"/>
      <c r="BA16" s="3190"/>
      <c r="BB16" s="3232"/>
      <c r="BC16" s="3190"/>
      <c r="BD16" s="3190"/>
      <c r="BE16" s="3190"/>
      <c r="BF16" s="3161"/>
      <c r="BG16" s="3161"/>
      <c r="BH16" s="3222"/>
      <c r="BI16" s="3199"/>
      <c r="BJ16" s="3199"/>
      <c r="BK16" s="3219"/>
      <c r="BL16" s="3222"/>
      <c r="BM16" s="3161"/>
      <c r="BN16" s="3225"/>
      <c r="BO16" s="3229"/>
      <c r="BP16" s="3225"/>
      <c r="BQ16" s="3229"/>
      <c r="BR16" s="3216"/>
    </row>
    <row r="17" spans="1:70" s="1249" customFormat="1" ht="16.5" customHeight="1" x14ac:dyDescent="0.2">
      <c r="A17" s="1238"/>
      <c r="B17" s="1239"/>
      <c r="C17" s="1240"/>
      <c r="D17" s="1241"/>
      <c r="E17" s="1242"/>
      <c r="F17" s="1243"/>
      <c r="G17" s="3161"/>
      <c r="H17" s="3165"/>
      <c r="I17" s="3166"/>
      <c r="J17" s="3170"/>
      <c r="K17" s="3176"/>
      <c r="L17" s="3173"/>
      <c r="M17" s="3170"/>
      <c r="N17" s="3197"/>
      <c r="O17" s="3161"/>
      <c r="P17" s="3161"/>
      <c r="Q17" s="3173"/>
      <c r="R17" s="3184"/>
      <c r="S17" s="3187"/>
      <c r="T17" s="3173"/>
      <c r="U17" s="3176"/>
      <c r="V17" s="3174"/>
      <c r="W17" s="3180"/>
      <c r="X17" s="3180"/>
      <c r="Y17" s="3180"/>
      <c r="Z17" s="3212"/>
      <c r="AA17" s="3214"/>
      <c r="AB17" s="3161"/>
      <c r="AC17" s="3161"/>
      <c r="AD17" s="3161"/>
      <c r="AE17" s="3161"/>
      <c r="AF17" s="3190"/>
      <c r="AG17" s="3190"/>
      <c r="AH17" s="3161"/>
      <c r="AI17" s="3190"/>
      <c r="AJ17" s="3161"/>
      <c r="AK17" s="3190"/>
      <c r="AL17" s="3161"/>
      <c r="AM17" s="3190"/>
      <c r="AN17" s="3161"/>
      <c r="AO17" s="3190"/>
      <c r="AP17" s="3161"/>
      <c r="AQ17" s="3190"/>
      <c r="AR17" s="3190"/>
      <c r="AS17" s="3190"/>
      <c r="AT17" s="3190"/>
      <c r="AU17" s="3190"/>
      <c r="AV17" s="3190"/>
      <c r="AW17" s="3190"/>
      <c r="AX17" s="3190"/>
      <c r="AY17" s="3190"/>
      <c r="AZ17" s="3190"/>
      <c r="BA17" s="3190"/>
      <c r="BB17" s="3232"/>
      <c r="BC17" s="3190"/>
      <c r="BD17" s="3190"/>
      <c r="BE17" s="3190"/>
      <c r="BF17" s="3161"/>
      <c r="BG17" s="3161"/>
      <c r="BH17" s="3222"/>
      <c r="BI17" s="3199"/>
      <c r="BJ17" s="3199"/>
      <c r="BK17" s="3219"/>
      <c r="BL17" s="3222"/>
      <c r="BM17" s="3161"/>
      <c r="BN17" s="3225"/>
      <c r="BO17" s="3229"/>
      <c r="BP17" s="3225"/>
      <c r="BQ17" s="3229"/>
      <c r="BR17" s="3216"/>
    </row>
    <row r="18" spans="1:70" s="1249" customFormat="1" ht="30.75" customHeight="1" x14ac:dyDescent="0.2">
      <c r="A18" s="1238"/>
      <c r="B18" s="1239"/>
      <c r="C18" s="1240"/>
      <c r="D18" s="1241"/>
      <c r="E18" s="1242"/>
      <c r="F18" s="1243"/>
      <c r="G18" s="3161"/>
      <c r="H18" s="3165"/>
      <c r="I18" s="3166"/>
      <c r="J18" s="3171"/>
      <c r="K18" s="3177"/>
      <c r="L18" s="3174"/>
      <c r="M18" s="3171"/>
      <c r="N18" s="3197"/>
      <c r="O18" s="3161"/>
      <c r="P18" s="3161"/>
      <c r="Q18" s="3173"/>
      <c r="R18" s="3185"/>
      <c r="S18" s="3187"/>
      <c r="T18" s="3173"/>
      <c r="U18" s="3177"/>
      <c r="V18" s="1269" t="s">
        <v>1087</v>
      </c>
      <c r="W18" s="1266">
        <v>115235000</v>
      </c>
      <c r="X18" s="1266">
        <v>33280000</v>
      </c>
      <c r="Y18" s="1266">
        <v>13600000</v>
      </c>
      <c r="Z18" s="1270">
        <v>20</v>
      </c>
      <c r="AA18" s="1271" t="s">
        <v>70</v>
      </c>
      <c r="AB18" s="3161"/>
      <c r="AC18" s="3161"/>
      <c r="AD18" s="3161"/>
      <c r="AE18" s="3161"/>
      <c r="AF18" s="3190"/>
      <c r="AG18" s="3190"/>
      <c r="AH18" s="3161"/>
      <c r="AI18" s="3190"/>
      <c r="AJ18" s="3161"/>
      <c r="AK18" s="3190"/>
      <c r="AL18" s="3161"/>
      <c r="AM18" s="3190"/>
      <c r="AN18" s="3161"/>
      <c r="AO18" s="3190"/>
      <c r="AP18" s="3161"/>
      <c r="AQ18" s="3190"/>
      <c r="AR18" s="3190"/>
      <c r="AS18" s="3190"/>
      <c r="AT18" s="3190"/>
      <c r="AU18" s="3190"/>
      <c r="AV18" s="3190"/>
      <c r="AW18" s="3190"/>
      <c r="AX18" s="3190"/>
      <c r="AY18" s="3190"/>
      <c r="AZ18" s="3190"/>
      <c r="BA18" s="3190"/>
      <c r="BB18" s="3232"/>
      <c r="BC18" s="3190"/>
      <c r="BD18" s="3190"/>
      <c r="BE18" s="3190"/>
      <c r="BF18" s="3161"/>
      <c r="BG18" s="3161"/>
      <c r="BH18" s="3222"/>
      <c r="BI18" s="3199"/>
      <c r="BJ18" s="3199"/>
      <c r="BK18" s="3219"/>
      <c r="BL18" s="3222"/>
      <c r="BM18" s="3161"/>
      <c r="BN18" s="3225"/>
      <c r="BO18" s="3229"/>
      <c r="BP18" s="3225"/>
      <c r="BQ18" s="3229"/>
      <c r="BR18" s="3216"/>
    </row>
    <row r="19" spans="1:70" s="1249" customFormat="1" ht="24" customHeight="1" x14ac:dyDescent="0.2">
      <c r="A19" s="1238"/>
      <c r="B19" s="1239"/>
      <c r="C19" s="1240"/>
      <c r="D19" s="1241"/>
      <c r="E19" s="1242"/>
      <c r="F19" s="1243"/>
      <c r="G19" s="3161"/>
      <c r="H19" s="3165"/>
      <c r="I19" s="3166"/>
      <c r="J19" s="3169">
        <v>115</v>
      </c>
      <c r="K19" s="3175" t="s">
        <v>1088</v>
      </c>
      <c r="L19" s="3172" t="s">
        <v>1089</v>
      </c>
      <c r="M19" s="3169">
        <v>34</v>
      </c>
      <c r="N19" s="3169">
        <v>0</v>
      </c>
      <c r="O19" s="3161" t="s">
        <v>1090</v>
      </c>
      <c r="P19" s="3161"/>
      <c r="Q19" s="3173"/>
      <c r="R19" s="3183">
        <f>SUM(W19:W22)/S15</f>
        <v>0.4040295234731664</v>
      </c>
      <c r="S19" s="3187"/>
      <c r="T19" s="3173"/>
      <c r="U19" s="3175" t="s">
        <v>1091</v>
      </c>
      <c r="V19" s="1269" t="s">
        <v>1092</v>
      </c>
      <c r="W19" s="1265">
        <v>103993395</v>
      </c>
      <c r="X19" s="1266">
        <v>25600000</v>
      </c>
      <c r="Y19" s="1266">
        <v>12800000</v>
      </c>
      <c r="Z19" s="1272">
        <v>39</v>
      </c>
      <c r="AA19" s="1273" t="s">
        <v>1093</v>
      </c>
      <c r="AB19" s="3161"/>
      <c r="AC19" s="3161"/>
      <c r="AD19" s="3161"/>
      <c r="AE19" s="3161"/>
      <c r="AF19" s="3190"/>
      <c r="AG19" s="3190"/>
      <c r="AH19" s="3161"/>
      <c r="AI19" s="3190"/>
      <c r="AJ19" s="3161"/>
      <c r="AK19" s="3190"/>
      <c r="AL19" s="3161"/>
      <c r="AM19" s="3190"/>
      <c r="AN19" s="3161"/>
      <c r="AO19" s="3190"/>
      <c r="AP19" s="3161"/>
      <c r="AQ19" s="3190"/>
      <c r="AR19" s="3190"/>
      <c r="AS19" s="3190"/>
      <c r="AT19" s="3190"/>
      <c r="AU19" s="3190"/>
      <c r="AV19" s="3190"/>
      <c r="AW19" s="3190"/>
      <c r="AX19" s="3190"/>
      <c r="AY19" s="3190"/>
      <c r="AZ19" s="3190"/>
      <c r="BA19" s="3190"/>
      <c r="BB19" s="3232"/>
      <c r="BC19" s="3190"/>
      <c r="BD19" s="3190"/>
      <c r="BE19" s="3190"/>
      <c r="BF19" s="3161"/>
      <c r="BG19" s="3161"/>
      <c r="BH19" s="3222"/>
      <c r="BI19" s="3199"/>
      <c r="BJ19" s="3199"/>
      <c r="BK19" s="3219"/>
      <c r="BL19" s="3222"/>
      <c r="BM19" s="3161"/>
      <c r="BN19" s="3225"/>
      <c r="BO19" s="3229"/>
      <c r="BP19" s="3225"/>
      <c r="BQ19" s="3229"/>
      <c r="BR19" s="3216"/>
    </row>
    <row r="20" spans="1:70" s="1249" customFormat="1" ht="25.5" x14ac:dyDescent="0.2">
      <c r="A20" s="1238"/>
      <c r="B20" s="1239"/>
      <c r="C20" s="1240"/>
      <c r="D20" s="1241"/>
      <c r="E20" s="1242"/>
      <c r="F20" s="1243"/>
      <c r="G20" s="3161"/>
      <c r="H20" s="3165"/>
      <c r="I20" s="3166"/>
      <c r="J20" s="3170"/>
      <c r="K20" s="3176"/>
      <c r="L20" s="3173"/>
      <c r="M20" s="3170"/>
      <c r="N20" s="3170"/>
      <c r="O20" s="3161"/>
      <c r="P20" s="3161"/>
      <c r="Q20" s="3173"/>
      <c r="R20" s="3184"/>
      <c r="S20" s="3187"/>
      <c r="T20" s="3173"/>
      <c r="U20" s="3176"/>
      <c r="V20" s="1269" t="s">
        <v>1094</v>
      </c>
      <c r="W20" s="1266">
        <v>37815780</v>
      </c>
      <c r="X20" s="1266">
        <v>0</v>
      </c>
      <c r="Y20" s="1266">
        <v>0</v>
      </c>
      <c r="Z20" s="1272">
        <v>39</v>
      </c>
      <c r="AA20" s="1273" t="s">
        <v>1093</v>
      </c>
      <c r="AB20" s="3161"/>
      <c r="AC20" s="3161"/>
      <c r="AD20" s="3161"/>
      <c r="AE20" s="3161"/>
      <c r="AF20" s="3190"/>
      <c r="AG20" s="3190"/>
      <c r="AH20" s="3161"/>
      <c r="AI20" s="3190"/>
      <c r="AJ20" s="3161"/>
      <c r="AK20" s="3190"/>
      <c r="AL20" s="3161"/>
      <c r="AM20" s="3190"/>
      <c r="AN20" s="3161"/>
      <c r="AO20" s="3190"/>
      <c r="AP20" s="3161"/>
      <c r="AQ20" s="3190"/>
      <c r="AR20" s="3190"/>
      <c r="AS20" s="3190"/>
      <c r="AT20" s="3190"/>
      <c r="AU20" s="3190"/>
      <c r="AV20" s="3190"/>
      <c r="AW20" s="3190"/>
      <c r="AX20" s="3190"/>
      <c r="AY20" s="3190"/>
      <c r="AZ20" s="3190"/>
      <c r="BA20" s="3190"/>
      <c r="BB20" s="3232"/>
      <c r="BC20" s="3190"/>
      <c r="BD20" s="3190"/>
      <c r="BE20" s="3190"/>
      <c r="BF20" s="3161"/>
      <c r="BG20" s="3161"/>
      <c r="BH20" s="3222"/>
      <c r="BI20" s="3199"/>
      <c r="BJ20" s="3199"/>
      <c r="BK20" s="3219"/>
      <c r="BL20" s="3222"/>
      <c r="BM20" s="3161"/>
      <c r="BN20" s="3225"/>
      <c r="BO20" s="3229"/>
      <c r="BP20" s="3225"/>
      <c r="BQ20" s="3229"/>
      <c r="BR20" s="3216"/>
    </row>
    <row r="21" spans="1:70" s="1249" customFormat="1" ht="23.25" customHeight="1" x14ac:dyDescent="0.2">
      <c r="A21" s="1238"/>
      <c r="B21" s="1239"/>
      <c r="C21" s="1240"/>
      <c r="D21" s="1241"/>
      <c r="E21" s="1242"/>
      <c r="F21" s="1243"/>
      <c r="G21" s="3161"/>
      <c r="H21" s="3165"/>
      <c r="I21" s="3166"/>
      <c r="J21" s="3170"/>
      <c r="K21" s="3176"/>
      <c r="L21" s="3173"/>
      <c r="M21" s="3170"/>
      <c r="N21" s="3170"/>
      <c r="O21" s="3161"/>
      <c r="P21" s="3161"/>
      <c r="Q21" s="3173"/>
      <c r="R21" s="3184"/>
      <c r="S21" s="3187"/>
      <c r="T21" s="3173"/>
      <c r="U21" s="3176"/>
      <c r="V21" s="3227" t="s">
        <v>1095</v>
      </c>
      <c r="W21" s="3179">
        <v>803585325</v>
      </c>
      <c r="X21" s="3179">
        <v>0</v>
      </c>
      <c r="Y21" s="3179">
        <v>0</v>
      </c>
      <c r="Z21" s="3211">
        <v>39</v>
      </c>
      <c r="AA21" s="3213" t="s">
        <v>1093</v>
      </c>
      <c r="AB21" s="3161"/>
      <c r="AC21" s="3161"/>
      <c r="AD21" s="3161"/>
      <c r="AE21" s="3161"/>
      <c r="AF21" s="3190"/>
      <c r="AG21" s="3190"/>
      <c r="AH21" s="3161"/>
      <c r="AI21" s="3190"/>
      <c r="AJ21" s="3161"/>
      <c r="AK21" s="3190"/>
      <c r="AL21" s="3161"/>
      <c r="AM21" s="3190"/>
      <c r="AN21" s="3161"/>
      <c r="AO21" s="3190"/>
      <c r="AP21" s="3161"/>
      <c r="AQ21" s="3190"/>
      <c r="AR21" s="3190"/>
      <c r="AS21" s="3190"/>
      <c r="AT21" s="3190"/>
      <c r="AU21" s="3190"/>
      <c r="AV21" s="3190"/>
      <c r="AW21" s="3190"/>
      <c r="AX21" s="3190"/>
      <c r="AY21" s="3190"/>
      <c r="AZ21" s="3190"/>
      <c r="BA21" s="3190"/>
      <c r="BB21" s="3232"/>
      <c r="BC21" s="3190"/>
      <c r="BD21" s="3190"/>
      <c r="BE21" s="3190"/>
      <c r="BF21" s="3161"/>
      <c r="BG21" s="3161"/>
      <c r="BH21" s="3222"/>
      <c r="BI21" s="3199"/>
      <c r="BJ21" s="3199"/>
      <c r="BK21" s="3219"/>
      <c r="BL21" s="3222"/>
      <c r="BM21" s="3161"/>
      <c r="BN21" s="3225"/>
      <c r="BO21" s="3229"/>
      <c r="BP21" s="3225"/>
      <c r="BQ21" s="3229"/>
      <c r="BR21" s="3216"/>
    </row>
    <row r="22" spans="1:70" s="1249" customFormat="1" ht="6" customHeight="1" x14ac:dyDescent="0.2">
      <c r="A22" s="1238"/>
      <c r="B22" s="1239"/>
      <c r="C22" s="1240"/>
      <c r="D22" s="1241"/>
      <c r="E22" s="1242"/>
      <c r="F22" s="1243"/>
      <c r="G22" s="3161"/>
      <c r="H22" s="3165"/>
      <c r="I22" s="3166"/>
      <c r="J22" s="3171"/>
      <c r="K22" s="3177"/>
      <c r="L22" s="3173"/>
      <c r="M22" s="3171"/>
      <c r="N22" s="3171"/>
      <c r="O22" s="3161"/>
      <c r="P22" s="3161"/>
      <c r="Q22" s="3173"/>
      <c r="R22" s="3185"/>
      <c r="S22" s="3187"/>
      <c r="T22" s="3173"/>
      <c r="U22" s="3177"/>
      <c r="V22" s="3228"/>
      <c r="W22" s="3180"/>
      <c r="X22" s="3180"/>
      <c r="Y22" s="3180"/>
      <c r="Z22" s="3212"/>
      <c r="AA22" s="3214"/>
      <c r="AB22" s="3161"/>
      <c r="AC22" s="3161"/>
      <c r="AD22" s="3161"/>
      <c r="AE22" s="3161"/>
      <c r="AF22" s="3190"/>
      <c r="AG22" s="3190"/>
      <c r="AH22" s="3161"/>
      <c r="AI22" s="3190"/>
      <c r="AJ22" s="3161"/>
      <c r="AK22" s="3190"/>
      <c r="AL22" s="3161"/>
      <c r="AM22" s="3190"/>
      <c r="AN22" s="3161"/>
      <c r="AO22" s="3190"/>
      <c r="AP22" s="3161"/>
      <c r="AQ22" s="3190"/>
      <c r="AR22" s="3190"/>
      <c r="AS22" s="3190"/>
      <c r="AT22" s="3190"/>
      <c r="AU22" s="3190"/>
      <c r="AV22" s="3190"/>
      <c r="AW22" s="3190"/>
      <c r="AX22" s="3190"/>
      <c r="AY22" s="3190"/>
      <c r="AZ22" s="3190"/>
      <c r="BA22" s="3190"/>
      <c r="BB22" s="3232"/>
      <c r="BC22" s="3190"/>
      <c r="BD22" s="3190"/>
      <c r="BE22" s="3190"/>
      <c r="BF22" s="3161"/>
      <c r="BG22" s="3161"/>
      <c r="BH22" s="3222"/>
      <c r="BI22" s="3199"/>
      <c r="BJ22" s="3199"/>
      <c r="BK22" s="3219"/>
      <c r="BL22" s="3222"/>
      <c r="BM22" s="3161"/>
      <c r="BN22" s="3225"/>
      <c r="BO22" s="3229"/>
      <c r="BP22" s="3225"/>
      <c r="BQ22" s="3229"/>
      <c r="BR22" s="3216"/>
    </row>
    <row r="23" spans="1:70" ht="28.5" customHeight="1" x14ac:dyDescent="0.2">
      <c r="A23" s="1238"/>
      <c r="B23" s="1239"/>
      <c r="C23" s="1240"/>
      <c r="D23" s="1241"/>
      <c r="E23" s="1242"/>
      <c r="F23" s="1243"/>
      <c r="G23" s="3161"/>
      <c r="H23" s="3165"/>
      <c r="I23" s="3166"/>
      <c r="J23" s="3169">
        <v>116</v>
      </c>
      <c r="K23" s="3175" t="s">
        <v>1096</v>
      </c>
      <c r="L23" s="3236" t="s">
        <v>1078</v>
      </c>
      <c r="M23" s="3169">
        <v>10</v>
      </c>
      <c r="N23" s="3169">
        <v>0</v>
      </c>
      <c r="O23" s="3161" t="s">
        <v>1097</v>
      </c>
      <c r="P23" s="3161"/>
      <c r="Q23" s="3173"/>
      <c r="R23" s="3183">
        <f>SUM(W23:W26)/S15</f>
        <v>8.0805904694633279E-2</v>
      </c>
      <c r="S23" s="3187"/>
      <c r="T23" s="3173"/>
      <c r="U23" s="3175" t="s">
        <v>1098</v>
      </c>
      <c r="V23" s="1274" t="s">
        <v>1092</v>
      </c>
      <c r="W23" s="1265">
        <v>15126312</v>
      </c>
      <c r="X23" s="1266">
        <v>0</v>
      </c>
      <c r="Y23" s="1266">
        <v>0</v>
      </c>
      <c r="Z23" s="1275">
        <v>41</v>
      </c>
      <c r="AA23" s="1276" t="s">
        <v>1099</v>
      </c>
      <c r="AB23" s="3161"/>
      <c r="AC23" s="3161"/>
      <c r="AD23" s="3161"/>
      <c r="AE23" s="3161"/>
      <c r="AF23" s="3190"/>
      <c r="AG23" s="3190"/>
      <c r="AH23" s="3161"/>
      <c r="AI23" s="3190"/>
      <c r="AJ23" s="3161"/>
      <c r="AK23" s="3190"/>
      <c r="AL23" s="3161"/>
      <c r="AM23" s="3190"/>
      <c r="AN23" s="3161"/>
      <c r="AO23" s="3190"/>
      <c r="AP23" s="3161"/>
      <c r="AQ23" s="3190"/>
      <c r="AR23" s="3190"/>
      <c r="AS23" s="3190"/>
      <c r="AT23" s="3190"/>
      <c r="AU23" s="3190"/>
      <c r="AV23" s="3190"/>
      <c r="AW23" s="3190"/>
      <c r="AX23" s="3190"/>
      <c r="AY23" s="3190"/>
      <c r="AZ23" s="3190"/>
      <c r="BA23" s="3190"/>
      <c r="BB23" s="3232"/>
      <c r="BC23" s="3190"/>
      <c r="BD23" s="3190"/>
      <c r="BE23" s="3190"/>
      <c r="BF23" s="3161"/>
      <c r="BG23" s="3161"/>
      <c r="BH23" s="3222"/>
      <c r="BI23" s="3199"/>
      <c r="BJ23" s="3199"/>
      <c r="BK23" s="3219"/>
      <c r="BL23" s="3222"/>
      <c r="BM23" s="3161"/>
      <c r="BN23" s="3225"/>
      <c r="BO23" s="3229"/>
      <c r="BP23" s="3225"/>
      <c r="BQ23" s="3229"/>
      <c r="BR23" s="3216"/>
    </row>
    <row r="24" spans="1:70" ht="33.75" customHeight="1" x14ac:dyDescent="0.2">
      <c r="A24" s="1238"/>
      <c r="B24" s="1239"/>
      <c r="C24" s="1240"/>
      <c r="D24" s="1241"/>
      <c r="E24" s="1242"/>
      <c r="F24" s="1243"/>
      <c r="G24" s="3161"/>
      <c r="H24" s="3165"/>
      <c r="I24" s="3166"/>
      <c r="J24" s="3170"/>
      <c r="K24" s="3176"/>
      <c r="L24" s="3236"/>
      <c r="M24" s="3170"/>
      <c r="N24" s="3170"/>
      <c r="O24" s="3161"/>
      <c r="P24" s="3161"/>
      <c r="Q24" s="3173"/>
      <c r="R24" s="3184"/>
      <c r="S24" s="3187"/>
      <c r="T24" s="3173"/>
      <c r="U24" s="3176"/>
      <c r="V24" s="1274" t="s">
        <v>1100</v>
      </c>
      <c r="W24" s="1266">
        <v>39706569</v>
      </c>
      <c r="X24" s="1266">
        <v>0</v>
      </c>
      <c r="Y24" s="1266">
        <v>0</v>
      </c>
      <c r="Z24" s="1275">
        <v>41</v>
      </c>
      <c r="AA24" s="1276" t="s">
        <v>1099</v>
      </c>
      <c r="AB24" s="3161"/>
      <c r="AC24" s="3161"/>
      <c r="AD24" s="3161"/>
      <c r="AE24" s="3161"/>
      <c r="AF24" s="3190"/>
      <c r="AG24" s="3190"/>
      <c r="AH24" s="3161"/>
      <c r="AI24" s="3190"/>
      <c r="AJ24" s="3161"/>
      <c r="AK24" s="3190"/>
      <c r="AL24" s="3161"/>
      <c r="AM24" s="3190"/>
      <c r="AN24" s="3161"/>
      <c r="AO24" s="3190"/>
      <c r="AP24" s="3161"/>
      <c r="AQ24" s="3190"/>
      <c r="AR24" s="3190"/>
      <c r="AS24" s="3190"/>
      <c r="AT24" s="3190"/>
      <c r="AU24" s="3190"/>
      <c r="AV24" s="3190"/>
      <c r="AW24" s="3190"/>
      <c r="AX24" s="3190"/>
      <c r="AY24" s="3190"/>
      <c r="AZ24" s="3190"/>
      <c r="BA24" s="3190"/>
      <c r="BB24" s="3232"/>
      <c r="BC24" s="3190"/>
      <c r="BD24" s="3190"/>
      <c r="BE24" s="3190"/>
      <c r="BF24" s="3161"/>
      <c r="BG24" s="3161"/>
      <c r="BH24" s="3222"/>
      <c r="BI24" s="3199"/>
      <c r="BJ24" s="3199"/>
      <c r="BK24" s="3219"/>
      <c r="BL24" s="3222"/>
      <c r="BM24" s="3161"/>
      <c r="BN24" s="3225"/>
      <c r="BO24" s="3229"/>
      <c r="BP24" s="3225"/>
      <c r="BQ24" s="3229"/>
      <c r="BR24" s="3216"/>
    </row>
    <row r="25" spans="1:70" ht="27" customHeight="1" x14ac:dyDescent="0.2">
      <c r="A25" s="1238"/>
      <c r="B25" s="1239"/>
      <c r="C25" s="1240"/>
      <c r="D25" s="1241"/>
      <c r="E25" s="1242"/>
      <c r="F25" s="1243"/>
      <c r="G25" s="3161"/>
      <c r="H25" s="3165"/>
      <c r="I25" s="3166"/>
      <c r="J25" s="3170"/>
      <c r="K25" s="3176"/>
      <c r="L25" s="3236"/>
      <c r="M25" s="3170"/>
      <c r="N25" s="3170"/>
      <c r="O25" s="3161"/>
      <c r="P25" s="3161"/>
      <c r="Q25" s="3173"/>
      <c r="R25" s="3184"/>
      <c r="S25" s="3187"/>
      <c r="T25" s="3173"/>
      <c r="U25" s="3176"/>
      <c r="V25" s="3227" t="s">
        <v>1095</v>
      </c>
      <c r="W25" s="1266">
        <v>134246019</v>
      </c>
      <c r="X25" s="1266">
        <v>0</v>
      </c>
      <c r="Y25" s="1266">
        <v>0</v>
      </c>
      <c r="Z25" s="1275">
        <v>41</v>
      </c>
      <c r="AA25" s="1276" t="s">
        <v>1099</v>
      </c>
      <c r="AB25" s="3161"/>
      <c r="AC25" s="3161"/>
      <c r="AD25" s="3161"/>
      <c r="AE25" s="3161"/>
      <c r="AF25" s="3190"/>
      <c r="AG25" s="3190"/>
      <c r="AH25" s="3161"/>
      <c r="AI25" s="3190"/>
      <c r="AJ25" s="3161"/>
      <c r="AK25" s="3190"/>
      <c r="AL25" s="3161"/>
      <c r="AM25" s="3190"/>
      <c r="AN25" s="3161"/>
      <c r="AO25" s="3190"/>
      <c r="AP25" s="3161"/>
      <c r="AQ25" s="3190"/>
      <c r="AR25" s="3190"/>
      <c r="AS25" s="3190"/>
      <c r="AT25" s="3190"/>
      <c r="AU25" s="3190"/>
      <c r="AV25" s="3190"/>
      <c r="AW25" s="3190"/>
      <c r="AX25" s="3190"/>
      <c r="AY25" s="3190"/>
      <c r="AZ25" s="3190"/>
      <c r="BA25" s="3190"/>
      <c r="BB25" s="3232"/>
      <c r="BC25" s="3190"/>
      <c r="BD25" s="3190"/>
      <c r="BE25" s="3190"/>
      <c r="BF25" s="3161"/>
      <c r="BG25" s="3161"/>
      <c r="BH25" s="3222"/>
      <c r="BI25" s="3199"/>
      <c r="BJ25" s="3199"/>
      <c r="BK25" s="3219"/>
      <c r="BL25" s="3222"/>
      <c r="BM25" s="3161"/>
      <c r="BN25" s="3225"/>
      <c r="BO25" s="3229"/>
      <c r="BP25" s="3225"/>
      <c r="BQ25" s="3229"/>
      <c r="BR25" s="3216"/>
    </row>
    <row r="26" spans="1:70" ht="14.25" hidden="1" customHeight="1" x14ac:dyDescent="0.2">
      <c r="A26" s="1238"/>
      <c r="B26" s="1239"/>
      <c r="C26" s="1240"/>
      <c r="D26" s="1241"/>
      <c r="E26" s="1242"/>
      <c r="F26" s="1243"/>
      <c r="G26" s="3162"/>
      <c r="H26" s="3167"/>
      <c r="I26" s="3168"/>
      <c r="J26" s="3171"/>
      <c r="K26" s="3177"/>
      <c r="L26" s="3236"/>
      <c r="M26" s="3171"/>
      <c r="N26" s="3171"/>
      <c r="O26" s="3162"/>
      <c r="P26" s="3162"/>
      <c r="Q26" s="3174"/>
      <c r="R26" s="3185"/>
      <c r="S26" s="3188"/>
      <c r="T26" s="3174"/>
      <c r="U26" s="3177"/>
      <c r="V26" s="3228"/>
      <c r="W26" s="1266"/>
      <c r="X26" s="1266"/>
      <c r="Y26" s="1266"/>
      <c r="Z26" s="1277">
        <v>83</v>
      </c>
      <c r="AA26" s="1278"/>
      <c r="AB26" s="3162"/>
      <c r="AC26" s="3162"/>
      <c r="AD26" s="3162"/>
      <c r="AE26" s="3162"/>
      <c r="AF26" s="3191"/>
      <c r="AG26" s="3191"/>
      <c r="AH26" s="3162"/>
      <c r="AI26" s="3191"/>
      <c r="AJ26" s="3162"/>
      <c r="AK26" s="3191"/>
      <c r="AL26" s="3162"/>
      <c r="AM26" s="3191"/>
      <c r="AN26" s="3162"/>
      <c r="AO26" s="3191"/>
      <c r="AP26" s="3162"/>
      <c r="AQ26" s="3191"/>
      <c r="AR26" s="3191"/>
      <c r="AS26" s="3191"/>
      <c r="AT26" s="3191"/>
      <c r="AU26" s="3191"/>
      <c r="AV26" s="3191"/>
      <c r="AW26" s="3191"/>
      <c r="AX26" s="3191"/>
      <c r="AY26" s="3191"/>
      <c r="AZ26" s="3191"/>
      <c r="BA26" s="3191"/>
      <c r="BB26" s="3233"/>
      <c r="BC26" s="3191"/>
      <c r="BD26" s="3191"/>
      <c r="BE26" s="3191"/>
      <c r="BF26" s="3162"/>
      <c r="BG26" s="3162"/>
      <c r="BH26" s="3223"/>
      <c r="BI26" s="3200"/>
      <c r="BJ26" s="3200"/>
      <c r="BK26" s="3220"/>
      <c r="BL26" s="3223"/>
      <c r="BM26" s="3162"/>
      <c r="BN26" s="3226"/>
      <c r="BO26" s="3230"/>
      <c r="BP26" s="3226"/>
      <c r="BQ26" s="3230"/>
      <c r="BR26" s="3217"/>
    </row>
    <row r="27" spans="1:70" ht="27.75" customHeight="1" x14ac:dyDescent="0.2">
      <c r="A27" s="1238"/>
      <c r="B27" s="1239"/>
      <c r="C27" s="1240"/>
      <c r="D27" s="1241"/>
      <c r="E27" s="1242"/>
      <c r="F27" s="1243"/>
      <c r="G27" s="1279">
        <v>30</v>
      </c>
      <c r="H27" s="3234" t="s">
        <v>1101</v>
      </c>
      <c r="I27" s="3235"/>
      <c r="J27" s="3235"/>
      <c r="K27" s="3235"/>
      <c r="L27" s="1280"/>
      <c r="M27" s="1281"/>
      <c r="N27" s="1281"/>
      <c r="O27" s="1282"/>
      <c r="P27" s="1281"/>
      <c r="Q27" s="1280"/>
      <c r="R27" s="1281"/>
      <c r="S27" s="1283"/>
      <c r="T27" s="1280"/>
      <c r="U27" s="1280"/>
      <c r="V27" s="1280"/>
      <c r="W27" s="1284"/>
      <c r="X27" s="1284"/>
      <c r="Y27" s="1284"/>
      <c r="Z27" s="1285"/>
      <c r="AA27" s="1286"/>
      <c r="AB27" s="1281"/>
      <c r="AC27" s="1281"/>
      <c r="AD27" s="1281"/>
      <c r="AE27" s="1281"/>
      <c r="AF27" s="1281"/>
      <c r="AG27" s="1281"/>
      <c r="AH27" s="1281"/>
      <c r="AI27" s="1281"/>
      <c r="AJ27" s="1281"/>
      <c r="AK27" s="1281"/>
      <c r="AL27" s="1281"/>
      <c r="AM27" s="1281"/>
      <c r="AN27" s="1281"/>
      <c r="AO27" s="1281"/>
      <c r="AP27" s="1281"/>
      <c r="AQ27" s="1281"/>
      <c r="AR27" s="1281"/>
      <c r="AS27" s="1281"/>
      <c r="AT27" s="1281"/>
      <c r="AU27" s="1281"/>
      <c r="AV27" s="1281"/>
      <c r="AW27" s="1281"/>
      <c r="AX27" s="1281"/>
      <c r="AY27" s="1281"/>
      <c r="AZ27" s="1281"/>
      <c r="BA27" s="1281"/>
      <c r="BB27" s="1281"/>
      <c r="BC27" s="1281"/>
      <c r="BD27" s="1281"/>
      <c r="BE27" s="1281"/>
      <c r="BF27" s="1281"/>
      <c r="BG27" s="1281"/>
      <c r="BH27" s="1281"/>
      <c r="BI27" s="1287"/>
      <c r="BJ27" s="1287"/>
      <c r="BK27" s="1281"/>
      <c r="BL27" s="1281"/>
      <c r="BM27" s="1288"/>
      <c r="BN27" s="1281"/>
      <c r="BO27" s="1281"/>
      <c r="BP27" s="1281"/>
      <c r="BQ27" s="1281"/>
      <c r="BR27" s="1289"/>
    </row>
    <row r="28" spans="1:70" ht="27" customHeight="1" x14ac:dyDescent="0.2">
      <c r="A28" s="1238"/>
      <c r="B28" s="1239"/>
      <c r="C28" s="1240"/>
      <c r="D28" s="1241"/>
      <c r="E28" s="1242"/>
      <c r="F28" s="1243"/>
      <c r="G28" s="1290"/>
      <c r="H28" s="3163"/>
      <c r="I28" s="3164"/>
      <c r="J28" s="3169">
        <v>117</v>
      </c>
      <c r="K28" s="3172" t="s">
        <v>1102</v>
      </c>
      <c r="L28" s="3172" t="s">
        <v>1078</v>
      </c>
      <c r="M28" s="3169">
        <v>1</v>
      </c>
      <c r="N28" s="3169">
        <v>0</v>
      </c>
      <c r="O28" s="3160" t="s">
        <v>1103</v>
      </c>
      <c r="P28" s="3160">
        <v>47</v>
      </c>
      <c r="Q28" s="3172" t="s">
        <v>1104</v>
      </c>
      <c r="R28" s="3237">
        <f>(W28+W29+W30)/S28</f>
        <v>1</v>
      </c>
      <c r="S28" s="3186">
        <v>80000000</v>
      </c>
      <c r="T28" s="3172" t="s">
        <v>1105</v>
      </c>
      <c r="U28" s="3172" t="s">
        <v>1106</v>
      </c>
      <c r="V28" s="3236" t="s">
        <v>1107</v>
      </c>
      <c r="W28" s="3240">
        <v>68000000</v>
      </c>
      <c r="X28" s="3179">
        <v>0</v>
      </c>
      <c r="Y28" s="3179">
        <v>0</v>
      </c>
      <c r="Z28" s="1267">
        <v>20</v>
      </c>
      <c r="AA28" s="1268" t="s">
        <v>70</v>
      </c>
      <c r="AB28" s="3160">
        <v>75</v>
      </c>
      <c r="AC28" s="3160"/>
      <c r="AD28" s="3160">
        <v>75</v>
      </c>
      <c r="AE28" s="3160"/>
      <c r="AF28" s="3189">
        <v>0</v>
      </c>
      <c r="AG28" s="3189"/>
      <c r="AH28" s="3189">
        <v>0</v>
      </c>
      <c r="AI28" s="3189"/>
      <c r="AJ28" s="3189">
        <v>150</v>
      </c>
      <c r="AK28" s="3189"/>
      <c r="AL28" s="3189">
        <v>0</v>
      </c>
      <c r="AM28" s="3189"/>
      <c r="AN28" s="3189">
        <v>0</v>
      </c>
      <c r="AO28" s="3189"/>
      <c r="AP28" s="3189">
        <v>0</v>
      </c>
      <c r="AQ28" s="3189"/>
      <c r="AR28" s="3189">
        <v>0</v>
      </c>
      <c r="AS28" s="3189"/>
      <c r="AT28" s="3189">
        <v>0</v>
      </c>
      <c r="AU28" s="3189"/>
      <c r="AV28" s="3189">
        <v>0</v>
      </c>
      <c r="AW28" s="3189"/>
      <c r="AX28" s="3189">
        <v>0</v>
      </c>
      <c r="AY28" s="3189"/>
      <c r="AZ28" s="3189"/>
      <c r="BA28" s="3189"/>
      <c r="BB28" s="3189"/>
      <c r="BC28" s="3189"/>
      <c r="BD28" s="3189"/>
      <c r="BE28" s="3189"/>
      <c r="BF28" s="3189">
        <f>AB28+AD28</f>
        <v>150</v>
      </c>
      <c r="BG28" s="3189"/>
      <c r="BH28" s="3160"/>
      <c r="BI28" s="3198">
        <v>0</v>
      </c>
      <c r="BJ28" s="3198">
        <v>0</v>
      </c>
      <c r="BK28" s="3241"/>
      <c r="BL28" s="3221">
        <v>20</v>
      </c>
      <c r="BM28" s="3203"/>
      <c r="BN28" s="3206">
        <v>43832</v>
      </c>
      <c r="BO28" s="3206"/>
      <c r="BP28" s="3206">
        <v>43981</v>
      </c>
      <c r="BQ28" s="3206"/>
      <c r="BR28" s="3194" t="s">
        <v>1075</v>
      </c>
    </row>
    <row r="29" spans="1:70" ht="14.25" customHeight="1" x14ac:dyDescent="0.2">
      <c r="A29" s="1238"/>
      <c r="B29" s="1239"/>
      <c r="C29" s="1240"/>
      <c r="D29" s="1241"/>
      <c r="E29" s="1242"/>
      <c r="F29" s="1243"/>
      <c r="G29" s="1290"/>
      <c r="H29" s="3165"/>
      <c r="I29" s="3166"/>
      <c r="J29" s="3170"/>
      <c r="K29" s="3173"/>
      <c r="L29" s="3173"/>
      <c r="M29" s="3170"/>
      <c r="N29" s="3170"/>
      <c r="O29" s="3161"/>
      <c r="P29" s="3161"/>
      <c r="Q29" s="3173"/>
      <c r="R29" s="3238"/>
      <c r="S29" s="3187"/>
      <c r="T29" s="3173"/>
      <c r="U29" s="3173"/>
      <c r="V29" s="3236"/>
      <c r="W29" s="3240"/>
      <c r="X29" s="3180"/>
      <c r="Y29" s="3180"/>
      <c r="Z29" s="3211">
        <v>20</v>
      </c>
      <c r="AA29" s="3213" t="s">
        <v>70</v>
      </c>
      <c r="AB29" s="3161"/>
      <c r="AC29" s="3161"/>
      <c r="AD29" s="3161"/>
      <c r="AE29" s="3161"/>
      <c r="AF29" s="3190"/>
      <c r="AG29" s="3190"/>
      <c r="AH29" s="3190"/>
      <c r="AI29" s="3190"/>
      <c r="AJ29" s="3190"/>
      <c r="AK29" s="3190"/>
      <c r="AL29" s="3190"/>
      <c r="AM29" s="3190"/>
      <c r="AN29" s="3190"/>
      <c r="AO29" s="3190"/>
      <c r="AP29" s="3190"/>
      <c r="AQ29" s="3190"/>
      <c r="AR29" s="3190"/>
      <c r="AS29" s="3190"/>
      <c r="AT29" s="3190"/>
      <c r="AU29" s="3190"/>
      <c r="AV29" s="3190"/>
      <c r="AW29" s="3190"/>
      <c r="AX29" s="3190"/>
      <c r="AY29" s="3190"/>
      <c r="AZ29" s="3190"/>
      <c r="BA29" s="3190"/>
      <c r="BB29" s="3190"/>
      <c r="BC29" s="3190"/>
      <c r="BD29" s="3190"/>
      <c r="BE29" s="3190"/>
      <c r="BF29" s="3190"/>
      <c r="BG29" s="3190"/>
      <c r="BH29" s="3161"/>
      <c r="BI29" s="3199"/>
      <c r="BJ29" s="3199"/>
      <c r="BK29" s="3242"/>
      <c r="BL29" s="3222"/>
      <c r="BM29" s="3204"/>
      <c r="BN29" s="3207"/>
      <c r="BO29" s="3207"/>
      <c r="BP29" s="3207"/>
      <c r="BQ29" s="3207"/>
      <c r="BR29" s="3195"/>
    </row>
    <row r="30" spans="1:70" ht="41.25" customHeight="1" x14ac:dyDescent="0.2">
      <c r="A30" s="1238"/>
      <c r="B30" s="1239"/>
      <c r="C30" s="1240"/>
      <c r="D30" s="1241"/>
      <c r="E30" s="1242"/>
      <c r="F30" s="1243"/>
      <c r="G30" s="1290"/>
      <c r="H30" s="3167"/>
      <c r="I30" s="3168"/>
      <c r="J30" s="3171"/>
      <c r="K30" s="3174"/>
      <c r="L30" s="3174"/>
      <c r="M30" s="3171"/>
      <c r="N30" s="3171"/>
      <c r="O30" s="3162"/>
      <c r="P30" s="3162"/>
      <c r="Q30" s="3174"/>
      <c r="R30" s="3239"/>
      <c r="S30" s="3188"/>
      <c r="T30" s="3174"/>
      <c r="U30" s="3174"/>
      <c r="V30" s="1291" t="s">
        <v>1108</v>
      </c>
      <c r="W30" s="1266">
        <v>12000000</v>
      </c>
      <c r="X30" s="1292">
        <v>0</v>
      </c>
      <c r="Y30" s="1292">
        <v>0</v>
      </c>
      <c r="Z30" s="3212"/>
      <c r="AA30" s="3214"/>
      <c r="AB30" s="3162"/>
      <c r="AC30" s="3162"/>
      <c r="AD30" s="3162"/>
      <c r="AE30" s="3162"/>
      <c r="AF30" s="3191"/>
      <c r="AG30" s="3191"/>
      <c r="AH30" s="3191"/>
      <c r="AI30" s="3191"/>
      <c r="AJ30" s="3191"/>
      <c r="AK30" s="3191"/>
      <c r="AL30" s="3191"/>
      <c r="AM30" s="3191"/>
      <c r="AN30" s="3191"/>
      <c r="AO30" s="3191"/>
      <c r="AP30" s="3191"/>
      <c r="AQ30" s="3191"/>
      <c r="AR30" s="3191"/>
      <c r="AS30" s="3191"/>
      <c r="AT30" s="3191"/>
      <c r="AU30" s="3191"/>
      <c r="AV30" s="3191"/>
      <c r="AW30" s="3191"/>
      <c r="AX30" s="3191"/>
      <c r="AY30" s="3191"/>
      <c r="AZ30" s="3191"/>
      <c r="BA30" s="3191"/>
      <c r="BB30" s="3191"/>
      <c r="BC30" s="3191"/>
      <c r="BD30" s="3191"/>
      <c r="BE30" s="3191"/>
      <c r="BF30" s="3191"/>
      <c r="BG30" s="3191"/>
      <c r="BH30" s="3162"/>
      <c r="BI30" s="3200"/>
      <c r="BJ30" s="3200"/>
      <c r="BK30" s="3243"/>
      <c r="BL30" s="3223"/>
      <c r="BM30" s="3205"/>
      <c r="BN30" s="3208"/>
      <c r="BO30" s="3208"/>
      <c r="BP30" s="3208"/>
      <c r="BQ30" s="3208"/>
      <c r="BR30" s="3196"/>
    </row>
    <row r="31" spans="1:70" ht="27" customHeight="1" x14ac:dyDescent="0.2">
      <c r="A31" s="1238"/>
      <c r="B31" s="1239"/>
      <c r="C31" s="1240"/>
      <c r="D31" s="1241"/>
      <c r="E31" s="1242"/>
      <c r="F31" s="1243"/>
      <c r="G31" s="1279">
        <v>31</v>
      </c>
      <c r="H31" s="3234" t="s">
        <v>1109</v>
      </c>
      <c r="I31" s="3235"/>
      <c r="J31" s="3235"/>
      <c r="K31" s="3235"/>
      <c r="L31" s="1280"/>
      <c r="M31" s="1281"/>
      <c r="N31" s="1281"/>
      <c r="O31" s="1282"/>
      <c r="P31" s="1281"/>
      <c r="Q31" s="1280"/>
      <c r="R31" s="1281"/>
      <c r="S31" s="1283"/>
      <c r="T31" s="1280"/>
      <c r="U31" s="1280"/>
      <c r="V31" s="1280"/>
      <c r="W31" s="1293"/>
      <c r="X31" s="1293"/>
      <c r="Y31" s="1293"/>
      <c r="Z31" s="1294"/>
      <c r="AA31" s="1280"/>
      <c r="AB31" s="1281"/>
      <c r="AC31" s="1281"/>
      <c r="AD31" s="1281"/>
      <c r="AE31" s="1281"/>
      <c r="AF31" s="1281"/>
      <c r="AG31" s="1281"/>
      <c r="AH31" s="1281"/>
      <c r="AI31" s="1281"/>
      <c r="AJ31" s="1281"/>
      <c r="AK31" s="1281"/>
      <c r="AL31" s="1281"/>
      <c r="AM31" s="1281"/>
      <c r="AN31" s="1281"/>
      <c r="AO31" s="1281"/>
      <c r="AP31" s="1281"/>
      <c r="AQ31" s="1281"/>
      <c r="AR31" s="1281"/>
      <c r="AS31" s="1281"/>
      <c r="AT31" s="1281"/>
      <c r="AU31" s="1281"/>
      <c r="AV31" s="1281"/>
      <c r="AW31" s="1281"/>
      <c r="AX31" s="1281"/>
      <c r="AY31" s="1281"/>
      <c r="AZ31" s="1281"/>
      <c r="BA31" s="1281"/>
      <c r="BB31" s="1281"/>
      <c r="BC31" s="1281"/>
      <c r="BD31" s="1281"/>
      <c r="BE31" s="1281"/>
      <c r="BF31" s="1281"/>
      <c r="BG31" s="1281"/>
      <c r="BH31" s="1281"/>
      <c r="BI31" s="1287"/>
      <c r="BJ31" s="1287"/>
      <c r="BK31" s="1281"/>
      <c r="BL31" s="1281"/>
      <c r="BM31" s="1288"/>
      <c r="BN31" s="1281"/>
      <c r="BO31" s="1281"/>
      <c r="BP31" s="1281"/>
      <c r="BQ31" s="1281"/>
      <c r="BR31" s="1289"/>
    </row>
    <row r="32" spans="1:70" ht="25.5" x14ac:dyDescent="0.2">
      <c r="A32" s="1238"/>
      <c r="B32" s="1239"/>
      <c r="C32" s="1240"/>
      <c r="D32" s="1241"/>
      <c r="E32" s="1242"/>
      <c r="F32" s="1243"/>
      <c r="G32" s="1290"/>
      <c r="H32" s="3163"/>
      <c r="I32" s="3164"/>
      <c r="J32" s="3169">
        <v>118</v>
      </c>
      <c r="K32" s="3175" t="s">
        <v>1110</v>
      </c>
      <c r="L32" s="3172" t="s">
        <v>1078</v>
      </c>
      <c r="M32" s="3169">
        <v>4</v>
      </c>
      <c r="N32" s="3169">
        <v>0</v>
      </c>
      <c r="O32" s="3160" t="s">
        <v>1111</v>
      </c>
      <c r="P32" s="3160">
        <v>48</v>
      </c>
      <c r="Q32" s="3175" t="s">
        <v>1112</v>
      </c>
      <c r="R32" s="3237">
        <f>SUM(W32:W39)/S32</f>
        <v>1.0000000105775948</v>
      </c>
      <c r="S32" s="3186">
        <v>189078900</v>
      </c>
      <c r="T32" s="3172" t="s">
        <v>1113</v>
      </c>
      <c r="U32" s="3175" t="s">
        <v>1114</v>
      </c>
      <c r="V32" s="1291" t="s">
        <v>1115</v>
      </c>
      <c r="W32" s="1266">
        <v>23634863</v>
      </c>
      <c r="X32" s="1266">
        <v>0</v>
      </c>
      <c r="Y32" s="1266">
        <v>0</v>
      </c>
      <c r="Z32" s="1295">
        <v>34</v>
      </c>
      <c r="AA32" s="1296" t="s">
        <v>1116</v>
      </c>
      <c r="AB32" s="3189">
        <v>50476</v>
      </c>
      <c r="AC32" s="3160"/>
      <c r="AD32" s="3189">
        <v>50476</v>
      </c>
      <c r="AE32" s="3160"/>
      <c r="AF32" s="3189">
        <v>42400</v>
      </c>
      <c r="AG32" s="3189"/>
      <c r="AH32" s="3189">
        <v>30286</v>
      </c>
      <c r="AI32" s="3189"/>
      <c r="AJ32" s="3189">
        <v>18171</v>
      </c>
      <c r="AK32" s="3189"/>
      <c r="AL32" s="3189">
        <v>10095</v>
      </c>
      <c r="AM32" s="3189"/>
      <c r="AN32" s="3189"/>
      <c r="AO32" s="3189"/>
      <c r="AP32" s="3231"/>
      <c r="AQ32" s="3231"/>
      <c r="AR32" s="3189"/>
      <c r="AS32" s="3189"/>
      <c r="AT32" s="3189"/>
      <c r="AU32" s="3189"/>
      <c r="AV32" s="3189"/>
      <c r="AW32" s="3189"/>
      <c r="AX32" s="3189"/>
      <c r="AY32" s="3189"/>
      <c r="AZ32" s="3231"/>
      <c r="BA32" s="3231"/>
      <c r="BB32" s="3231"/>
      <c r="BC32" s="3231"/>
      <c r="BD32" s="3189"/>
      <c r="BE32" s="3189"/>
      <c r="BF32" s="3189">
        <f>+AB32+AD32</f>
        <v>100952</v>
      </c>
      <c r="BG32" s="3189">
        <f>AG32+AI32+AK32+AM32</f>
        <v>0</v>
      </c>
      <c r="BH32" s="3221"/>
      <c r="BI32" s="3198">
        <v>0</v>
      </c>
      <c r="BJ32" s="3198">
        <v>0</v>
      </c>
      <c r="BK32" s="3246"/>
      <c r="BL32" s="3221">
        <v>34</v>
      </c>
      <c r="BM32" s="3160"/>
      <c r="BN32" s="3224">
        <v>43832</v>
      </c>
      <c r="BO32" s="3224"/>
      <c r="BP32" s="3224">
        <v>44196</v>
      </c>
      <c r="BQ32" s="3224"/>
      <c r="BR32" s="3215" t="s">
        <v>1075</v>
      </c>
    </row>
    <row r="33" spans="1:70" ht="42.75" customHeight="1" x14ac:dyDescent="0.2">
      <c r="A33" s="1238"/>
      <c r="B33" s="1239"/>
      <c r="C33" s="1240"/>
      <c r="D33" s="1241"/>
      <c r="E33" s="1242"/>
      <c r="F33" s="1243"/>
      <c r="G33" s="1290"/>
      <c r="H33" s="3165"/>
      <c r="I33" s="3166"/>
      <c r="J33" s="3170"/>
      <c r="K33" s="3176"/>
      <c r="L33" s="3173"/>
      <c r="M33" s="3170"/>
      <c r="N33" s="3170"/>
      <c r="O33" s="3161"/>
      <c r="P33" s="3161"/>
      <c r="Q33" s="3176"/>
      <c r="R33" s="3238"/>
      <c r="S33" s="3187"/>
      <c r="T33" s="3173"/>
      <c r="U33" s="3176"/>
      <c r="V33" s="1291" t="s">
        <v>1117</v>
      </c>
      <c r="W33" s="1266">
        <v>12290129</v>
      </c>
      <c r="X33" s="1266">
        <v>0</v>
      </c>
      <c r="Y33" s="1266">
        <v>0</v>
      </c>
      <c r="Z33" s="1295">
        <v>34</v>
      </c>
      <c r="AA33" s="1296" t="s">
        <v>1116</v>
      </c>
      <c r="AB33" s="3190"/>
      <c r="AC33" s="3161"/>
      <c r="AD33" s="3190"/>
      <c r="AE33" s="3161"/>
      <c r="AF33" s="3190"/>
      <c r="AG33" s="3190"/>
      <c r="AH33" s="3190"/>
      <c r="AI33" s="3190"/>
      <c r="AJ33" s="3190"/>
      <c r="AK33" s="3190"/>
      <c r="AL33" s="3190"/>
      <c r="AM33" s="3190"/>
      <c r="AN33" s="3190"/>
      <c r="AO33" s="3190"/>
      <c r="AP33" s="3232"/>
      <c r="AQ33" s="3232"/>
      <c r="AR33" s="3190"/>
      <c r="AS33" s="3190"/>
      <c r="AT33" s="3190"/>
      <c r="AU33" s="3190"/>
      <c r="AV33" s="3190"/>
      <c r="AW33" s="3190"/>
      <c r="AX33" s="3190"/>
      <c r="AY33" s="3190"/>
      <c r="AZ33" s="3232"/>
      <c r="BA33" s="3232"/>
      <c r="BB33" s="3232"/>
      <c r="BC33" s="3232"/>
      <c r="BD33" s="3190"/>
      <c r="BE33" s="3190"/>
      <c r="BF33" s="3190"/>
      <c r="BG33" s="3190"/>
      <c r="BH33" s="3222"/>
      <c r="BI33" s="3199"/>
      <c r="BJ33" s="3199"/>
      <c r="BK33" s="3247"/>
      <c r="BL33" s="3222"/>
      <c r="BM33" s="3161"/>
      <c r="BN33" s="3225"/>
      <c r="BO33" s="3229"/>
      <c r="BP33" s="3225"/>
      <c r="BQ33" s="3229"/>
      <c r="BR33" s="3216"/>
    </row>
    <row r="34" spans="1:70" ht="37.5" customHeight="1" x14ac:dyDescent="0.2">
      <c r="A34" s="1238"/>
      <c r="B34" s="1239"/>
      <c r="C34" s="1240"/>
      <c r="D34" s="1241"/>
      <c r="E34" s="1242"/>
      <c r="F34" s="1243"/>
      <c r="G34" s="1290"/>
      <c r="H34" s="3165"/>
      <c r="I34" s="3166"/>
      <c r="J34" s="3170"/>
      <c r="K34" s="3176"/>
      <c r="L34" s="3173"/>
      <c r="M34" s="3170"/>
      <c r="N34" s="3170"/>
      <c r="O34" s="3161"/>
      <c r="P34" s="3161"/>
      <c r="Q34" s="3176"/>
      <c r="R34" s="3238"/>
      <c r="S34" s="3187"/>
      <c r="T34" s="3173"/>
      <c r="U34" s="3176"/>
      <c r="V34" s="1291" t="s">
        <v>1118</v>
      </c>
      <c r="W34" s="1266">
        <v>29307230</v>
      </c>
      <c r="X34" s="1266">
        <v>0</v>
      </c>
      <c r="Y34" s="1266">
        <v>0</v>
      </c>
      <c r="Z34" s="1295">
        <v>34</v>
      </c>
      <c r="AA34" s="1296" t="s">
        <v>1116</v>
      </c>
      <c r="AB34" s="3190"/>
      <c r="AC34" s="3161"/>
      <c r="AD34" s="3190"/>
      <c r="AE34" s="3161"/>
      <c r="AF34" s="3190"/>
      <c r="AG34" s="3190"/>
      <c r="AH34" s="3190"/>
      <c r="AI34" s="3190"/>
      <c r="AJ34" s="3190"/>
      <c r="AK34" s="3190"/>
      <c r="AL34" s="3190"/>
      <c r="AM34" s="3190"/>
      <c r="AN34" s="3190"/>
      <c r="AO34" s="3190"/>
      <c r="AP34" s="3232"/>
      <c r="AQ34" s="3232"/>
      <c r="AR34" s="3190"/>
      <c r="AS34" s="3190"/>
      <c r="AT34" s="3190"/>
      <c r="AU34" s="3190"/>
      <c r="AV34" s="3190"/>
      <c r="AW34" s="3190"/>
      <c r="AX34" s="3190"/>
      <c r="AY34" s="3190"/>
      <c r="AZ34" s="3232"/>
      <c r="BA34" s="3232"/>
      <c r="BB34" s="3232"/>
      <c r="BC34" s="3232"/>
      <c r="BD34" s="3190"/>
      <c r="BE34" s="3190"/>
      <c r="BF34" s="3190"/>
      <c r="BG34" s="3190"/>
      <c r="BH34" s="3222"/>
      <c r="BI34" s="3199"/>
      <c r="BJ34" s="3199"/>
      <c r="BK34" s="3247"/>
      <c r="BL34" s="3222"/>
      <c r="BM34" s="3161"/>
      <c r="BN34" s="3225"/>
      <c r="BO34" s="3229"/>
      <c r="BP34" s="3225"/>
      <c r="BQ34" s="3229"/>
      <c r="BR34" s="3216"/>
    </row>
    <row r="35" spans="1:70" ht="28.5" customHeight="1" x14ac:dyDescent="0.2">
      <c r="A35" s="1238"/>
      <c r="B35" s="1239"/>
      <c r="C35" s="1240"/>
      <c r="D35" s="1241"/>
      <c r="E35" s="1242"/>
      <c r="F35" s="1243"/>
      <c r="G35" s="1290"/>
      <c r="H35" s="3165"/>
      <c r="I35" s="3166"/>
      <c r="J35" s="3170"/>
      <c r="K35" s="3176"/>
      <c r="L35" s="3173"/>
      <c r="M35" s="3170"/>
      <c r="N35" s="3170"/>
      <c r="O35" s="3161"/>
      <c r="P35" s="3161"/>
      <c r="Q35" s="3176"/>
      <c r="R35" s="3238"/>
      <c r="S35" s="3187"/>
      <c r="T35" s="3173"/>
      <c r="U35" s="3176"/>
      <c r="V35" s="3244" t="s">
        <v>1119</v>
      </c>
      <c r="W35" s="3179">
        <v>29307230</v>
      </c>
      <c r="X35" s="1266">
        <v>0</v>
      </c>
      <c r="Y35" s="1266">
        <v>0</v>
      </c>
      <c r="Z35" s="1295">
        <v>34</v>
      </c>
      <c r="AA35" s="1296" t="s">
        <v>1116</v>
      </c>
      <c r="AB35" s="3190"/>
      <c r="AC35" s="3161"/>
      <c r="AD35" s="3190"/>
      <c r="AE35" s="3161"/>
      <c r="AF35" s="3190"/>
      <c r="AG35" s="3190"/>
      <c r="AH35" s="3190"/>
      <c r="AI35" s="3190"/>
      <c r="AJ35" s="3190"/>
      <c r="AK35" s="3190"/>
      <c r="AL35" s="3190"/>
      <c r="AM35" s="3190"/>
      <c r="AN35" s="3190"/>
      <c r="AO35" s="3190"/>
      <c r="AP35" s="3232"/>
      <c r="AQ35" s="3232"/>
      <c r="AR35" s="3190"/>
      <c r="AS35" s="3190"/>
      <c r="AT35" s="3190"/>
      <c r="AU35" s="3190"/>
      <c r="AV35" s="3190"/>
      <c r="AW35" s="3190"/>
      <c r="AX35" s="3190"/>
      <c r="AY35" s="3190"/>
      <c r="AZ35" s="3232"/>
      <c r="BA35" s="3232"/>
      <c r="BB35" s="3232"/>
      <c r="BC35" s="3232"/>
      <c r="BD35" s="3190"/>
      <c r="BE35" s="3190"/>
      <c r="BF35" s="3190"/>
      <c r="BG35" s="3190"/>
      <c r="BH35" s="3222"/>
      <c r="BI35" s="3199"/>
      <c r="BJ35" s="3199"/>
      <c r="BK35" s="3247"/>
      <c r="BL35" s="3222"/>
      <c r="BM35" s="3161"/>
      <c r="BN35" s="3225"/>
      <c r="BO35" s="3229"/>
      <c r="BP35" s="3225"/>
      <c r="BQ35" s="3229"/>
      <c r="BR35" s="3216"/>
    </row>
    <row r="36" spans="1:70" hidden="1" x14ac:dyDescent="0.2">
      <c r="A36" s="1238"/>
      <c r="B36" s="1239"/>
      <c r="C36" s="1240"/>
      <c r="D36" s="1241"/>
      <c r="E36" s="1242"/>
      <c r="F36" s="1243"/>
      <c r="G36" s="1290"/>
      <c r="H36" s="3165"/>
      <c r="I36" s="3166"/>
      <c r="J36" s="3170"/>
      <c r="K36" s="3176"/>
      <c r="L36" s="3173"/>
      <c r="M36" s="3170"/>
      <c r="N36" s="3170"/>
      <c r="O36" s="3161"/>
      <c r="P36" s="3161"/>
      <c r="Q36" s="3176"/>
      <c r="R36" s="3238"/>
      <c r="S36" s="3187"/>
      <c r="T36" s="3173"/>
      <c r="U36" s="3177"/>
      <c r="V36" s="3245"/>
      <c r="W36" s="3180"/>
      <c r="X36" s="1297">
        <v>0</v>
      </c>
      <c r="Y36" s="1297">
        <v>0</v>
      </c>
      <c r="Z36" s="1295">
        <v>34</v>
      </c>
      <c r="AA36" s="1296" t="s">
        <v>1116</v>
      </c>
      <c r="AB36" s="3190"/>
      <c r="AC36" s="3161"/>
      <c r="AD36" s="3190"/>
      <c r="AE36" s="3161"/>
      <c r="AF36" s="3190"/>
      <c r="AG36" s="3190"/>
      <c r="AH36" s="3190"/>
      <c r="AI36" s="3190"/>
      <c r="AJ36" s="3190"/>
      <c r="AK36" s="3190"/>
      <c r="AL36" s="3190"/>
      <c r="AM36" s="3190"/>
      <c r="AN36" s="3190"/>
      <c r="AO36" s="3190"/>
      <c r="AP36" s="3232"/>
      <c r="AQ36" s="3232"/>
      <c r="AR36" s="3190"/>
      <c r="AS36" s="3190"/>
      <c r="AT36" s="3190"/>
      <c r="AU36" s="3190"/>
      <c r="AV36" s="3190"/>
      <c r="AW36" s="3190"/>
      <c r="AX36" s="3190"/>
      <c r="AY36" s="3190"/>
      <c r="AZ36" s="3232"/>
      <c r="BA36" s="3232"/>
      <c r="BB36" s="3232"/>
      <c r="BC36" s="3232"/>
      <c r="BD36" s="3190"/>
      <c r="BE36" s="3190"/>
      <c r="BF36" s="3190"/>
      <c r="BG36" s="3190"/>
      <c r="BH36" s="3222"/>
      <c r="BI36" s="3199"/>
      <c r="BJ36" s="3199"/>
      <c r="BK36" s="3247"/>
      <c r="BL36" s="3222"/>
      <c r="BM36" s="3161"/>
      <c r="BN36" s="3225"/>
      <c r="BO36" s="3229"/>
      <c r="BP36" s="3225"/>
      <c r="BQ36" s="3229"/>
      <c r="BR36" s="3216"/>
    </row>
    <row r="37" spans="1:70" ht="14.25" customHeight="1" x14ac:dyDescent="0.2">
      <c r="A37" s="1238"/>
      <c r="B37" s="1239"/>
      <c r="C37" s="1240"/>
      <c r="D37" s="1241"/>
      <c r="E37" s="1242"/>
      <c r="F37" s="1243"/>
      <c r="G37" s="1290"/>
      <c r="H37" s="3165"/>
      <c r="I37" s="3166"/>
      <c r="J37" s="3170"/>
      <c r="K37" s="3176"/>
      <c r="L37" s="3173"/>
      <c r="M37" s="3170"/>
      <c r="N37" s="3170"/>
      <c r="O37" s="3161"/>
      <c r="P37" s="3161"/>
      <c r="Q37" s="3176"/>
      <c r="R37" s="3238"/>
      <c r="S37" s="3187"/>
      <c r="T37" s="3173"/>
      <c r="U37" s="3175" t="s">
        <v>1120</v>
      </c>
      <c r="V37" s="3244" t="s">
        <v>1121</v>
      </c>
      <c r="W37" s="3179">
        <v>28361835</v>
      </c>
      <c r="X37" s="3179">
        <v>0</v>
      </c>
      <c r="Y37" s="3179">
        <v>0</v>
      </c>
      <c r="Z37" s="1295">
        <v>34</v>
      </c>
      <c r="AA37" s="1296" t="s">
        <v>1116</v>
      </c>
      <c r="AB37" s="3190"/>
      <c r="AC37" s="3161"/>
      <c r="AD37" s="3190"/>
      <c r="AE37" s="3161"/>
      <c r="AF37" s="3190"/>
      <c r="AG37" s="3190"/>
      <c r="AH37" s="3190"/>
      <c r="AI37" s="3190"/>
      <c r="AJ37" s="3190"/>
      <c r="AK37" s="3190"/>
      <c r="AL37" s="3190"/>
      <c r="AM37" s="3190"/>
      <c r="AN37" s="3190"/>
      <c r="AO37" s="3190"/>
      <c r="AP37" s="3232"/>
      <c r="AQ37" s="3232"/>
      <c r="AR37" s="3190"/>
      <c r="AS37" s="3190"/>
      <c r="AT37" s="3190"/>
      <c r="AU37" s="3190"/>
      <c r="AV37" s="3190"/>
      <c r="AW37" s="3190"/>
      <c r="AX37" s="3190"/>
      <c r="AY37" s="3190"/>
      <c r="AZ37" s="3232"/>
      <c r="BA37" s="3232"/>
      <c r="BB37" s="3232"/>
      <c r="BC37" s="3232"/>
      <c r="BD37" s="3190"/>
      <c r="BE37" s="3190"/>
      <c r="BF37" s="3190"/>
      <c r="BG37" s="3190"/>
      <c r="BH37" s="3222"/>
      <c r="BI37" s="3199"/>
      <c r="BJ37" s="3199"/>
      <c r="BK37" s="3247"/>
      <c r="BL37" s="3222"/>
      <c r="BM37" s="3161"/>
      <c r="BN37" s="3225"/>
      <c r="BO37" s="3229"/>
      <c r="BP37" s="3225"/>
      <c r="BQ37" s="3229"/>
      <c r="BR37" s="3216"/>
    </row>
    <row r="38" spans="1:70" x14ac:dyDescent="0.2">
      <c r="A38" s="1238"/>
      <c r="B38" s="1239"/>
      <c r="C38" s="1240"/>
      <c r="D38" s="1241"/>
      <c r="E38" s="1242"/>
      <c r="F38" s="1243"/>
      <c r="G38" s="1290"/>
      <c r="H38" s="3165"/>
      <c r="I38" s="3166"/>
      <c r="J38" s="3170"/>
      <c r="K38" s="3176"/>
      <c r="L38" s="3173"/>
      <c r="M38" s="3170"/>
      <c r="N38" s="3170"/>
      <c r="O38" s="3161"/>
      <c r="P38" s="3161"/>
      <c r="Q38" s="3176"/>
      <c r="R38" s="3238"/>
      <c r="S38" s="3187"/>
      <c r="T38" s="3173"/>
      <c r="U38" s="3176"/>
      <c r="V38" s="3245"/>
      <c r="W38" s="3180"/>
      <c r="X38" s="3180"/>
      <c r="Y38" s="3180"/>
      <c r="Z38" s="1295">
        <v>34</v>
      </c>
      <c r="AA38" s="1296" t="s">
        <v>1116</v>
      </c>
      <c r="AB38" s="3190"/>
      <c r="AC38" s="3161"/>
      <c r="AD38" s="3190"/>
      <c r="AE38" s="3161"/>
      <c r="AF38" s="3190"/>
      <c r="AG38" s="3190"/>
      <c r="AH38" s="3190"/>
      <c r="AI38" s="3190"/>
      <c r="AJ38" s="3190"/>
      <c r="AK38" s="3190"/>
      <c r="AL38" s="3190"/>
      <c r="AM38" s="3190"/>
      <c r="AN38" s="3190"/>
      <c r="AO38" s="3190"/>
      <c r="AP38" s="3232"/>
      <c r="AQ38" s="3232"/>
      <c r="AR38" s="3190"/>
      <c r="AS38" s="3190"/>
      <c r="AT38" s="3190"/>
      <c r="AU38" s="3190"/>
      <c r="AV38" s="3190"/>
      <c r="AW38" s="3190"/>
      <c r="AX38" s="3190"/>
      <c r="AY38" s="3190"/>
      <c r="AZ38" s="3232"/>
      <c r="BA38" s="3232"/>
      <c r="BB38" s="3232"/>
      <c r="BC38" s="3232"/>
      <c r="BD38" s="3190"/>
      <c r="BE38" s="3190"/>
      <c r="BF38" s="3190"/>
      <c r="BG38" s="3190"/>
      <c r="BH38" s="3222"/>
      <c r="BI38" s="3199"/>
      <c r="BJ38" s="3199"/>
      <c r="BK38" s="3247"/>
      <c r="BL38" s="3222"/>
      <c r="BM38" s="3161"/>
      <c r="BN38" s="3225"/>
      <c r="BO38" s="3229"/>
      <c r="BP38" s="3225"/>
      <c r="BQ38" s="3229"/>
      <c r="BR38" s="3216"/>
    </row>
    <row r="39" spans="1:70" ht="25.5" x14ac:dyDescent="0.2">
      <c r="A39" s="1238"/>
      <c r="B39" s="1239"/>
      <c r="C39" s="1240"/>
      <c r="D39" s="1241"/>
      <c r="E39" s="1242"/>
      <c r="F39" s="1243"/>
      <c r="G39" s="1290"/>
      <c r="H39" s="3167"/>
      <c r="I39" s="3168"/>
      <c r="J39" s="3171"/>
      <c r="K39" s="3177"/>
      <c r="L39" s="3174"/>
      <c r="M39" s="3171"/>
      <c r="N39" s="3171"/>
      <c r="O39" s="3162"/>
      <c r="P39" s="3162"/>
      <c r="Q39" s="3177"/>
      <c r="R39" s="3239"/>
      <c r="S39" s="3188"/>
      <c r="T39" s="3174"/>
      <c r="U39" s="3177"/>
      <c r="V39" s="1274" t="s">
        <v>1122</v>
      </c>
      <c r="W39" s="1297">
        <v>66177615</v>
      </c>
      <c r="X39" s="1297">
        <v>0</v>
      </c>
      <c r="Y39" s="1297">
        <v>0</v>
      </c>
      <c r="Z39" s="1295">
        <v>34</v>
      </c>
      <c r="AA39" s="1296" t="s">
        <v>1116</v>
      </c>
      <c r="AB39" s="3191"/>
      <c r="AC39" s="3162"/>
      <c r="AD39" s="3191"/>
      <c r="AE39" s="3162"/>
      <c r="AF39" s="3191"/>
      <c r="AG39" s="3191"/>
      <c r="AH39" s="3191"/>
      <c r="AI39" s="3191"/>
      <c r="AJ39" s="3191"/>
      <c r="AK39" s="3191"/>
      <c r="AL39" s="3191"/>
      <c r="AM39" s="3191"/>
      <c r="AN39" s="3191"/>
      <c r="AO39" s="3191"/>
      <c r="AP39" s="3233"/>
      <c r="AQ39" s="3233"/>
      <c r="AR39" s="3191"/>
      <c r="AS39" s="3191"/>
      <c r="AT39" s="3191"/>
      <c r="AU39" s="3191"/>
      <c r="AV39" s="3191"/>
      <c r="AW39" s="3191"/>
      <c r="AX39" s="3191"/>
      <c r="AY39" s="3191"/>
      <c r="AZ39" s="3233"/>
      <c r="BA39" s="3233"/>
      <c r="BB39" s="3233"/>
      <c r="BC39" s="3233"/>
      <c r="BD39" s="3191"/>
      <c r="BE39" s="3191"/>
      <c r="BF39" s="3191"/>
      <c r="BG39" s="3191"/>
      <c r="BH39" s="3223"/>
      <c r="BI39" s="3200"/>
      <c r="BJ39" s="3200"/>
      <c r="BK39" s="3248"/>
      <c r="BL39" s="3223"/>
      <c r="BM39" s="3162"/>
      <c r="BN39" s="3226"/>
      <c r="BO39" s="3230"/>
      <c r="BP39" s="3226"/>
      <c r="BQ39" s="3230"/>
      <c r="BR39" s="3217"/>
    </row>
    <row r="40" spans="1:70" ht="27" customHeight="1" x14ac:dyDescent="0.2">
      <c r="A40" s="1210"/>
      <c r="B40" s="1211"/>
      <c r="C40" s="1212"/>
      <c r="D40" s="1213">
        <v>10</v>
      </c>
      <c r="E40" s="3249" t="s">
        <v>1123</v>
      </c>
      <c r="F40" s="3250"/>
      <c r="G40" s="3250"/>
      <c r="H40" s="3250"/>
      <c r="I40" s="3250"/>
      <c r="J40" s="3250"/>
      <c r="K40" s="3250"/>
      <c r="L40" s="1298"/>
      <c r="M40" s="1299"/>
      <c r="N40" s="1299"/>
      <c r="O40" s="1300"/>
      <c r="P40" s="1299"/>
      <c r="Q40" s="1298"/>
      <c r="R40" s="1299"/>
      <c r="S40" s="1301"/>
      <c r="T40" s="1298"/>
      <c r="U40" s="1298"/>
      <c r="V40" s="1298"/>
      <c r="W40" s="1302"/>
      <c r="X40" s="1302"/>
      <c r="Y40" s="1302"/>
      <c r="Z40" s="1303"/>
      <c r="AA40" s="1298"/>
      <c r="AB40" s="1299"/>
      <c r="AC40" s="1299"/>
      <c r="AD40" s="1299"/>
      <c r="AE40" s="1299"/>
      <c r="AF40" s="1299"/>
      <c r="AG40" s="1299"/>
      <c r="AH40" s="1299"/>
      <c r="AI40" s="1299"/>
      <c r="AJ40" s="1299"/>
      <c r="AK40" s="1299"/>
      <c r="AL40" s="1299"/>
      <c r="AM40" s="1299"/>
      <c r="AN40" s="1299"/>
      <c r="AO40" s="1299"/>
      <c r="AP40" s="1299"/>
      <c r="AQ40" s="1299"/>
      <c r="AR40" s="1299"/>
      <c r="AS40" s="1299"/>
      <c r="AT40" s="1299"/>
      <c r="AU40" s="1299"/>
      <c r="AV40" s="1299"/>
      <c r="AW40" s="1299"/>
      <c r="AX40" s="1299"/>
      <c r="AY40" s="1299"/>
      <c r="AZ40" s="1299"/>
      <c r="BA40" s="1299"/>
      <c r="BB40" s="1299"/>
      <c r="BC40" s="1299"/>
      <c r="BD40" s="1299"/>
      <c r="BE40" s="1299"/>
      <c r="BF40" s="1299"/>
      <c r="BG40" s="1299"/>
      <c r="BH40" s="1299"/>
      <c r="BI40" s="1304"/>
      <c r="BJ40" s="1304"/>
      <c r="BK40" s="1299"/>
      <c r="BL40" s="1299"/>
      <c r="BM40" s="1305"/>
      <c r="BN40" s="1299"/>
      <c r="BO40" s="1299"/>
      <c r="BP40" s="1299"/>
      <c r="BQ40" s="1299"/>
      <c r="BR40" s="1306"/>
    </row>
    <row r="41" spans="1:70" ht="27" customHeight="1" x14ac:dyDescent="0.2">
      <c r="A41" s="1307"/>
      <c r="B41" s="1308"/>
      <c r="C41" s="1308"/>
      <c r="D41" s="1309"/>
      <c r="E41" s="1310"/>
      <c r="F41" s="1311"/>
      <c r="G41" s="1279">
        <v>32</v>
      </c>
      <c r="H41" s="3234" t="s">
        <v>1124</v>
      </c>
      <c r="I41" s="3235"/>
      <c r="J41" s="3235"/>
      <c r="K41" s="3235"/>
      <c r="L41" s="3235"/>
      <c r="M41" s="1281"/>
      <c r="N41" s="1281"/>
      <c r="O41" s="1282"/>
      <c r="P41" s="1281"/>
      <c r="Q41" s="1280"/>
      <c r="R41" s="1281"/>
      <c r="S41" s="1283"/>
      <c r="T41" s="1280"/>
      <c r="U41" s="1280"/>
      <c r="V41" s="1280"/>
      <c r="W41" s="1293"/>
      <c r="X41" s="1293"/>
      <c r="Y41" s="1293"/>
      <c r="Z41" s="1294"/>
      <c r="AA41" s="1280"/>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7"/>
      <c r="BJ41" s="1287"/>
      <c r="BK41" s="1281"/>
      <c r="BL41" s="1281"/>
      <c r="BM41" s="1288"/>
      <c r="BN41" s="1281"/>
      <c r="BO41" s="1281"/>
      <c r="BP41" s="1281"/>
      <c r="BQ41" s="1281"/>
      <c r="BR41" s="1289"/>
    </row>
    <row r="42" spans="1:70" x14ac:dyDescent="0.2">
      <c r="A42" s="1238"/>
      <c r="B42" s="1239"/>
      <c r="C42" s="1239"/>
      <c r="D42" s="1241"/>
      <c r="E42" s="3165"/>
      <c r="F42" s="3166"/>
      <c r="G42" s="1290"/>
      <c r="H42" s="3163"/>
      <c r="I42" s="3164"/>
      <c r="J42" s="3169">
        <v>119</v>
      </c>
      <c r="K42" s="3172" t="s">
        <v>1125</v>
      </c>
      <c r="L42" s="3172" t="s">
        <v>1078</v>
      </c>
      <c r="M42" s="3169">
        <v>7</v>
      </c>
      <c r="N42" s="3169">
        <v>0</v>
      </c>
      <c r="O42" s="3160" t="s">
        <v>1126</v>
      </c>
      <c r="P42" s="3160">
        <v>49</v>
      </c>
      <c r="Q42" s="3172" t="s">
        <v>1127</v>
      </c>
      <c r="R42" s="3237">
        <f>SUM(W42:W47)/S42</f>
        <v>1</v>
      </c>
      <c r="S42" s="3186">
        <v>332000000</v>
      </c>
      <c r="T42" s="3172" t="s">
        <v>1128</v>
      </c>
      <c r="U42" s="3172" t="s">
        <v>1129</v>
      </c>
      <c r="V42" s="3172" t="s">
        <v>1130</v>
      </c>
      <c r="W42" s="3251">
        <v>236200000</v>
      </c>
      <c r="X42" s="3179">
        <v>4800000</v>
      </c>
      <c r="Y42" s="3179">
        <v>1800000</v>
      </c>
      <c r="Z42" s="1295">
        <v>47</v>
      </c>
      <c r="AA42" s="1296" t="s">
        <v>1131</v>
      </c>
      <c r="AB42" s="3160">
        <v>85278</v>
      </c>
      <c r="AC42" s="3160"/>
      <c r="AD42" s="3160">
        <v>85277</v>
      </c>
      <c r="AE42" s="3160"/>
      <c r="AF42" s="3189">
        <v>17056</v>
      </c>
      <c r="AG42" s="1246"/>
      <c r="AH42" s="3189">
        <v>34111</v>
      </c>
      <c r="AI42" s="3189"/>
      <c r="AJ42" s="3189">
        <v>85278</v>
      </c>
      <c r="AK42" s="3189"/>
      <c r="AL42" s="3189">
        <v>25582</v>
      </c>
      <c r="AM42" s="1246"/>
      <c r="AN42" s="3189">
        <v>4263.875</v>
      </c>
      <c r="AO42" s="3189"/>
      <c r="AP42" s="3189">
        <v>4264</v>
      </c>
      <c r="AQ42" s="1246"/>
      <c r="AR42" s="3189"/>
      <c r="AS42" s="1246"/>
      <c r="AT42" s="3189"/>
      <c r="AU42" s="1246"/>
      <c r="AV42" s="3189"/>
      <c r="AW42" s="1246"/>
      <c r="AX42" s="1246"/>
      <c r="AY42" s="1246"/>
      <c r="AZ42" s="1246"/>
      <c r="BA42" s="1246"/>
      <c r="BB42" s="1246"/>
      <c r="BC42" s="3189"/>
      <c r="BD42" s="1246"/>
      <c r="BE42" s="1246"/>
      <c r="BF42" s="3189">
        <v>170555</v>
      </c>
      <c r="BG42" s="3189"/>
      <c r="BH42" s="3221">
        <v>2</v>
      </c>
      <c r="BI42" s="3198">
        <v>13800000</v>
      </c>
      <c r="BJ42" s="3198">
        <v>5400000</v>
      </c>
      <c r="BK42" s="3218">
        <f>BJ42/BI42</f>
        <v>0.39130434782608697</v>
      </c>
      <c r="BL42" s="3221" t="s">
        <v>1132</v>
      </c>
      <c r="BM42" s="3160" t="s">
        <v>1133</v>
      </c>
      <c r="BN42" s="3224">
        <v>43832</v>
      </c>
      <c r="BO42" s="3224">
        <v>43921</v>
      </c>
      <c r="BP42" s="3224">
        <v>44196</v>
      </c>
      <c r="BQ42" s="3224"/>
      <c r="BR42" s="3215" t="s">
        <v>1075</v>
      </c>
    </row>
    <row r="43" spans="1:70" ht="29.25" customHeight="1" x14ac:dyDescent="0.2">
      <c r="A43" s="1238"/>
      <c r="B43" s="1239"/>
      <c r="C43" s="1239"/>
      <c r="D43" s="1241"/>
      <c r="E43" s="3165"/>
      <c r="F43" s="3166"/>
      <c r="G43" s="1290"/>
      <c r="H43" s="3165"/>
      <c r="I43" s="3166"/>
      <c r="J43" s="3170"/>
      <c r="K43" s="3173"/>
      <c r="L43" s="3173"/>
      <c r="M43" s="3170"/>
      <c r="N43" s="3170"/>
      <c r="O43" s="3161"/>
      <c r="P43" s="3161"/>
      <c r="Q43" s="3173"/>
      <c r="R43" s="3238"/>
      <c r="S43" s="3187"/>
      <c r="T43" s="3173"/>
      <c r="U43" s="3173"/>
      <c r="V43" s="3173"/>
      <c r="W43" s="3251"/>
      <c r="X43" s="3252"/>
      <c r="Y43" s="3252"/>
      <c r="Z43" s="1295">
        <v>20</v>
      </c>
      <c r="AA43" s="1296" t="s">
        <v>1134</v>
      </c>
      <c r="AB43" s="3161"/>
      <c r="AC43" s="3161"/>
      <c r="AD43" s="3161"/>
      <c r="AE43" s="3161"/>
      <c r="AF43" s="3190"/>
      <c r="AG43" s="1252"/>
      <c r="AH43" s="3190"/>
      <c r="AI43" s="3190"/>
      <c r="AJ43" s="3190"/>
      <c r="AK43" s="3190"/>
      <c r="AL43" s="3190"/>
      <c r="AM43" s="1252"/>
      <c r="AN43" s="3190"/>
      <c r="AO43" s="3190"/>
      <c r="AP43" s="3190"/>
      <c r="AQ43" s="1252"/>
      <c r="AR43" s="3190"/>
      <c r="AS43" s="1252"/>
      <c r="AT43" s="3190"/>
      <c r="AU43" s="1252"/>
      <c r="AV43" s="3190"/>
      <c r="AW43" s="1252"/>
      <c r="AX43" s="1252"/>
      <c r="AY43" s="1252"/>
      <c r="AZ43" s="1252"/>
      <c r="BA43" s="1252"/>
      <c r="BB43" s="1252"/>
      <c r="BC43" s="3190"/>
      <c r="BD43" s="1252"/>
      <c r="BE43" s="1252"/>
      <c r="BF43" s="3190"/>
      <c r="BG43" s="3190"/>
      <c r="BH43" s="3222"/>
      <c r="BI43" s="3199"/>
      <c r="BJ43" s="3199"/>
      <c r="BK43" s="3219"/>
      <c r="BL43" s="3222"/>
      <c r="BM43" s="3161"/>
      <c r="BN43" s="3225"/>
      <c r="BO43" s="3225"/>
      <c r="BP43" s="3225"/>
      <c r="BQ43" s="3225"/>
      <c r="BR43" s="3216"/>
    </row>
    <row r="44" spans="1:70" ht="28.5" customHeight="1" x14ac:dyDescent="0.2">
      <c r="A44" s="1238"/>
      <c r="B44" s="1239"/>
      <c r="C44" s="1239"/>
      <c r="D44" s="1241"/>
      <c r="E44" s="3165"/>
      <c r="F44" s="3166"/>
      <c r="G44" s="1290"/>
      <c r="H44" s="3165"/>
      <c r="I44" s="3166"/>
      <c r="J44" s="3170"/>
      <c r="K44" s="3173"/>
      <c r="L44" s="3173"/>
      <c r="M44" s="3170"/>
      <c r="N44" s="3170"/>
      <c r="O44" s="3161"/>
      <c r="P44" s="3161"/>
      <c r="Q44" s="3173"/>
      <c r="R44" s="3238"/>
      <c r="S44" s="3187"/>
      <c r="T44" s="3173"/>
      <c r="U44" s="3173"/>
      <c r="V44" s="1312" t="s">
        <v>1135</v>
      </c>
      <c r="W44" s="1266">
        <v>1000000</v>
      </c>
      <c r="X44" s="1266">
        <v>0</v>
      </c>
      <c r="Y44" s="1266"/>
      <c r="Z44" s="1295">
        <v>20</v>
      </c>
      <c r="AA44" s="1296" t="s">
        <v>1134</v>
      </c>
      <c r="AB44" s="3161"/>
      <c r="AC44" s="3161"/>
      <c r="AD44" s="3161"/>
      <c r="AE44" s="3161"/>
      <c r="AF44" s="3190"/>
      <c r="AG44" s="1252"/>
      <c r="AH44" s="3190"/>
      <c r="AI44" s="3190"/>
      <c r="AJ44" s="3190"/>
      <c r="AK44" s="3190"/>
      <c r="AL44" s="3190"/>
      <c r="AM44" s="1252"/>
      <c r="AN44" s="3190"/>
      <c r="AO44" s="3190"/>
      <c r="AP44" s="3190"/>
      <c r="AQ44" s="1252"/>
      <c r="AR44" s="3190"/>
      <c r="AS44" s="1252"/>
      <c r="AT44" s="3190"/>
      <c r="AU44" s="1252"/>
      <c r="AV44" s="3190"/>
      <c r="AW44" s="1252"/>
      <c r="AX44" s="1252"/>
      <c r="AY44" s="1252"/>
      <c r="AZ44" s="1252"/>
      <c r="BA44" s="1252"/>
      <c r="BB44" s="1252"/>
      <c r="BC44" s="3190"/>
      <c r="BD44" s="1252"/>
      <c r="BE44" s="1252"/>
      <c r="BF44" s="3190"/>
      <c r="BG44" s="3190"/>
      <c r="BH44" s="3222"/>
      <c r="BI44" s="3199"/>
      <c r="BJ44" s="3199"/>
      <c r="BK44" s="3219"/>
      <c r="BL44" s="3222"/>
      <c r="BM44" s="3161"/>
      <c r="BN44" s="3225"/>
      <c r="BO44" s="3229"/>
      <c r="BP44" s="3225"/>
      <c r="BQ44" s="3229"/>
      <c r="BR44" s="3216"/>
    </row>
    <row r="45" spans="1:70" ht="28.5" customHeight="1" x14ac:dyDescent="0.2">
      <c r="A45" s="1238"/>
      <c r="B45" s="1239"/>
      <c r="C45" s="1239"/>
      <c r="D45" s="1241"/>
      <c r="E45" s="3165"/>
      <c r="F45" s="3166"/>
      <c r="G45" s="1290"/>
      <c r="H45" s="3165"/>
      <c r="I45" s="3166"/>
      <c r="J45" s="3170"/>
      <c r="K45" s="3173"/>
      <c r="L45" s="3173"/>
      <c r="M45" s="3170"/>
      <c r="N45" s="3170"/>
      <c r="O45" s="3161"/>
      <c r="P45" s="3161"/>
      <c r="Q45" s="3173"/>
      <c r="R45" s="3238"/>
      <c r="S45" s="3187"/>
      <c r="T45" s="3173"/>
      <c r="U45" s="3174"/>
      <c r="V45" s="1313" t="s">
        <v>1136</v>
      </c>
      <c r="W45" s="1266">
        <v>33800000</v>
      </c>
      <c r="X45" s="1266">
        <v>9000000</v>
      </c>
      <c r="Y45" s="1266">
        <v>3600000</v>
      </c>
      <c r="Z45" s="1295">
        <v>20</v>
      </c>
      <c r="AA45" s="1314" t="s">
        <v>1134</v>
      </c>
      <c r="AB45" s="3161"/>
      <c r="AC45" s="3161"/>
      <c r="AD45" s="3161"/>
      <c r="AE45" s="3161"/>
      <c r="AF45" s="3190"/>
      <c r="AG45" s="1252"/>
      <c r="AH45" s="3190"/>
      <c r="AI45" s="3190"/>
      <c r="AJ45" s="3190"/>
      <c r="AK45" s="3190"/>
      <c r="AL45" s="3190"/>
      <c r="AM45" s="1252"/>
      <c r="AN45" s="3190"/>
      <c r="AO45" s="3190"/>
      <c r="AP45" s="3190"/>
      <c r="AQ45" s="1252"/>
      <c r="AR45" s="3190"/>
      <c r="AS45" s="1252"/>
      <c r="AT45" s="3190"/>
      <c r="AU45" s="1252"/>
      <c r="AV45" s="3190"/>
      <c r="AW45" s="1252"/>
      <c r="AX45" s="1252"/>
      <c r="AY45" s="1252"/>
      <c r="AZ45" s="1252"/>
      <c r="BA45" s="1252"/>
      <c r="BB45" s="1252"/>
      <c r="BC45" s="3190"/>
      <c r="BD45" s="1252"/>
      <c r="BE45" s="1252"/>
      <c r="BF45" s="3190"/>
      <c r="BG45" s="3190"/>
      <c r="BH45" s="3222"/>
      <c r="BI45" s="3199"/>
      <c r="BJ45" s="3199"/>
      <c r="BK45" s="3219"/>
      <c r="BL45" s="3222"/>
      <c r="BM45" s="3161"/>
      <c r="BN45" s="3225"/>
      <c r="BO45" s="3229"/>
      <c r="BP45" s="3225"/>
      <c r="BQ45" s="3229"/>
      <c r="BR45" s="3216"/>
    </row>
    <row r="46" spans="1:70" ht="19.5" customHeight="1" x14ac:dyDescent="0.2">
      <c r="A46" s="1238"/>
      <c r="B46" s="1239"/>
      <c r="C46" s="1239"/>
      <c r="D46" s="1241"/>
      <c r="E46" s="3165"/>
      <c r="F46" s="3166"/>
      <c r="G46" s="1290"/>
      <c r="H46" s="3165"/>
      <c r="I46" s="3166"/>
      <c r="J46" s="3170"/>
      <c r="K46" s="3173"/>
      <c r="L46" s="3173"/>
      <c r="M46" s="3170"/>
      <c r="N46" s="3170"/>
      <c r="O46" s="3161"/>
      <c r="P46" s="3161"/>
      <c r="Q46" s="3173"/>
      <c r="R46" s="3238"/>
      <c r="S46" s="3187"/>
      <c r="T46" s="3173"/>
      <c r="U46" s="3172" t="s">
        <v>1137</v>
      </c>
      <c r="V46" s="3172" t="s">
        <v>1138</v>
      </c>
      <c r="W46" s="3179">
        <v>61000000</v>
      </c>
      <c r="X46" s="3179">
        <v>0</v>
      </c>
      <c r="Y46" s="3179"/>
      <c r="Z46" s="3253">
        <v>20</v>
      </c>
      <c r="AA46" s="3255" t="s">
        <v>1134</v>
      </c>
      <c r="AB46" s="3161"/>
      <c r="AC46" s="3161"/>
      <c r="AD46" s="3161"/>
      <c r="AE46" s="3161"/>
      <c r="AF46" s="3190"/>
      <c r="AG46" s="1252"/>
      <c r="AH46" s="3190"/>
      <c r="AI46" s="3190"/>
      <c r="AJ46" s="3190"/>
      <c r="AK46" s="3190"/>
      <c r="AL46" s="3190"/>
      <c r="AM46" s="1252"/>
      <c r="AN46" s="3190"/>
      <c r="AO46" s="3190"/>
      <c r="AP46" s="3190"/>
      <c r="AQ46" s="1252"/>
      <c r="AR46" s="3190"/>
      <c r="AS46" s="1252"/>
      <c r="AT46" s="3190"/>
      <c r="AU46" s="1252"/>
      <c r="AV46" s="3190"/>
      <c r="AW46" s="1252"/>
      <c r="AX46" s="1252"/>
      <c r="AY46" s="1252"/>
      <c r="AZ46" s="1252"/>
      <c r="BA46" s="1252"/>
      <c r="BB46" s="1252"/>
      <c r="BC46" s="3190"/>
      <c r="BD46" s="1252"/>
      <c r="BE46" s="1252"/>
      <c r="BF46" s="3190"/>
      <c r="BG46" s="3190"/>
      <c r="BH46" s="3222"/>
      <c r="BI46" s="3199"/>
      <c r="BJ46" s="3199"/>
      <c r="BK46" s="3219"/>
      <c r="BL46" s="3222"/>
      <c r="BM46" s="3161"/>
      <c r="BN46" s="3225"/>
      <c r="BO46" s="3229"/>
      <c r="BP46" s="3225"/>
      <c r="BQ46" s="3229"/>
      <c r="BR46" s="3216"/>
    </row>
    <row r="47" spans="1:70" ht="20.25" customHeight="1" x14ac:dyDescent="0.2">
      <c r="A47" s="1238"/>
      <c r="B47" s="1239"/>
      <c r="C47" s="1239"/>
      <c r="D47" s="1241"/>
      <c r="E47" s="3165"/>
      <c r="F47" s="3166"/>
      <c r="G47" s="1290"/>
      <c r="H47" s="3167"/>
      <c r="I47" s="3168"/>
      <c r="J47" s="3171"/>
      <c r="K47" s="3174"/>
      <c r="L47" s="3174"/>
      <c r="M47" s="3171"/>
      <c r="N47" s="3170"/>
      <c r="O47" s="3162"/>
      <c r="P47" s="3162"/>
      <c r="Q47" s="3174"/>
      <c r="R47" s="3239"/>
      <c r="S47" s="3188"/>
      <c r="T47" s="3174"/>
      <c r="U47" s="3174"/>
      <c r="V47" s="3174"/>
      <c r="W47" s="3180"/>
      <c r="X47" s="3180"/>
      <c r="Y47" s="3180"/>
      <c r="Z47" s="3254"/>
      <c r="AA47" s="3256"/>
      <c r="AB47" s="3162"/>
      <c r="AC47" s="3162"/>
      <c r="AD47" s="3162"/>
      <c r="AE47" s="3162"/>
      <c r="AF47" s="3191"/>
      <c r="AG47" s="1261"/>
      <c r="AH47" s="3191"/>
      <c r="AI47" s="3191"/>
      <c r="AJ47" s="3191"/>
      <c r="AK47" s="3191"/>
      <c r="AL47" s="3191"/>
      <c r="AM47" s="1261"/>
      <c r="AN47" s="3191"/>
      <c r="AO47" s="3191"/>
      <c r="AP47" s="3191"/>
      <c r="AQ47" s="1261"/>
      <c r="AR47" s="3191"/>
      <c r="AS47" s="1261"/>
      <c r="AT47" s="3191"/>
      <c r="AU47" s="1261"/>
      <c r="AV47" s="3191"/>
      <c r="AW47" s="1261"/>
      <c r="AX47" s="1261"/>
      <c r="AY47" s="1261"/>
      <c r="AZ47" s="1261"/>
      <c r="BA47" s="1261"/>
      <c r="BB47" s="1261"/>
      <c r="BC47" s="3191"/>
      <c r="BD47" s="1261"/>
      <c r="BE47" s="1261"/>
      <c r="BF47" s="3191"/>
      <c r="BG47" s="3191"/>
      <c r="BH47" s="3223"/>
      <c r="BI47" s="3200"/>
      <c r="BJ47" s="3200"/>
      <c r="BK47" s="3220"/>
      <c r="BL47" s="3223"/>
      <c r="BM47" s="3162"/>
      <c r="BN47" s="3226"/>
      <c r="BO47" s="3230"/>
      <c r="BP47" s="3226"/>
      <c r="BQ47" s="3230"/>
      <c r="BR47" s="3217"/>
    </row>
    <row r="48" spans="1:70" ht="27" customHeight="1" x14ac:dyDescent="0.2">
      <c r="A48" s="1223"/>
      <c r="B48" s="1224"/>
      <c r="C48" s="1224"/>
      <c r="D48" s="1315"/>
      <c r="E48" s="3165"/>
      <c r="F48" s="3166"/>
      <c r="G48" s="1279">
        <v>32</v>
      </c>
      <c r="H48" s="3234" t="s">
        <v>1124</v>
      </c>
      <c r="I48" s="3235"/>
      <c r="J48" s="3235"/>
      <c r="K48" s="3235"/>
      <c r="L48" s="3235"/>
      <c r="M48" s="1281"/>
      <c r="N48" s="1281"/>
      <c r="O48" s="1282"/>
      <c r="P48" s="1281"/>
      <c r="Q48" s="1280"/>
      <c r="R48" s="1281"/>
      <c r="S48" s="1283"/>
      <c r="T48" s="1280"/>
      <c r="U48" s="1280"/>
      <c r="V48" s="1280"/>
      <c r="W48" s="1316"/>
      <c r="X48" s="1316"/>
      <c r="Y48" s="1316"/>
      <c r="Z48" s="1294"/>
      <c r="AA48" s="1280"/>
      <c r="AB48" s="1281"/>
      <c r="AC48" s="1281"/>
      <c r="AD48" s="1281"/>
      <c r="AE48" s="1281"/>
      <c r="AF48" s="1281"/>
      <c r="AG48" s="1281"/>
      <c r="AH48" s="1281"/>
      <c r="AI48" s="1281"/>
      <c r="AJ48" s="1281"/>
      <c r="AK48" s="1281"/>
      <c r="AL48" s="1281"/>
      <c r="AM48" s="1281"/>
      <c r="AN48" s="1281"/>
      <c r="AO48" s="1281"/>
      <c r="AP48" s="1281"/>
      <c r="AQ48" s="1281"/>
      <c r="AR48" s="1281"/>
      <c r="AS48" s="1281"/>
      <c r="AT48" s="1281"/>
      <c r="AU48" s="1281"/>
      <c r="AV48" s="1281"/>
      <c r="AW48" s="1281"/>
      <c r="AX48" s="1281"/>
      <c r="AY48" s="1281"/>
      <c r="AZ48" s="1281"/>
      <c r="BA48" s="1281"/>
      <c r="BB48" s="1281"/>
      <c r="BC48" s="1281"/>
      <c r="BD48" s="1281"/>
      <c r="BE48" s="1281"/>
      <c r="BF48" s="1281"/>
      <c r="BG48" s="1281"/>
      <c r="BH48" s="1281"/>
      <c r="BI48" s="1287"/>
      <c r="BJ48" s="1287"/>
      <c r="BK48" s="1281"/>
      <c r="BL48" s="1281"/>
      <c r="BM48" s="1288"/>
      <c r="BN48" s="1281"/>
      <c r="BO48" s="1281"/>
      <c r="BP48" s="1281"/>
      <c r="BQ48" s="1281"/>
      <c r="BR48" s="1289"/>
    </row>
    <row r="49" spans="1:70" ht="38.25" customHeight="1" x14ac:dyDescent="0.2">
      <c r="A49" s="1238"/>
      <c r="B49" s="1239"/>
      <c r="C49" s="1239"/>
      <c r="D49" s="1241"/>
      <c r="E49" s="3165"/>
      <c r="F49" s="3166"/>
      <c r="G49" s="1290"/>
      <c r="H49" s="3163"/>
      <c r="I49" s="3164"/>
      <c r="J49" s="3169">
        <v>120</v>
      </c>
      <c r="K49" s="3175" t="s">
        <v>1139</v>
      </c>
      <c r="L49" s="3172" t="s">
        <v>1078</v>
      </c>
      <c r="M49" s="3169">
        <v>2</v>
      </c>
      <c r="N49" s="3169">
        <v>0</v>
      </c>
      <c r="O49" s="3160" t="s">
        <v>1140</v>
      </c>
      <c r="P49" s="3160">
        <v>50</v>
      </c>
      <c r="Q49" s="3172" t="s">
        <v>1141</v>
      </c>
      <c r="R49" s="3237">
        <f>(W49+W50+W51)/S49</f>
        <v>0.5</v>
      </c>
      <c r="S49" s="3186">
        <v>80000000</v>
      </c>
      <c r="T49" s="3172" t="s">
        <v>1142</v>
      </c>
      <c r="U49" s="3257" t="s">
        <v>1143</v>
      </c>
      <c r="V49" s="1291" t="s">
        <v>1144</v>
      </c>
      <c r="W49" s="1266">
        <v>30000000</v>
      </c>
      <c r="X49" s="1266">
        <v>0</v>
      </c>
      <c r="Y49" s="1266"/>
      <c r="Z49" s="1275">
        <v>20</v>
      </c>
      <c r="AA49" s="1276" t="s">
        <v>1134</v>
      </c>
      <c r="AB49" s="3160">
        <v>142127</v>
      </c>
      <c r="AC49" s="1245"/>
      <c r="AD49" s="3160">
        <v>142127</v>
      </c>
      <c r="AE49" s="1245"/>
      <c r="AF49" s="3189">
        <v>85276</v>
      </c>
      <c r="AG49" s="1246"/>
      <c r="AH49" s="3189">
        <v>85276</v>
      </c>
      <c r="AI49" s="1246"/>
      <c r="AJ49" s="3189">
        <v>99489</v>
      </c>
      <c r="AK49" s="1246"/>
      <c r="AL49" s="3189">
        <v>14212.7</v>
      </c>
      <c r="AM49" s="1246"/>
      <c r="AN49" s="3189">
        <v>0</v>
      </c>
      <c r="AO49" s="1246"/>
      <c r="AP49" s="3189">
        <v>0</v>
      </c>
      <c r="AQ49" s="1246"/>
      <c r="AR49" s="3189">
        <v>0</v>
      </c>
      <c r="AS49" s="1246"/>
      <c r="AT49" s="3189">
        <v>0</v>
      </c>
      <c r="AU49" s="1246"/>
      <c r="AV49" s="3189">
        <v>0</v>
      </c>
      <c r="AW49" s="1246"/>
      <c r="AX49" s="3189">
        <v>0</v>
      </c>
      <c r="AY49" s="1246"/>
      <c r="AZ49" s="1246"/>
      <c r="BA49" s="1246"/>
      <c r="BB49" s="1246"/>
      <c r="BC49" s="1246"/>
      <c r="BD49" s="1246"/>
      <c r="BE49" s="1246"/>
      <c r="BF49" s="3189">
        <f>AB49+AD49</f>
        <v>284254</v>
      </c>
      <c r="BG49" s="1246"/>
      <c r="BH49" s="3221"/>
      <c r="BI49" s="3198">
        <v>0</v>
      </c>
      <c r="BJ49" s="3198">
        <v>0</v>
      </c>
      <c r="BK49" s="3261"/>
      <c r="BL49" s="3262">
        <v>20</v>
      </c>
      <c r="BM49" s="3203"/>
      <c r="BN49" s="3206">
        <v>43832</v>
      </c>
      <c r="BO49" s="3206"/>
      <c r="BP49" s="3206">
        <v>44196</v>
      </c>
      <c r="BQ49" s="3206"/>
      <c r="BR49" s="3194" t="s">
        <v>1075</v>
      </c>
    </row>
    <row r="50" spans="1:70" ht="30.75" customHeight="1" x14ac:dyDescent="0.2">
      <c r="A50" s="1238"/>
      <c r="B50" s="1239"/>
      <c r="C50" s="1239"/>
      <c r="D50" s="1241"/>
      <c r="E50" s="3165"/>
      <c r="F50" s="3166"/>
      <c r="G50" s="1290"/>
      <c r="H50" s="3165"/>
      <c r="I50" s="3166"/>
      <c r="J50" s="3170"/>
      <c r="K50" s="3176"/>
      <c r="L50" s="3173"/>
      <c r="M50" s="3170"/>
      <c r="N50" s="3170"/>
      <c r="O50" s="3161"/>
      <c r="P50" s="3161"/>
      <c r="Q50" s="3173"/>
      <c r="R50" s="3238"/>
      <c r="S50" s="3187"/>
      <c r="T50" s="3173"/>
      <c r="U50" s="3257"/>
      <c r="V50" s="3244" t="s">
        <v>1145</v>
      </c>
      <c r="W50" s="3259">
        <v>10000000</v>
      </c>
      <c r="X50" s="1317">
        <v>0</v>
      </c>
      <c r="Y50" s="1317"/>
      <c r="Z50" s="1318">
        <v>20</v>
      </c>
      <c r="AA50" s="1314" t="s">
        <v>1146</v>
      </c>
      <c r="AB50" s="3161"/>
      <c r="AC50" s="1251"/>
      <c r="AD50" s="3161"/>
      <c r="AE50" s="1251"/>
      <c r="AF50" s="3190"/>
      <c r="AG50" s="1252"/>
      <c r="AH50" s="3190"/>
      <c r="AI50" s="1252"/>
      <c r="AJ50" s="3190"/>
      <c r="AK50" s="1252"/>
      <c r="AL50" s="3190"/>
      <c r="AM50" s="1252"/>
      <c r="AN50" s="3190"/>
      <c r="AO50" s="1252"/>
      <c r="AP50" s="3190"/>
      <c r="AQ50" s="1252"/>
      <c r="AR50" s="3190"/>
      <c r="AS50" s="1252"/>
      <c r="AT50" s="3190"/>
      <c r="AU50" s="1252"/>
      <c r="AV50" s="3190"/>
      <c r="AW50" s="1252"/>
      <c r="AX50" s="3190"/>
      <c r="AY50" s="1252"/>
      <c r="AZ50" s="1252"/>
      <c r="BA50" s="1252"/>
      <c r="BB50" s="1252"/>
      <c r="BC50" s="1252"/>
      <c r="BD50" s="1252"/>
      <c r="BE50" s="1252"/>
      <c r="BF50" s="3190"/>
      <c r="BG50" s="1252"/>
      <c r="BH50" s="3222"/>
      <c r="BI50" s="3199"/>
      <c r="BJ50" s="3199"/>
      <c r="BK50" s="3261"/>
      <c r="BL50" s="3263"/>
      <c r="BM50" s="3204"/>
      <c r="BN50" s="3207"/>
      <c r="BO50" s="3207"/>
      <c r="BP50" s="3207"/>
      <c r="BQ50" s="3207"/>
      <c r="BR50" s="3195"/>
    </row>
    <row r="51" spans="1:70" hidden="1" x14ac:dyDescent="0.2">
      <c r="A51" s="1238"/>
      <c r="B51" s="1239"/>
      <c r="C51" s="1239"/>
      <c r="D51" s="1241"/>
      <c r="E51" s="3165"/>
      <c r="F51" s="3166"/>
      <c r="G51" s="1290"/>
      <c r="H51" s="3165"/>
      <c r="I51" s="3166"/>
      <c r="J51" s="3170"/>
      <c r="K51" s="3176"/>
      <c r="L51" s="3173"/>
      <c r="M51" s="3170"/>
      <c r="N51" s="3171"/>
      <c r="O51" s="3161"/>
      <c r="P51" s="3161"/>
      <c r="Q51" s="3173"/>
      <c r="R51" s="3238"/>
      <c r="S51" s="3187"/>
      <c r="T51" s="3173"/>
      <c r="U51" s="3257"/>
      <c r="V51" s="3228"/>
      <c r="W51" s="3260"/>
      <c r="X51" s="1319">
        <v>0</v>
      </c>
      <c r="Y51" s="1319"/>
      <c r="Z51" s="1318">
        <v>20</v>
      </c>
      <c r="AA51" s="1314" t="s">
        <v>1146</v>
      </c>
      <c r="AB51" s="3258"/>
      <c r="AC51" s="1320"/>
      <c r="AD51" s="3161"/>
      <c r="AE51" s="1251"/>
      <c r="AF51" s="3190"/>
      <c r="AG51" s="1252"/>
      <c r="AH51" s="3190"/>
      <c r="AI51" s="1252"/>
      <c r="AJ51" s="3190"/>
      <c r="AK51" s="1252"/>
      <c r="AL51" s="3190"/>
      <c r="AM51" s="1252"/>
      <c r="AN51" s="3190"/>
      <c r="AO51" s="1252"/>
      <c r="AP51" s="3190"/>
      <c r="AQ51" s="1252"/>
      <c r="AR51" s="3190"/>
      <c r="AS51" s="1252"/>
      <c r="AT51" s="3190"/>
      <c r="AU51" s="1252"/>
      <c r="AV51" s="3190"/>
      <c r="AW51" s="1252"/>
      <c r="AX51" s="3190"/>
      <c r="AY51" s="1252"/>
      <c r="AZ51" s="1252"/>
      <c r="BA51" s="1252"/>
      <c r="BB51" s="1252"/>
      <c r="BC51" s="1252"/>
      <c r="BD51" s="1252"/>
      <c r="BE51" s="1252"/>
      <c r="BF51" s="3190"/>
      <c r="BG51" s="1252"/>
      <c r="BH51" s="3222"/>
      <c r="BI51" s="3199"/>
      <c r="BJ51" s="3199"/>
      <c r="BK51" s="3261"/>
      <c r="BL51" s="3263"/>
      <c r="BM51" s="3204"/>
      <c r="BN51" s="3207"/>
      <c r="BO51" s="3207"/>
      <c r="BP51" s="3207"/>
      <c r="BQ51" s="3207"/>
      <c r="BR51" s="3195"/>
    </row>
    <row r="52" spans="1:70" ht="33" customHeight="1" x14ac:dyDescent="0.2">
      <c r="A52" s="1238"/>
      <c r="B52" s="1239"/>
      <c r="C52" s="1239"/>
      <c r="D52" s="1241"/>
      <c r="E52" s="3165"/>
      <c r="F52" s="3166"/>
      <c r="G52" s="1290"/>
      <c r="H52" s="3165"/>
      <c r="I52" s="3166"/>
      <c r="J52" s="3169">
        <v>121</v>
      </c>
      <c r="K52" s="3175" t="s">
        <v>1147</v>
      </c>
      <c r="L52" s="3173"/>
      <c r="M52" s="3169">
        <v>4</v>
      </c>
      <c r="N52" s="3170">
        <v>0</v>
      </c>
      <c r="O52" s="3161"/>
      <c r="P52" s="3161"/>
      <c r="Q52" s="3173"/>
      <c r="R52" s="3237">
        <f>(W52+W53+W54)/S49</f>
        <v>0.5</v>
      </c>
      <c r="S52" s="3187"/>
      <c r="T52" s="3173"/>
      <c r="U52" s="3175" t="s">
        <v>1148</v>
      </c>
      <c r="V52" s="1274" t="s">
        <v>1149</v>
      </c>
      <c r="W52" s="1297">
        <v>5000000</v>
      </c>
      <c r="X52" s="1297">
        <v>0</v>
      </c>
      <c r="Y52" s="1297"/>
      <c r="Z52" s="1318">
        <v>20</v>
      </c>
      <c r="AA52" s="1314" t="s">
        <v>1146</v>
      </c>
      <c r="AB52" s="3161"/>
      <c r="AC52" s="1251"/>
      <c r="AD52" s="3161"/>
      <c r="AE52" s="1251"/>
      <c r="AF52" s="3190"/>
      <c r="AG52" s="1252"/>
      <c r="AH52" s="3190"/>
      <c r="AI52" s="1252"/>
      <c r="AJ52" s="3190"/>
      <c r="AK52" s="1252"/>
      <c r="AL52" s="3190"/>
      <c r="AM52" s="1252"/>
      <c r="AN52" s="3190"/>
      <c r="AO52" s="1252"/>
      <c r="AP52" s="3190"/>
      <c r="AQ52" s="1252"/>
      <c r="AR52" s="3190"/>
      <c r="AS52" s="1252"/>
      <c r="AT52" s="3190"/>
      <c r="AU52" s="1252"/>
      <c r="AV52" s="3190"/>
      <c r="AW52" s="1252"/>
      <c r="AX52" s="3190"/>
      <c r="AY52" s="1252"/>
      <c r="AZ52" s="1252"/>
      <c r="BA52" s="1252"/>
      <c r="BB52" s="1252"/>
      <c r="BC52" s="1252"/>
      <c r="BD52" s="1252"/>
      <c r="BE52" s="1252"/>
      <c r="BF52" s="3190"/>
      <c r="BG52" s="1252"/>
      <c r="BH52" s="3222"/>
      <c r="BI52" s="3199"/>
      <c r="BJ52" s="3199"/>
      <c r="BK52" s="3261"/>
      <c r="BL52" s="3263"/>
      <c r="BM52" s="3204"/>
      <c r="BN52" s="3207"/>
      <c r="BO52" s="3207"/>
      <c r="BP52" s="3207"/>
      <c r="BQ52" s="3207"/>
      <c r="BR52" s="3195"/>
    </row>
    <row r="53" spans="1:70" ht="25.5" x14ac:dyDescent="0.2">
      <c r="A53" s="1238"/>
      <c r="B53" s="1239"/>
      <c r="C53" s="1239"/>
      <c r="D53" s="1241"/>
      <c r="E53" s="3165"/>
      <c r="F53" s="3166"/>
      <c r="G53" s="1290"/>
      <c r="H53" s="3165"/>
      <c r="I53" s="3166"/>
      <c r="J53" s="3170"/>
      <c r="K53" s="3176"/>
      <c r="L53" s="3173"/>
      <c r="M53" s="3170"/>
      <c r="N53" s="3170"/>
      <c r="O53" s="3161"/>
      <c r="P53" s="3161"/>
      <c r="Q53" s="3173"/>
      <c r="R53" s="3238"/>
      <c r="S53" s="3187"/>
      <c r="T53" s="3173"/>
      <c r="U53" s="3176"/>
      <c r="V53" s="1274" t="s">
        <v>1150</v>
      </c>
      <c r="W53" s="1297">
        <v>30000000</v>
      </c>
      <c r="X53" s="1297">
        <v>0</v>
      </c>
      <c r="Y53" s="1297"/>
      <c r="Z53" s="1318">
        <v>20</v>
      </c>
      <c r="AA53" s="1314" t="s">
        <v>1146</v>
      </c>
      <c r="AB53" s="3161"/>
      <c r="AC53" s="1251"/>
      <c r="AD53" s="3161"/>
      <c r="AE53" s="1251"/>
      <c r="AF53" s="3190"/>
      <c r="AG53" s="1252"/>
      <c r="AH53" s="3190"/>
      <c r="AI53" s="1252"/>
      <c r="AJ53" s="3190"/>
      <c r="AK53" s="1252"/>
      <c r="AL53" s="3190"/>
      <c r="AM53" s="1252"/>
      <c r="AN53" s="3190"/>
      <c r="AO53" s="1252"/>
      <c r="AP53" s="3190"/>
      <c r="AQ53" s="1252"/>
      <c r="AR53" s="3190"/>
      <c r="AS53" s="1252"/>
      <c r="AT53" s="3190"/>
      <c r="AU53" s="1252"/>
      <c r="AV53" s="3190"/>
      <c r="AW53" s="1252"/>
      <c r="AX53" s="3190"/>
      <c r="AY53" s="1252"/>
      <c r="AZ53" s="1252"/>
      <c r="BA53" s="1252"/>
      <c r="BB53" s="1252"/>
      <c r="BC53" s="1252"/>
      <c r="BD53" s="1252"/>
      <c r="BE53" s="1252"/>
      <c r="BF53" s="3190"/>
      <c r="BG53" s="1252"/>
      <c r="BH53" s="3222"/>
      <c r="BI53" s="3199"/>
      <c r="BJ53" s="3199"/>
      <c r="BK53" s="3261"/>
      <c r="BL53" s="3263"/>
      <c r="BM53" s="3204"/>
      <c r="BN53" s="3207"/>
      <c r="BO53" s="3207"/>
      <c r="BP53" s="3207"/>
      <c r="BQ53" s="3207"/>
      <c r="BR53" s="3195"/>
    </row>
    <row r="54" spans="1:70" ht="23.25" customHeight="1" thickBot="1" x14ac:dyDescent="0.25">
      <c r="A54" s="1238"/>
      <c r="B54" s="1239"/>
      <c r="C54" s="1239"/>
      <c r="D54" s="1241"/>
      <c r="E54" s="3165"/>
      <c r="F54" s="3166"/>
      <c r="G54" s="1290"/>
      <c r="H54" s="3165"/>
      <c r="I54" s="3166"/>
      <c r="J54" s="3170"/>
      <c r="K54" s="3176"/>
      <c r="L54" s="3173"/>
      <c r="M54" s="3170"/>
      <c r="N54" s="3170"/>
      <c r="O54" s="3161"/>
      <c r="P54" s="3161"/>
      <c r="Q54" s="3173"/>
      <c r="R54" s="3238"/>
      <c r="S54" s="3187"/>
      <c r="T54" s="3173"/>
      <c r="U54" s="3176"/>
      <c r="V54" s="1321" t="s">
        <v>1151</v>
      </c>
      <c r="W54" s="1317">
        <v>5000000</v>
      </c>
      <c r="X54" s="1317">
        <v>0</v>
      </c>
      <c r="Y54" s="1317"/>
      <c r="Z54" s="1318">
        <v>20</v>
      </c>
      <c r="AA54" s="1314" t="s">
        <v>1146</v>
      </c>
      <c r="AB54" s="3161"/>
      <c r="AC54" s="1251"/>
      <c r="AD54" s="3161"/>
      <c r="AE54" s="1251"/>
      <c r="AF54" s="3190"/>
      <c r="AG54" s="1252"/>
      <c r="AH54" s="3190"/>
      <c r="AI54" s="1252"/>
      <c r="AJ54" s="3190"/>
      <c r="AK54" s="1252"/>
      <c r="AL54" s="3190"/>
      <c r="AM54" s="1252"/>
      <c r="AN54" s="3190"/>
      <c r="AO54" s="1252"/>
      <c r="AP54" s="3190"/>
      <c r="AQ54" s="1252"/>
      <c r="AR54" s="3190"/>
      <c r="AS54" s="1252"/>
      <c r="AT54" s="3190"/>
      <c r="AU54" s="1252"/>
      <c r="AV54" s="3190"/>
      <c r="AW54" s="1252"/>
      <c r="AX54" s="3190"/>
      <c r="AY54" s="1252"/>
      <c r="AZ54" s="1252"/>
      <c r="BA54" s="1252"/>
      <c r="BB54" s="1252"/>
      <c r="BC54" s="1252"/>
      <c r="BD54" s="1252"/>
      <c r="BE54" s="1252"/>
      <c r="BF54" s="3190"/>
      <c r="BG54" s="1252"/>
      <c r="BH54" s="3222"/>
      <c r="BI54" s="3199"/>
      <c r="BJ54" s="3199"/>
      <c r="BK54" s="3241"/>
      <c r="BL54" s="3263"/>
      <c r="BM54" s="3204"/>
      <c r="BN54" s="3207"/>
      <c r="BO54" s="3207"/>
      <c r="BP54" s="3207"/>
      <c r="BQ54" s="3207"/>
      <c r="BR54" s="3195"/>
    </row>
    <row r="55" spans="1:70" ht="27" customHeight="1" thickBot="1" x14ac:dyDescent="0.25">
      <c r="A55" s="1322"/>
      <c r="B55" s="1323"/>
      <c r="C55" s="1323"/>
      <c r="D55" s="1323"/>
      <c r="E55" s="3264" t="s">
        <v>93</v>
      </c>
      <c r="F55" s="3265"/>
      <c r="G55" s="1324"/>
      <c r="H55" s="1324"/>
      <c r="I55" s="1324"/>
      <c r="J55" s="1325"/>
      <c r="K55" s="1326"/>
      <c r="L55" s="1326"/>
      <c r="M55" s="1324"/>
      <c r="N55" s="1324"/>
      <c r="O55" s="1324"/>
      <c r="P55" s="1324"/>
      <c r="Q55" s="1327"/>
      <c r="R55" s="1328"/>
      <c r="S55" s="1329">
        <f>SUM(S12:S54)</f>
        <v>3210072200</v>
      </c>
      <c r="T55" s="1326"/>
      <c r="U55" s="1326"/>
      <c r="V55" s="1330"/>
      <c r="W55" s="1331">
        <f>SUM(W12:W54)</f>
        <v>3210072202</v>
      </c>
      <c r="X55" s="1331">
        <f>SUM(X12:X54)</f>
        <v>117800000</v>
      </c>
      <c r="Y55" s="1331">
        <f>SUM(Y12:Y54)</f>
        <v>71600000</v>
      </c>
      <c r="Z55" s="1332"/>
      <c r="AA55" s="1324"/>
      <c r="AB55" s="1324"/>
      <c r="AC55" s="1324"/>
      <c r="AD55" s="1324"/>
      <c r="AE55" s="1324"/>
      <c r="AF55" s="1333"/>
      <c r="AG55" s="1333"/>
      <c r="AH55" s="1334"/>
      <c r="AI55" s="1334"/>
      <c r="AJ55" s="1333"/>
      <c r="AK55" s="1333"/>
      <c r="AL55" s="1333"/>
      <c r="AM55" s="1333"/>
      <c r="AN55" s="1333"/>
      <c r="AO55" s="1333"/>
      <c r="AP55" s="1333"/>
      <c r="AQ55" s="1333"/>
      <c r="AR55" s="1333"/>
      <c r="AS55" s="1333"/>
      <c r="AT55" s="1333"/>
      <c r="AU55" s="1333"/>
      <c r="AV55" s="1333"/>
      <c r="AW55" s="1333"/>
      <c r="AX55" s="1333"/>
      <c r="AY55" s="1333"/>
      <c r="AZ55" s="1333"/>
      <c r="BA55" s="1333"/>
      <c r="BB55" s="1333"/>
      <c r="BC55" s="1333"/>
      <c r="BD55" s="1333"/>
      <c r="BE55" s="1333"/>
      <c r="BF55" s="1333"/>
      <c r="BG55" s="1335"/>
      <c r="BH55" s="1336">
        <f>BH49+BH42+BH32+BH28+BH15+BH12</f>
        <v>10</v>
      </c>
      <c r="BI55" s="1337">
        <f>BI49+BI42+BI32+BI28+BI15+BI12</f>
        <v>117800000</v>
      </c>
      <c r="BJ55" s="1338">
        <f>BJ12+BJ15+BJ28+BJ32+BJ42+BJ49</f>
        <v>71600000</v>
      </c>
      <c r="BK55" s="1339"/>
      <c r="BL55" s="1340"/>
      <c r="BM55" s="1341"/>
      <c r="BN55" s="1340"/>
      <c r="BO55" s="1340"/>
      <c r="BP55" s="1340"/>
      <c r="BQ55" s="1340"/>
      <c r="BR55" s="1342"/>
    </row>
    <row r="56" spans="1:70" ht="27" customHeight="1" x14ac:dyDescent="0.2">
      <c r="A56" s="1343"/>
      <c r="E56" s="1344"/>
      <c r="F56" s="1344"/>
      <c r="G56" s="1344"/>
      <c r="H56" s="1344"/>
      <c r="I56" s="1344"/>
      <c r="J56" s="1344"/>
      <c r="K56" s="1345"/>
      <c r="L56" s="1346"/>
      <c r="M56" s="1346"/>
      <c r="N56" s="1346"/>
      <c r="O56" s="1347"/>
      <c r="P56" s="1347"/>
      <c r="Q56" s="1345"/>
      <c r="R56" s="1348"/>
      <c r="S56" s="1349"/>
      <c r="T56" s="1345"/>
      <c r="U56" s="1345"/>
      <c r="V56" s="1345"/>
      <c r="W56" s="1350"/>
      <c r="X56" s="1351"/>
      <c r="Y56" s="1351"/>
      <c r="Z56" s="1352"/>
      <c r="AA56" s="1353"/>
      <c r="AB56" s="1344"/>
      <c r="AC56" s="1344"/>
      <c r="AD56" s="1344"/>
      <c r="AE56" s="1344"/>
      <c r="AF56" s="1344"/>
      <c r="AG56" s="1344"/>
      <c r="AH56" s="1344"/>
      <c r="AI56" s="1344"/>
      <c r="AJ56" s="1344"/>
      <c r="AK56" s="1344"/>
      <c r="AL56" s="1344"/>
      <c r="AM56" s="1344"/>
      <c r="AN56" s="1344"/>
      <c r="AO56" s="1344"/>
      <c r="AP56" s="1344"/>
      <c r="AQ56" s="1344"/>
      <c r="AR56" s="1344"/>
      <c r="AS56" s="1344"/>
      <c r="AT56" s="1344"/>
      <c r="AU56" s="1344"/>
      <c r="AV56" s="1344"/>
      <c r="AW56" s="1344"/>
      <c r="AX56" s="1344"/>
      <c r="AY56" s="1344"/>
      <c r="AZ56" s="1344"/>
      <c r="BA56" s="1344"/>
      <c r="BB56" s="1344"/>
      <c r="BC56" s="1344"/>
      <c r="BD56" s="1344"/>
      <c r="BE56" s="1344"/>
      <c r="BF56" s="1344"/>
      <c r="BG56" s="1344"/>
      <c r="BH56" s="1354"/>
      <c r="BI56" s="1355"/>
      <c r="BJ56" s="1356"/>
      <c r="BK56" s="1357"/>
      <c r="BL56" s="1357"/>
      <c r="BM56" s="1358"/>
      <c r="BN56" s="1344"/>
      <c r="BO56" s="1344"/>
      <c r="BP56" s="1344"/>
      <c r="BQ56" s="1344"/>
      <c r="BR56" s="1344"/>
    </row>
    <row r="57" spans="1:70" s="1368" customFormat="1" ht="40.5" customHeight="1" x14ac:dyDescent="0.2">
      <c r="A57" s="1359"/>
      <c r="B57" s="1359"/>
      <c r="C57" s="1359"/>
      <c r="D57" s="1359"/>
      <c r="E57" s="1360"/>
      <c r="F57" s="1360"/>
      <c r="G57" s="1360"/>
      <c r="H57" s="1360"/>
      <c r="I57" s="1360"/>
      <c r="J57" s="1360"/>
      <c r="K57" s="1360"/>
      <c r="L57" s="1360"/>
      <c r="M57" s="1360"/>
      <c r="N57" s="1360"/>
      <c r="O57" s="1361"/>
      <c r="P57" s="1360"/>
      <c r="Q57" s="1360"/>
      <c r="R57" s="1360"/>
      <c r="S57" s="1362"/>
      <c r="T57" s="1360"/>
      <c r="U57" s="1360"/>
      <c r="V57" s="1360"/>
      <c r="W57" s="1363"/>
      <c r="X57" s="1360"/>
      <c r="Y57" s="1364"/>
      <c r="Z57" s="1360"/>
      <c r="AA57" s="1360"/>
      <c r="AB57" s="1365"/>
      <c r="AC57" s="1365"/>
      <c r="AD57" s="1365"/>
      <c r="AE57" s="1365"/>
      <c r="AF57" s="1365"/>
      <c r="AG57" s="1365"/>
      <c r="AH57" s="1365"/>
      <c r="AI57" s="1365"/>
      <c r="AJ57" s="1365"/>
      <c r="AK57" s="1365"/>
      <c r="AL57" s="1365"/>
      <c r="AM57" s="1365"/>
      <c r="AN57" s="1365"/>
      <c r="AO57" s="1365"/>
      <c r="AP57" s="1365"/>
      <c r="AQ57" s="1365"/>
      <c r="AR57" s="1365"/>
      <c r="AS57" s="1365"/>
      <c r="AT57" s="1365"/>
      <c r="AU57" s="1365"/>
      <c r="AV57" s="1365"/>
      <c r="AW57" s="1365"/>
      <c r="AX57" s="1365"/>
      <c r="AY57" s="1365"/>
      <c r="AZ57" s="1365"/>
      <c r="BA57" s="1365"/>
      <c r="BB57" s="1365"/>
      <c r="BC57" s="1365"/>
      <c r="BD57" s="1365"/>
      <c r="BE57" s="1365"/>
      <c r="BF57" s="1365"/>
      <c r="BG57" s="1365"/>
      <c r="BH57" s="1365"/>
      <c r="BI57" s="1366"/>
      <c r="BJ57" s="1367"/>
      <c r="BK57" s="1360"/>
      <c r="BL57" s="1360"/>
      <c r="BM57" s="1361"/>
      <c r="BN57" s="1360"/>
      <c r="BO57" s="1360"/>
      <c r="BP57" s="1360"/>
      <c r="BQ57" s="1360"/>
      <c r="BR57" s="1360"/>
    </row>
    <row r="58" spans="1:70" ht="27" customHeight="1" x14ac:dyDescent="0.2">
      <c r="A58" s="1343"/>
      <c r="K58" s="1369"/>
      <c r="L58" s="1249"/>
      <c r="M58" s="1249"/>
      <c r="N58" s="1249"/>
      <c r="O58" s="1370"/>
      <c r="P58" s="1370"/>
      <c r="Q58" s="1369"/>
      <c r="R58" s="1371"/>
      <c r="S58" s="1372"/>
      <c r="T58" s="1369"/>
      <c r="U58" s="1369"/>
      <c r="V58" s="1369"/>
      <c r="W58" s="1373"/>
      <c r="X58" s="1374"/>
      <c r="Y58" s="1351"/>
      <c r="Z58" s="1375"/>
      <c r="AA58" s="1376"/>
      <c r="BH58" s="1354"/>
      <c r="BI58" s="1355"/>
      <c r="BJ58" s="1356"/>
      <c r="BK58" s="1378"/>
      <c r="BL58" s="1378"/>
      <c r="BM58" s="1379"/>
    </row>
    <row r="59" spans="1:70" ht="27" customHeight="1" x14ac:dyDescent="0.2">
      <c r="A59" s="1343"/>
      <c r="K59" s="1369"/>
      <c r="L59" s="1249"/>
      <c r="M59" s="1249"/>
      <c r="N59" s="1249"/>
      <c r="O59" s="1370"/>
      <c r="P59" s="1370"/>
      <c r="Q59" s="1369"/>
      <c r="R59" s="1371"/>
      <c r="S59" s="1372"/>
      <c r="T59" s="1369"/>
      <c r="U59" s="1369"/>
      <c r="V59" s="1369"/>
      <c r="W59" s="1373"/>
      <c r="X59" s="1374"/>
      <c r="Y59" s="1351"/>
      <c r="Z59" s="1375"/>
      <c r="AA59" s="1376"/>
      <c r="BH59" s="1354"/>
      <c r="BI59" s="1355"/>
      <c r="BJ59" s="1356"/>
      <c r="BK59" s="1378"/>
      <c r="BL59" s="1378"/>
      <c r="BM59" s="1379"/>
    </row>
    <row r="60" spans="1:70" ht="16.5" customHeight="1" x14ac:dyDescent="0.2">
      <c r="A60" s="1343"/>
      <c r="K60" s="3266" t="s">
        <v>1152</v>
      </c>
      <c r="L60" s="3266"/>
      <c r="M60" s="1249"/>
      <c r="N60" s="1249"/>
      <c r="O60" s="1370"/>
      <c r="P60" s="1370"/>
      <c r="Q60" s="1369"/>
      <c r="R60" s="1371"/>
      <c r="S60" s="1372"/>
      <c r="T60" s="1369"/>
      <c r="U60" s="1369"/>
      <c r="V60" s="1369"/>
      <c r="W60" s="1373"/>
      <c r="X60" s="1374"/>
      <c r="Y60" s="1351"/>
      <c r="Z60" s="1375"/>
      <c r="AA60" s="1376"/>
      <c r="BH60" s="1354"/>
      <c r="BI60" s="1355"/>
      <c r="BJ60" s="1356"/>
      <c r="BK60" s="1378"/>
      <c r="BL60" s="1378"/>
      <c r="BM60" s="1379"/>
    </row>
    <row r="61" spans="1:70" ht="21.75" customHeight="1" x14ac:dyDescent="0.2">
      <c r="A61" s="1343"/>
      <c r="K61" s="3266" t="s">
        <v>1153</v>
      </c>
      <c r="L61" s="3266"/>
      <c r="M61" s="1249"/>
      <c r="N61" s="1249"/>
      <c r="O61" s="1370"/>
      <c r="P61" s="1370"/>
      <c r="Q61" s="1369"/>
      <c r="R61" s="1371"/>
      <c r="S61" s="1372"/>
      <c r="T61" s="1369"/>
      <c r="U61" s="1369"/>
      <c r="V61" s="1369"/>
      <c r="W61" s="1373"/>
      <c r="X61" s="1374"/>
      <c r="Y61" s="1351"/>
      <c r="Z61" s="1375"/>
      <c r="AA61" s="1376"/>
      <c r="BH61" s="1354"/>
      <c r="BI61" s="1355"/>
      <c r="BJ61" s="1356"/>
      <c r="BK61" s="1378"/>
      <c r="BL61" s="1378"/>
      <c r="BM61" s="1379"/>
    </row>
    <row r="62" spans="1:70" ht="27" customHeight="1" x14ac:dyDescent="0.2">
      <c r="A62" s="1343"/>
      <c r="K62" s="1369"/>
      <c r="L62" s="1249"/>
      <c r="M62" s="1249"/>
      <c r="N62" s="1249"/>
      <c r="O62" s="1370"/>
      <c r="P62" s="1370"/>
      <c r="Q62" s="1369"/>
      <c r="R62" s="1371"/>
      <c r="S62" s="1372"/>
      <c r="T62" s="1369"/>
      <c r="U62" s="1369"/>
      <c r="V62" s="1369"/>
      <c r="W62" s="1373"/>
      <c r="X62" s="1374"/>
      <c r="Y62" s="1351"/>
      <c r="Z62" s="1375"/>
      <c r="AA62" s="1376"/>
      <c r="BH62" s="1354"/>
      <c r="BI62" s="1355"/>
      <c r="BJ62" s="1356"/>
      <c r="BK62" s="1378"/>
      <c r="BL62" s="1378"/>
      <c r="BM62" s="1379"/>
    </row>
    <row r="63" spans="1:70" ht="27" customHeight="1" x14ac:dyDescent="0.2">
      <c r="A63" s="1343"/>
      <c r="K63" s="1369"/>
      <c r="L63" s="1249"/>
      <c r="M63" s="1249"/>
      <c r="N63" s="1249"/>
      <c r="O63" s="1370"/>
      <c r="P63" s="1370"/>
      <c r="Q63" s="1369"/>
      <c r="R63" s="1371"/>
      <c r="S63" s="1372"/>
      <c r="T63" s="1369"/>
      <c r="U63" s="1369"/>
      <c r="V63" s="1369"/>
      <c r="W63" s="1373"/>
      <c r="X63" s="1374"/>
      <c r="Y63" s="1351"/>
      <c r="Z63" s="1375"/>
      <c r="AA63" s="1376"/>
      <c r="BH63" s="1354"/>
      <c r="BI63" s="1355"/>
      <c r="BJ63" s="1356"/>
      <c r="BK63" s="1378"/>
      <c r="BL63" s="1378"/>
      <c r="BM63" s="1379"/>
    </row>
    <row r="64" spans="1:70" ht="27" customHeight="1" x14ac:dyDescent="0.2">
      <c r="A64" s="1343"/>
      <c r="K64" s="1369"/>
      <c r="L64" s="1249"/>
      <c r="M64" s="1249"/>
      <c r="N64" s="1249"/>
      <c r="O64" s="1370"/>
      <c r="P64" s="1370"/>
      <c r="Q64" s="1369"/>
      <c r="R64" s="1371"/>
      <c r="S64" s="1372"/>
      <c r="T64" s="1369"/>
      <c r="U64" s="1369"/>
      <c r="V64" s="1369"/>
      <c r="W64" s="1373"/>
      <c r="X64" s="1374"/>
      <c r="Y64" s="1351"/>
      <c r="Z64" s="1375"/>
      <c r="AA64" s="1376"/>
      <c r="BH64" s="1354"/>
      <c r="BI64" s="1355"/>
      <c r="BJ64" s="1356"/>
      <c r="BK64" s="1378"/>
      <c r="BL64" s="1378"/>
      <c r="BM64" s="1379"/>
    </row>
    <row r="65" spans="1:65" ht="27" customHeight="1" x14ac:dyDescent="0.2">
      <c r="A65" s="1343"/>
      <c r="K65" s="1369"/>
      <c r="L65" s="1249"/>
      <c r="M65" s="1249"/>
      <c r="N65" s="1249"/>
      <c r="O65" s="1370"/>
      <c r="P65" s="1370"/>
      <c r="Q65" s="1369"/>
      <c r="R65" s="1371"/>
      <c r="S65" s="1372"/>
      <c r="T65" s="1369"/>
      <c r="U65" s="1369"/>
      <c r="V65" s="1369"/>
      <c r="W65" s="1373"/>
      <c r="X65" s="1374"/>
      <c r="Y65" s="1351"/>
      <c r="Z65" s="1375"/>
      <c r="AA65" s="1376"/>
      <c r="BH65" s="1354"/>
      <c r="BI65" s="1355"/>
      <c r="BJ65" s="1356"/>
      <c r="BK65" s="1378"/>
      <c r="BL65" s="1378"/>
      <c r="BM65" s="1379"/>
    </row>
    <row r="66" spans="1:65" ht="27" customHeight="1" x14ac:dyDescent="0.2">
      <c r="A66" s="1343"/>
      <c r="K66" s="1369"/>
      <c r="L66" s="1249"/>
      <c r="M66" s="1249"/>
      <c r="N66" s="1249"/>
      <c r="O66" s="1370"/>
      <c r="P66" s="1370"/>
      <c r="Q66" s="1369"/>
      <c r="R66" s="1371"/>
      <c r="S66" s="1372"/>
      <c r="T66" s="1369"/>
      <c r="U66" s="1369"/>
      <c r="V66" s="1369"/>
      <c r="W66" s="1373"/>
      <c r="X66" s="1374"/>
      <c r="Y66" s="1351"/>
      <c r="Z66" s="1375"/>
      <c r="AA66" s="1376"/>
      <c r="BH66" s="1354"/>
      <c r="BI66" s="1355"/>
      <c r="BJ66" s="1356"/>
      <c r="BK66" s="1378"/>
      <c r="BL66" s="1378"/>
      <c r="BM66" s="1379"/>
    </row>
    <row r="67" spans="1:65" ht="27" customHeight="1" x14ac:dyDescent="0.2">
      <c r="A67" s="1343"/>
      <c r="K67" s="1369"/>
      <c r="L67" s="1249"/>
      <c r="M67" s="1249"/>
      <c r="N67" s="1249"/>
      <c r="O67" s="1370"/>
      <c r="P67" s="1370"/>
      <c r="Q67" s="1369"/>
      <c r="R67" s="1371"/>
      <c r="S67" s="1372"/>
      <c r="T67" s="1369"/>
      <c r="U67" s="1369"/>
      <c r="V67" s="1369"/>
      <c r="W67" s="1373"/>
      <c r="X67" s="1374"/>
      <c r="Y67" s="1351"/>
      <c r="Z67" s="1375"/>
      <c r="AA67" s="1376"/>
      <c r="BH67" s="1354"/>
      <c r="BI67" s="1355"/>
      <c r="BJ67" s="1356"/>
      <c r="BK67" s="1378"/>
      <c r="BL67" s="1378"/>
      <c r="BM67" s="1379"/>
    </row>
    <row r="68" spans="1:65" ht="27" customHeight="1" x14ac:dyDescent="0.2">
      <c r="A68" s="1343"/>
      <c r="K68" s="1369"/>
      <c r="L68" s="1249"/>
      <c r="M68" s="1249"/>
      <c r="N68" s="1249"/>
      <c r="O68" s="1370"/>
      <c r="P68" s="1370"/>
      <c r="Q68" s="1369"/>
      <c r="R68" s="1371"/>
      <c r="S68" s="1372"/>
      <c r="T68" s="1369"/>
      <c r="U68" s="1369"/>
      <c r="V68" s="1369"/>
      <c r="W68" s="1373"/>
      <c r="X68" s="1374"/>
      <c r="Y68" s="1351"/>
      <c r="Z68" s="1375"/>
      <c r="AA68" s="1376"/>
      <c r="BH68" s="1354"/>
      <c r="BI68" s="1355"/>
      <c r="BJ68" s="1356"/>
      <c r="BK68" s="1378"/>
      <c r="BL68" s="1378"/>
      <c r="BM68" s="1379"/>
    </row>
    <row r="69" spans="1:65" ht="27" customHeight="1" x14ac:dyDescent="0.2">
      <c r="A69" s="1343"/>
      <c r="K69" s="1369"/>
      <c r="L69" s="1249"/>
      <c r="M69" s="1249"/>
      <c r="N69" s="1249"/>
      <c r="O69" s="1370"/>
      <c r="P69" s="1370"/>
      <c r="Q69" s="1369"/>
      <c r="R69" s="1371"/>
      <c r="S69" s="1372"/>
      <c r="T69" s="1369"/>
      <c r="U69" s="1369"/>
      <c r="V69" s="1369"/>
      <c r="W69" s="1373"/>
      <c r="X69" s="1374"/>
      <c r="Y69" s="1351"/>
      <c r="Z69" s="1375"/>
      <c r="AA69" s="1376"/>
      <c r="BH69" s="1354"/>
      <c r="BI69" s="1355"/>
      <c r="BJ69" s="1356"/>
      <c r="BK69" s="1378"/>
      <c r="BL69" s="1378"/>
      <c r="BM69" s="1379"/>
    </row>
    <row r="70" spans="1:65" ht="27" customHeight="1" x14ac:dyDescent="0.2">
      <c r="A70" s="1343"/>
      <c r="K70" s="1369"/>
      <c r="L70" s="1249"/>
      <c r="M70" s="1249"/>
      <c r="N70" s="1249"/>
      <c r="O70" s="1370"/>
      <c r="P70" s="1370"/>
      <c r="Q70" s="1369"/>
      <c r="R70" s="1371"/>
      <c r="S70" s="1372"/>
      <c r="T70" s="1369"/>
      <c r="U70" s="1369"/>
      <c r="V70" s="1369"/>
      <c r="W70" s="1373"/>
      <c r="X70" s="1374"/>
      <c r="Y70" s="1351"/>
      <c r="Z70" s="1375"/>
      <c r="AA70" s="1376"/>
      <c r="BH70" s="1354"/>
      <c r="BI70" s="1355"/>
      <c r="BJ70" s="1356"/>
      <c r="BK70" s="1378"/>
      <c r="BL70" s="1378"/>
      <c r="BM70" s="1379"/>
    </row>
    <row r="71" spans="1:65" ht="27" customHeight="1" x14ac:dyDescent="0.2">
      <c r="A71" s="1343"/>
      <c r="K71" s="1369"/>
      <c r="L71" s="1249"/>
      <c r="M71" s="1249"/>
      <c r="N71" s="1249"/>
      <c r="O71" s="1370"/>
      <c r="P71" s="1370"/>
      <c r="Q71" s="1369"/>
      <c r="R71" s="1371"/>
      <c r="S71" s="1372"/>
      <c r="T71" s="1369"/>
      <c r="U71" s="1369"/>
      <c r="V71" s="1369"/>
      <c r="W71" s="1373"/>
      <c r="X71" s="1374"/>
      <c r="Y71" s="1351"/>
      <c r="Z71" s="1375"/>
      <c r="AA71" s="1376"/>
      <c r="BH71" s="1354"/>
      <c r="BI71" s="1355"/>
      <c r="BJ71" s="1356"/>
      <c r="BK71" s="1378"/>
      <c r="BL71" s="1378"/>
      <c r="BM71" s="1379"/>
    </row>
    <row r="72" spans="1:65" ht="27" customHeight="1" x14ac:dyDescent="0.2">
      <c r="A72" s="1343"/>
      <c r="K72" s="1369"/>
      <c r="L72" s="1249"/>
      <c r="M72" s="1249"/>
      <c r="N72" s="1249"/>
      <c r="O72" s="1370"/>
      <c r="P72" s="1370"/>
      <c r="Q72" s="1369"/>
      <c r="R72" s="1371"/>
      <c r="S72" s="1372"/>
      <c r="T72" s="1369"/>
      <c r="U72" s="1369"/>
      <c r="V72" s="1369"/>
      <c r="W72" s="1373"/>
      <c r="X72" s="1374"/>
      <c r="Y72" s="1351"/>
      <c r="Z72" s="1375"/>
      <c r="AA72" s="1376"/>
      <c r="BH72" s="1354"/>
      <c r="BI72" s="1355"/>
      <c r="BJ72" s="1356"/>
      <c r="BK72" s="1378"/>
      <c r="BL72" s="1378"/>
      <c r="BM72" s="1379"/>
    </row>
    <row r="73" spans="1:65" ht="27" customHeight="1" x14ac:dyDescent="0.2">
      <c r="A73" s="1343"/>
      <c r="K73" s="1369"/>
      <c r="L73" s="1249"/>
      <c r="M73" s="1249"/>
      <c r="N73" s="1249"/>
      <c r="O73" s="1370"/>
      <c r="P73" s="1370"/>
      <c r="Q73" s="1369"/>
      <c r="R73" s="1371"/>
      <c r="S73" s="1372"/>
      <c r="T73" s="1369"/>
      <c r="U73" s="1369"/>
      <c r="V73" s="1369"/>
      <c r="W73" s="1373"/>
      <c r="X73" s="1374"/>
      <c r="Y73" s="1351"/>
      <c r="Z73" s="1375"/>
      <c r="AA73" s="1376"/>
      <c r="BH73" s="1354"/>
      <c r="BI73" s="1355"/>
      <c r="BJ73" s="1356"/>
      <c r="BK73" s="1378"/>
      <c r="BL73" s="1378"/>
      <c r="BM73" s="1379"/>
    </row>
    <row r="74" spans="1:65" ht="27" customHeight="1" x14ac:dyDescent="0.2">
      <c r="A74" s="1343"/>
      <c r="K74" s="1369"/>
      <c r="L74" s="1249"/>
      <c r="M74" s="1249"/>
      <c r="N74" s="1249"/>
      <c r="O74" s="1370"/>
      <c r="P74" s="1370"/>
      <c r="Q74" s="1369"/>
      <c r="R74" s="1371"/>
      <c r="S74" s="1372"/>
      <c r="T74" s="1369"/>
      <c r="U74" s="1369"/>
      <c r="V74" s="1369"/>
      <c r="W74" s="1373"/>
      <c r="X74" s="1374"/>
      <c r="Y74" s="1351"/>
      <c r="Z74" s="1375"/>
      <c r="AA74" s="1376"/>
      <c r="BH74" s="1354"/>
      <c r="BI74" s="1355"/>
      <c r="BJ74" s="1356"/>
      <c r="BK74" s="1378"/>
      <c r="BL74" s="1378"/>
      <c r="BM74" s="1379"/>
    </row>
    <row r="75" spans="1:65" ht="27" customHeight="1" x14ac:dyDescent="0.2">
      <c r="A75" s="1343"/>
      <c r="K75" s="1369"/>
      <c r="L75" s="1249"/>
      <c r="M75" s="1249"/>
      <c r="N75" s="1249"/>
      <c r="O75" s="1370"/>
      <c r="P75" s="1370"/>
      <c r="Q75" s="1369"/>
      <c r="R75" s="1371"/>
      <c r="S75" s="1372"/>
      <c r="T75" s="1369"/>
      <c r="U75" s="1369"/>
      <c r="V75" s="1369"/>
      <c r="W75" s="1373"/>
      <c r="X75" s="1374"/>
      <c r="Y75" s="1351"/>
      <c r="Z75" s="1375"/>
      <c r="AA75" s="1376"/>
      <c r="BH75" s="1354"/>
      <c r="BI75" s="1355"/>
      <c r="BJ75" s="1356"/>
      <c r="BK75" s="1378"/>
      <c r="BL75" s="1378"/>
      <c r="BM75" s="1379"/>
    </row>
    <row r="76" spans="1:65" ht="27" customHeight="1" x14ac:dyDescent="0.2">
      <c r="A76" s="1343"/>
      <c r="K76" s="1369"/>
      <c r="L76" s="1249"/>
      <c r="M76" s="1249"/>
      <c r="N76" s="1249"/>
      <c r="O76" s="1370"/>
      <c r="P76" s="1370"/>
      <c r="Q76" s="1369"/>
      <c r="R76" s="1371"/>
      <c r="S76" s="1372"/>
      <c r="T76" s="1369"/>
      <c r="U76" s="1369"/>
      <c r="V76" s="1369"/>
      <c r="W76" s="1373"/>
      <c r="X76" s="1374"/>
      <c r="Y76" s="1351"/>
      <c r="Z76" s="1375"/>
      <c r="AA76" s="1376"/>
      <c r="BH76" s="1354"/>
      <c r="BI76" s="1355"/>
      <c r="BJ76" s="1356"/>
      <c r="BK76" s="1378"/>
      <c r="BL76" s="1378"/>
      <c r="BM76" s="1379"/>
    </row>
    <row r="77" spans="1:65" ht="27" customHeight="1" x14ac:dyDescent="0.2">
      <c r="A77" s="1343"/>
      <c r="K77" s="1369"/>
      <c r="L77" s="1249"/>
      <c r="M77" s="1249"/>
      <c r="N77" s="1249"/>
      <c r="O77" s="1370"/>
      <c r="P77" s="1370"/>
      <c r="Q77" s="1369"/>
      <c r="R77" s="1371"/>
      <c r="S77" s="1372"/>
      <c r="T77" s="1369"/>
      <c r="U77" s="1369"/>
      <c r="V77" s="1369"/>
      <c r="W77" s="1373"/>
      <c r="X77" s="1374"/>
      <c r="Y77" s="1351"/>
      <c r="Z77" s="1375"/>
      <c r="AA77" s="1376"/>
      <c r="BH77" s="1354"/>
      <c r="BI77" s="1355"/>
      <c r="BJ77" s="1356"/>
      <c r="BK77" s="1378"/>
      <c r="BL77" s="1378"/>
      <c r="BM77" s="1379"/>
    </row>
    <row r="78" spans="1:65" ht="27" customHeight="1" x14ac:dyDescent="0.2">
      <c r="A78" s="1343"/>
      <c r="K78" s="1369"/>
      <c r="L78" s="1249"/>
      <c r="M78" s="1249"/>
      <c r="N78" s="1249"/>
      <c r="O78" s="1370"/>
      <c r="P78" s="1370"/>
      <c r="Q78" s="1369"/>
      <c r="R78" s="1371"/>
      <c r="S78" s="1372"/>
      <c r="T78" s="1369"/>
      <c r="U78" s="1369"/>
      <c r="V78" s="1369"/>
      <c r="W78" s="1373"/>
      <c r="X78" s="1374"/>
      <c r="Y78" s="1351"/>
      <c r="Z78" s="1375"/>
      <c r="AA78" s="1376"/>
      <c r="BH78" s="1354"/>
      <c r="BI78" s="1355"/>
      <c r="BJ78" s="1356"/>
      <c r="BK78" s="1378"/>
      <c r="BL78" s="1378"/>
      <c r="BM78" s="1379"/>
    </row>
    <row r="79" spans="1:65" ht="27" customHeight="1" x14ac:dyDescent="0.2">
      <c r="A79" s="1343"/>
      <c r="K79" s="1369"/>
      <c r="L79" s="1249"/>
      <c r="M79" s="1249"/>
      <c r="N79" s="1249"/>
      <c r="O79" s="1370"/>
      <c r="P79" s="1370"/>
      <c r="Q79" s="1369"/>
      <c r="R79" s="1371"/>
      <c r="S79" s="1372"/>
      <c r="T79" s="1369"/>
      <c r="U79" s="1369"/>
      <c r="V79" s="1369"/>
      <c r="W79" s="1373"/>
      <c r="X79" s="1374"/>
      <c r="Y79" s="1351"/>
      <c r="Z79" s="1375"/>
      <c r="AA79" s="1376"/>
      <c r="BH79" s="1354"/>
      <c r="BI79" s="1355"/>
      <c r="BJ79" s="1356"/>
      <c r="BK79" s="1378"/>
      <c r="BL79" s="1378"/>
      <c r="BM79" s="1379"/>
    </row>
    <row r="80" spans="1:65" ht="27" customHeight="1" x14ac:dyDescent="0.2">
      <c r="A80" s="1343"/>
      <c r="K80" s="1369"/>
      <c r="L80" s="1249"/>
      <c r="M80" s="1249"/>
      <c r="N80" s="1249"/>
      <c r="O80" s="1370"/>
      <c r="P80" s="1370"/>
      <c r="Q80" s="1369"/>
      <c r="R80" s="1371"/>
      <c r="S80" s="1372"/>
      <c r="T80" s="1369"/>
      <c r="U80" s="1369"/>
      <c r="V80" s="1369"/>
      <c r="W80" s="1373"/>
      <c r="X80" s="1374"/>
      <c r="Y80" s="1351"/>
      <c r="Z80" s="1375"/>
      <c r="AA80" s="1376"/>
      <c r="BH80" s="1354"/>
      <c r="BI80" s="1355"/>
      <c r="BJ80" s="1356"/>
      <c r="BK80" s="1378"/>
      <c r="BL80" s="1378"/>
      <c r="BM80" s="1379"/>
    </row>
    <row r="81" spans="1:65" ht="27" customHeight="1" x14ac:dyDescent="0.2">
      <c r="A81" s="1343"/>
      <c r="K81" s="1369"/>
      <c r="L81" s="1249"/>
      <c r="M81" s="1249"/>
      <c r="N81" s="1249"/>
      <c r="O81" s="1370"/>
      <c r="P81" s="1370"/>
      <c r="Q81" s="1369"/>
      <c r="R81" s="1371"/>
      <c r="S81" s="1372"/>
      <c r="T81" s="1369"/>
      <c r="U81" s="1369"/>
      <c r="V81" s="1369"/>
      <c r="W81" s="1373"/>
      <c r="X81" s="1374"/>
      <c r="Y81" s="1351"/>
      <c r="Z81" s="1375"/>
      <c r="AA81" s="1376"/>
      <c r="BH81" s="1354"/>
      <c r="BI81" s="1355"/>
      <c r="BJ81" s="1356"/>
      <c r="BK81" s="1378"/>
      <c r="BL81" s="1378"/>
      <c r="BM81" s="1379"/>
    </row>
    <row r="82" spans="1:65" ht="27" customHeight="1" x14ac:dyDescent="0.2">
      <c r="A82" s="1343"/>
      <c r="K82" s="1369"/>
      <c r="L82" s="1249"/>
      <c r="M82" s="1249"/>
      <c r="N82" s="1249"/>
      <c r="O82" s="1370"/>
      <c r="P82" s="1370"/>
      <c r="Q82" s="1369"/>
      <c r="R82" s="1371"/>
      <c r="S82" s="1372"/>
      <c r="T82" s="1369"/>
      <c r="U82" s="1369"/>
      <c r="V82" s="1369"/>
      <c r="W82" s="1373"/>
      <c r="X82" s="1374"/>
      <c r="Y82" s="1351"/>
      <c r="Z82" s="1375"/>
      <c r="AA82" s="1376"/>
      <c r="BH82" s="1354"/>
      <c r="BI82" s="1355"/>
      <c r="BJ82" s="1356"/>
      <c r="BK82" s="1378"/>
      <c r="BL82" s="1378"/>
      <c r="BM82" s="1379"/>
    </row>
    <row r="83" spans="1:65" ht="27" customHeight="1" x14ac:dyDescent="0.2">
      <c r="A83" s="1343"/>
      <c r="K83" s="1369"/>
      <c r="L83" s="1249"/>
      <c r="M83" s="1249"/>
      <c r="N83" s="1249"/>
      <c r="O83" s="1370"/>
      <c r="P83" s="1370"/>
      <c r="Q83" s="1369"/>
      <c r="R83" s="1371"/>
      <c r="S83" s="1372"/>
      <c r="T83" s="1369"/>
      <c r="U83" s="1369"/>
      <c r="V83" s="1369"/>
      <c r="W83" s="1373"/>
      <c r="X83" s="1374"/>
      <c r="Y83" s="1351"/>
      <c r="Z83" s="1375"/>
      <c r="AA83" s="1376"/>
      <c r="BH83" s="1354"/>
      <c r="BI83" s="1355"/>
      <c r="BJ83" s="1356"/>
      <c r="BK83" s="1378"/>
      <c r="BL83" s="1378"/>
      <c r="BM83" s="1379"/>
    </row>
    <row r="84" spans="1:65" ht="27" customHeight="1" x14ac:dyDescent="0.2">
      <c r="A84" s="1343"/>
      <c r="K84" s="1369"/>
      <c r="L84" s="1249"/>
      <c r="M84" s="1249"/>
      <c r="N84" s="1249"/>
      <c r="O84" s="1370"/>
      <c r="P84" s="1370"/>
      <c r="Q84" s="1369"/>
      <c r="R84" s="1371"/>
      <c r="S84" s="1372"/>
      <c r="T84" s="1369"/>
      <c r="U84" s="1369"/>
      <c r="V84" s="1369"/>
      <c r="W84" s="1373"/>
      <c r="X84" s="1374"/>
      <c r="Y84" s="1351"/>
      <c r="Z84" s="1375"/>
      <c r="AA84" s="1376"/>
      <c r="BH84" s="1354"/>
      <c r="BI84" s="1355"/>
      <c r="BJ84" s="1356"/>
      <c r="BK84" s="1378"/>
      <c r="BL84" s="1378"/>
      <c r="BM84" s="1379"/>
    </row>
    <row r="85" spans="1:65" ht="27" customHeight="1" x14ac:dyDescent="0.2">
      <c r="A85" s="1343"/>
      <c r="K85" s="1369"/>
      <c r="L85" s="1249"/>
      <c r="M85" s="1249"/>
      <c r="N85" s="1249"/>
      <c r="O85" s="1370"/>
      <c r="P85" s="1370"/>
      <c r="Q85" s="1369"/>
      <c r="R85" s="1371"/>
      <c r="S85" s="1372"/>
      <c r="T85" s="1369"/>
      <c r="U85" s="1369"/>
      <c r="V85" s="1369"/>
      <c r="W85" s="1373"/>
      <c r="X85" s="1374"/>
      <c r="Y85" s="1351"/>
      <c r="Z85" s="1375"/>
      <c r="AA85" s="1376"/>
      <c r="BH85" s="1354"/>
      <c r="BI85" s="1355"/>
      <c r="BJ85" s="1356"/>
      <c r="BK85" s="1378"/>
      <c r="BL85" s="1378"/>
      <c r="BM85" s="1379"/>
    </row>
    <row r="86" spans="1:65" ht="27" customHeight="1" x14ac:dyDescent="0.2">
      <c r="A86" s="1343"/>
      <c r="K86" s="1369"/>
      <c r="L86" s="1249"/>
      <c r="M86" s="1249"/>
      <c r="N86" s="1249"/>
      <c r="O86" s="1370"/>
      <c r="P86" s="1370"/>
      <c r="Q86" s="1369"/>
      <c r="R86" s="1371"/>
      <c r="S86" s="1372"/>
      <c r="T86" s="1369"/>
      <c r="U86" s="1369"/>
      <c r="V86" s="1369"/>
      <c r="W86" s="1373"/>
      <c r="X86" s="1374"/>
      <c r="Y86" s="1351"/>
      <c r="Z86" s="1375"/>
      <c r="AA86" s="1376"/>
      <c r="BH86" s="1354"/>
      <c r="BI86" s="1355"/>
      <c r="BJ86" s="1356"/>
      <c r="BK86" s="1378"/>
      <c r="BL86" s="1378"/>
      <c r="BM86" s="1379"/>
    </row>
    <row r="87" spans="1:65" ht="27" customHeight="1" x14ac:dyDescent="0.2">
      <c r="A87" s="1343"/>
      <c r="K87" s="1369"/>
      <c r="L87" s="1249"/>
      <c r="M87" s="1249"/>
      <c r="N87" s="1249"/>
      <c r="O87" s="1370"/>
      <c r="P87" s="1370"/>
      <c r="Q87" s="1369"/>
      <c r="R87" s="1371"/>
      <c r="S87" s="1372"/>
      <c r="T87" s="1369"/>
      <c r="U87" s="1369"/>
      <c r="V87" s="1369"/>
      <c r="W87" s="1373"/>
      <c r="X87" s="1374"/>
      <c r="Y87" s="1351"/>
      <c r="Z87" s="1375"/>
      <c r="AA87" s="1376"/>
      <c r="BH87" s="1354"/>
      <c r="BI87" s="1355"/>
      <c r="BJ87" s="1356"/>
      <c r="BK87" s="1378"/>
      <c r="BL87" s="1378"/>
      <c r="BM87" s="1379"/>
    </row>
    <row r="88" spans="1:65" ht="27" customHeight="1" x14ac:dyDescent="0.2">
      <c r="A88" s="1343"/>
      <c r="K88" s="1369"/>
      <c r="L88" s="1249"/>
      <c r="M88" s="1249"/>
      <c r="N88" s="1249"/>
      <c r="O88" s="1370"/>
      <c r="P88" s="1370"/>
      <c r="Q88" s="1369"/>
      <c r="R88" s="1371"/>
      <c r="S88" s="1372"/>
      <c r="T88" s="1369"/>
      <c r="U88" s="1369"/>
      <c r="V88" s="1369"/>
      <c r="W88" s="1373"/>
      <c r="X88" s="1374"/>
      <c r="Y88" s="1351"/>
      <c r="Z88" s="1375"/>
      <c r="AA88" s="1376"/>
      <c r="BH88" s="1354"/>
      <c r="BI88" s="1355"/>
      <c r="BJ88" s="1356"/>
      <c r="BK88" s="1378"/>
      <c r="BL88" s="1378"/>
      <c r="BM88" s="1379"/>
    </row>
    <row r="89" spans="1:65" ht="27" customHeight="1" x14ac:dyDescent="0.2">
      <c r="A89" s="1343"/>
      <c r="K89" s="1369"/>
      <c r="L89" s="1249"/>
      <c r="M89" s="1249"/>
      <c r="N89" s="1249"/>
      <c r="O89" s="1370"/>
      <c r="P89" s="1370"/>
      <c r="Q89" s="1369"/>
      <c r="R89" s="1371"/>
      <c r="S89" s="1372"/>
      <c r="T89" s="1369"/>
      <c r="U89" s="1369"/>
      <c r="V89" s="1369"/>
      <c r="W89" s="1373"/>
      <c r="X89" s="1374"/>
      <c r="Y89" s="1351"/>
      <c r="Z89" s="1375"/>
      <c r="AA89" s="1376"/>
      <c r="BH89" s="1354"/>
      <c r="BI89" s="1355"/>
      <c r="BJ89" s="1356"/>
      <c r="BK89" s="1378"/>
      <c r="BL89" s="1378"/>
      <c r="BM89" s="1379"/>
    </row>
    <row r="90" spans="1:65" ht="27" customHeight="1" x14ac:dyDescent="0.2">
      <c r="A90" s="1343"/>
      <c r="K90" s="1369"/>
      <c r="L90" s="1249"/>
      <c r="M90" s="1249"/>
      <c r="N90" s="1249"/>
      <c r="O90" s="1370"/>
      <c r="P90" s="1370"/>
      <c r="Q90" s="1369"/>
      <c r="R90" s="1371"/>
      <c r="S90" s="1372"/>
      <c r="T90" s="1369"/>
      <c r="U90" s="1369"/>
      <c r="V90" s="1369"/>
      <c r="W90" s="1373"/>
      <c r="X90" s="1374"/>
      <c r="Y90" s="1351"/>
      <c r="Z90" s="1375"/>
      <c r="AA90" s="1376"/>
      <c r="BH90" s="1354"/>
      <c r="BI90" s="1355"/>
      <c r="BJ90" s="1356"/>
      <c r="BK90" s="1378"/>
      <c r="BL90" s="1378"/>
      <c r="BM90" s="1379"/>
    </row>
    <row r="91" spans="1:65" ht="27" customHeight="1" x14ac:dyDescent="0.2">
      <c r="A91" s="1343"/>
      <c r="K91" s="1369"/>
      <c r="L91" s="1249"/>
      <c r="M91" s="1249"/>
      <c r="N91" s="1249"/>
      <c r="O91" s="1370"/>
      <c r="P91" s="1370"/>
      <c r="Q91" s="1369"/>
      <c r="R91" s="1371"/>
      <c r="S91" s="1372"/>
      <c r="T91" s="1369"/>
      <c r="U91" s="1369"/>
      <c r="V91" s="1369"/>
      <c r="W91" s="1373"/>
      <c r="X91" s="1374"/>
      <c r="Y91" s="1351"/>
      <c r="Z91" s="1375"/>
      <c r="AA91" s="1376"/>
      <c r="BH91" s="1354"/>
      <c r="BI91" s="1355"/>
      <c r="BJ91" s="1356"/>
      <c r="BK91" s="1378"/>
      <c r="BL91" s="1378"/>
      <c r="BM91" s="1379"/>
    </row>
    <row r="92" spans="1:65" ht="27" customHeight="1" x14ac:dyDescent="0.2">
      <c r="A92" s="1343"/>
      <c r="K92" s="1369"/>
      <c r="L92" s="1249"/>
      <c r="M92" s="1249"/>
      <c r="N92" s="1249"/>
      <c r="O92" s="1370"/>
      <c r="P92" s="1370"/>
      <c r="Q92" s="1369"/>
      <c r="R92" s="1371"/>
      <c r="S92" s="1372"/>
      <c r="T92" s="1369"/>
      <c r="U92" s="1369"/>
      <c r="V92" s="1369"/>
      <c r="W92" s="1373"/>
      <c r="X92" s="1374"/>
      <c r="Y92" s="1351"/>
      <c r="Z92" s="1375"/>
      <c r="AA92" s="1376"/>
      <c r="BH92" s="1354"/>
      <c r="BI92" s="1355"/>
      <c r="BJ92" s="1356"/>
      <c r="BK92" s="1378"/>
      <c r="BL92" s="1378"/>
      <c r="BM92" s="1379"/>
    </row>
    <row r="93" spans="1:65" ht="27" customHeight="1" x14ac:dyDescent="0.2">
      <c r="A93" s="1343"/>
      <c r="K93" s="1369"/>
      <c r="L93" s="1249"/>
      <c r="M93" s="1249"/>
      <c r="N93" s="1249"/>
      <c r="O93" s="1370"/>
      <c r="P93" s="1370"/>
      <c r="Q93" s="1369"/>
      <c r="R93" s="1371"/>
      <c r="S93" s="1372"/>
      <c r="T93" s="1369"/>
      <c r="U93" s="1369"/>
      <c r="V93" s="1369"/>
      <c r="W93" s="1373"/>
      <c r="X93" s="1374"/>
      <c r="Y93" s="1351"/>
      <c r="Z93" s="1375"/>
      <c r="AA93" s="1376"/>
      <c r="BH93" s="1354"/>
      <c r="BI93" s="1355"/>
      <c r="BJ93" s="1356"/>
      <c r="BK93" s="1378"/>
      <c r="BL93" s="1378"/>
      <c r="BM93" s="1379"/>
    </row>
    <row r="94" spans="1:65" ht="27" customHeight="1" x14ac:dyDescent="0.2">
      <c r="A94" s="1343"/>
      <c r="K94" s="1369"/>
      <c r="L94" s="1249"/>
      <c r="M94" s="1249"/>
      <c r="N94" s="1249"/>
      <c r="O94" s="1370"/>
      <c r="P94" s="1370"/>
      <c r="Q94" s="1369"/>
      <c r="R94" s="1371"/>
      <c r="S94" s="1372"/>
      <c r="T94" s="1369"/>
      <c r="U94" s="1369"/>
      <c r="V94" s="1369"/>
      <c r="W94" s="1373"/>
      <c r="X94" s="1374"/>
      <c r="Y94" s="1351"/>
      <c r="Z94" s="1375"/>
      <c r="AA94" s="1376"/>
      <c r="BH94" s="1354"/>
      <c r="BI94" s="1355"/>
      <c r="BJ94" s="1356"/>
      <c r="BK94" s="1378"/>
      <c r="BL94" s="1378"/>
      <c r="BM94" s="1379"/>
    </row>
    <row r="95" spans="1:65" ht="27" customHeight="1" x14ac:dyDescent="0.2">
      <c r="A95" s="1343"/>
      <c r="K95" s="1369"/>
      <c r="L95" s="1249"/>
      <c r="M95" s="1249"/>
      <c r="N95" s="1249"/>
      <c r="O95" s="1370"/>
      <c r="P95" s="1370"/>
      <c r="Q95" s="1369"/>
      <c r="R95" s="1371"/>
      <c r="S95" s="1372"/>
      <c r="T95" s="1369"/>
      <c r="U95" s="1369"/>
      <c r="V95" s="1369"/>
      <c r="W95" s="1373"/>
      <c r="X95" s="1374"/>
      <c r="Y95" s="1351"/>
      <c r="Z95" s="1375"/>
      <c r="AA95" s="1376"/>
      <c r="BH95" s="1354"/>
      <c r="BI95" s="1355"/>
      <c r="BJ95" s="1356"/>
      <c r="BK95" s="1378"/>
      <c r="BL95" s="1378"/>
      <c r="BM95" s="1379"/>
    </row>
    <row r="96" spans="1:65" ht="27" customHeight="1" x14ac:dyDescent="0.2">
      <c r="A96" s="1343"/>
      <c r="K96" s="1369"/>
      <c r="L96" s="1249"/>
      <c r="M96" s="1249"/>
      <c r="N96" s="1249"/>
      <c r="O96" s="1370"/>
      <c r="P96" s="1370"/>
      <c r="Q96" s="1369"/>
      <c r="R96" s="1371"/>
      <c r="S96" s="1372"/>
      <c r="T96" s="1369"/>
      <c r="U96" s="1369"/>
      <c r="V96" s="1369"/>
      <c r="W96" s="1373"/>
      <c r="X96" s="1374"/>
      <c r="Y96" s="1351"/>
      <c r="Z96" s="1375"/>
      <c r="AA96" s="1376"/>
      <c r="BH96" s="1354"/>
      <c r="BI96" s="1355"/>
      <c r="BJ96" s="1356"/>
      <c r="BK96" s="1378"/>
      <c r="BL96" s="1378"/>
      <c r="BM96" s="1379"/>
    </row>
    <row r="97" spans="1:65" ht="27" customHeight="1" x14ac:dyDescent="0.2">
      <c r="A97" s="1343"/>
      <c r="K97" s="1369"/>
      <c r="L97" s="1249"/>
      <c r="M97" s="1249"/>
      <c r="N97" s="1249"/>
      <c r="O97" s="1370"/>
      <c r="P97" s="1370"/>
      <c r="Q97" s="1369"/>
      <c r="R97" s="1371"/>
      <c r="S97" s="1372"/>
      <c r="T97" s="1369"/>
      <c r="U97" s="1369"/>
      <c r="V97" s="1369"/>
      <c r="W97" s="1373"/>
      <c r="X97" s="1374"/>
      <c r="Y97" s="1351"/>
      <c r="Z97" s="1375"/>
      <c r="AA97" s="1376"/>
      <c r="BH97" s="1354"/>
      <c r="BI97" s="1355"/>
      <c r="BJ97" s="1356"/>
      <c r="BK97" s="1378"/>
      <c r="BL97" s="1378"/>
      <c r="BM97" s="1379"/>
    </row>
    <row r="98" spans="1:65" ht="27" customHeight="1" x14ac:dyDescent="0.2">
      <c r="A98" s="1343"/>
      <c r="K98" s="1369"/>
      <c r="L98" s="1249"/>
      <c r="M98" s="1249"/>
      <c r="N98" s="1249"/>
      <c r="O98" s="1370"/>
      <c r="P98" s="1370"/>
      <c r="Q98" s="1369"/>
      <c r="R98" s="1371"/>
      <c r="S98" s="1372"/>
      <c r="T98" s="1369"/>
      <c r="U98" s="1369"/>
      <c r="V98" s="1369"/>
      <c r="W98" s="1373"/>
      <c r="X98" s="1374"/>
      <c r="Y98" s="1351"/>
      <c r="Z98" s="1375"/>
      <c r="AA98" s="1376"/>
      <c r="BH98" s="1354"/>
      <c r="BI98" s="1355"/>
      <c r="BJ98" s="1356"/>
      <c r="BK98" s="1378"/>
      <c r="BL98" s="1378"/>
      <c r="BM98" s="1379"/>
    </row>
    <row r="99" spans="1:65" ht="27" customHeight="1" x14ac:dyDescent="0.2">
      <c r="A99" s="1343"/>
      <c r="K99" s="1369"/>
      <c r="L99" s="1249"/>
      <c r="M99" s="1249"/>
      <c r="N99" s="1249"/>
      <c r="O99" s="1370"/>
      <c r="P99" s="1370"/>
      <c r="Q99" s="1369"/>
      <c r="R99" s="1371"/>
      <c r="S99" s="1372"/>
      <c r="T99" s="1369"/>
      <c r="U99" s="1369"/>
      <c r="V99" s="1369"/>
      <c r="W99" s="1373"/>
      <c r="X99" s="1374"/>
      <c r="Y99" s="1351"/>
      <c r="Z99" s="1375"/>
      <c r="AA99" s="1376"/>
      <c r="BH99" s="1354"/>
      <c r="BI99" s="1355"/>
      <c r="BJ99" s="1356"/>
      <c r="BK99" s="1378"/>
      <c r="BL99" s="1378"/>
      <c r="BM99" s="1379"/>
    </row>
    <row r="100" spans="1:65" ht="27" customHeight="1" x14ac:dyDescent="0.2">
      <c r="A100" s="1343"/>
      <c r="K100" s="1369"/>
      <c r="L100" s="1249"/>
      <c r="M100" s="1249"/>
      <c r="N100" s="1249"/>
      <c r="O100" s="1370"/>
      <c r="P100" s="1370"/>
      <c r="Q100" s="1369"/>
      <c r="R100" s="1371"/>
      <c r="S100" s="1372"/>
      <c r="T100" s="1369"/>
      <c r="U100" s="1369"/>
      <c r="V100" s="1369"/>
      <c r="W100" s="1373"/>
      <c r="X100" s="1374"/>
      <c r="Y100" s="1351"/>
      <c r="Z100" s="1375"/>
      <c r="AA100" s="1376"/>
      <c r="BH100" s="1354"/>
      <c r="BI100" s="1355"/>
      <c r="BJ100" s="1356"/>
      <c r="BK100" s="1378"/>
      <c r="BL100" s="1378"/>
      <c r="BM100" s="1379"/>
    </row>
    <row r="101" spans="1:65" ht="27" customHeight="1" x14ac:dyDescent="0.2">
      <c r="A101" s="1343"/>
      <c r="K101" s="1369"/>
      <c r="L101" s="1249"/>
      <c r="M101" s="1249"/>
      <c r="N101" s="1249"/>
      <c r="O101" s="1370"/>
      <c r="P101" s="1370"/>
      <c r="Q101" s="1369"/>
      <c r="R101" s="1371"/>
      <c r="S101" s="1372"/>
      <c r="T101" s="1369"/>
      <c r="U101" s="1369"/>
      <c r="V101" s="1369"/>
      <c r="W101" s="1373"/>
      <c r="X101" s="1374"/>
      <c r="Y101" s="1351"/>
      <c r="Z101" s="1375"/>
      <c r="AA101" s="1376"/>
      <c r="BH101" s="1354"/>
      <c r="BI101" s="1355"/>
      <c r="BJ101" s="1356"/>
      <c r="BK101" s="1378"/>
      <c r="BL101" s="1378"/>
      <c r="BM101" s="1379"/>
    </row>
    <row r="102" spans="1:65" ht="27" customHeight="1" x14ac:dyDescent="0.2">
      <c r="A102" s="1343"/>
      <c r="K102" s="1369"/>
      <c r="L102" s="1249"/>
      <c r="M102" s="1249"/>
      <c r="N102" s="1249"/>
      <c r="O102" s="1370"/>
      <c r="P102" s="1370"/>
      <c r="Q102" s="1369"/>
      <c r="R102" s="1371"/>
      <c r="S102" s="1372"/>
      <c r="T102" s="1369"/>
      <c r="U102" s="1369"/>
      <c r="V102" s="1369"/>
      <c r="W102" s="1373"/>
      <c r="X102" s="1374"/>
      <c r="Y102" s="1351"/>
      <c r="Z102" s="1375"/>
      <c r="AA102" s="1376"/>
      <c r="BH102" s="1354"/>
      <c r="BI102" s="1355"/>
      <c r="BJ102" s="1356"/>
      <c r="BK102" s="1378"/>
      <c r="BL102" s="1378"/>
      <c r="BM102" s="1379"/>
    </row>
    <row r="103" spans="1:65" ht="27" customHeight="1" x14ac:dyDescent="0.2">
      <c r="A103" s="1343"/>
      <c r="K103" s="1369"/>
      <c r="L103" s="1249"/>
      <c r="M103" s="1249"/>
      <c r="N103" s="1249"/>
      <c r="O103" s="1370"/>
      <c r="P103" s="1370"/>
      <c r="Q103" s="1369"/>
      <c r="R103" s="1371"/>
      <c r="S103" s="1372"/>
      <c r="T103" s="1369"/>
      <c r="U103" s="1369"/>
      <c r="V103" s="1369"/>
      <c r="W103" s="1373"/>
      <c r="X103" s="1374"/>
      <c r="Y103" s="1351"/>
      <c r="Z103" s="1375"/>
      <c r="AA103" s="1376"/>
      <c r="BH103" s="1354"/>
      <c r="BI103" s="1355"/>
      <c r="BJ103" s="1356"/>
      <c r="BK103" s="1378"/>
      <c r="BL103" s="1378"/>
      <c r="BM103" s="1379"/>
    </row>
    <row r="104" spans="1:65" ht="27" customHeight="1" x14ac:dyDescent="0.2">
      <c r="A104" s="1343"/>
      <c r="K104" s="1369"/>
      <c r="L104" s="1249"/>
      <c r="M104" s="1249"/>
      <c r="N104" s="1249"/>
      <c r="O104" s="1370"/>
      <c r="P104" s="1370"/>
      <c r="Q104" s="1369"/>
      <c r="R104" s="1371"/>
      <c r="S104" s="1372"/>
      <c r="T104" s="1369"/>
      <c r="U104" s="1369"/>
      <c r="V104" s="1369"/>
      <c r="W104" s="1373"/>
      <c r="X104" s="1374"/>
      <c r="Y104" s="1351"/>
      <c r="Z104" s="1375"/>
      <c r="AA104" s="1376"/>
      <c r="BH104" s="1354"/>
      <c r="BI104" s="1355"/>
      <c r="BJ104" s="1356"/>
      <c r="BK104" s="1378"/>
      <c r="BL104" s="1378"/>
      <c r="BM104" s="1379"/>
    </row>
    <row r="105" spans="1:65" ht="27" customHeight="1" x14ac:dyDescent="0.2">
      <c r="A105" s="1343"/>
      <c r="K105" s="1369"/>
      <c r="L105" s="1249"/>
      <c r="M105" s="1249"/>
      <c r="N105" s="1249"/>
      <c r="O105" s="1370"/>
      <c r="P105" s="1370"/>
      <c r="Q105" s="1369"/>
      <c r="R105" s="1371"/>
      <c r="S105" s="1372"/>
      <c r="T105" s="1369"/>
      <c r="U105" s="1369"/>
      <c r="V105" s="1369"/>
      <c r="W105" s="1373"/>
      <c r="X105" s="1374"/>
      <c r="Y105" s="1351"/>
      <c r="Z105" s="1375"/>
      <c r="AA105" s="1376"/>
      <c r="BH105" s="1354"/>
      <c r="BI105" s="1355"/>
      <c r="BJ105" s="1356"/>
      <c r="BK105" s="1378"/>
      <c r="BL105" s="1378"/>
      <c r="BM105" s="1379"/>
    </row>
    <row r="106" spans="1:65" ht="27" customHeight="1" x14ac:dyDescent="0.2">
      <c r="A106" s="1343"/>
      <c r="K106" s="1369"/>
      <c r="L106" s="1249"/>
      <c r="M106" s="1249"/>
      <c r="N106" s="1249"/>
      <c r="O106" s="1370"/>
      <c r="P106" s="1370"/>
      <c r="Q106" s="1369"/>
      <c r="R106" s="1371"/>
      <c r="S106" s="1372"/>
      <c r="T106" s="1369"/>
      <c r="U106" s="1369"/>
      <c r="V106" s="1369"/>
      <c r="W106" s="1373"/>
      <c r="X106" s="1374"/>
      <c r="Y106" s="1351"/>
      <c r="Z106" s="1375"/>
      <c r="AA106" s="1376"/>
      <c r="BH106" s="1354"/>
      <c r="BI106" s="1355"/>
      <c r="BJ106" s="1356"/>
      <c r="BK106" s="1378"/>
      <c r="BL106" s="1378"/>
      <c r="BM106" s="1379"/>
    </row>
    <row r="107" spans="1:65" ht="27" customHeight="1" x14ac:dyDescent="0.2">
      <c r="A107" s="1343"/>
      <c r="K107" s="1369"/>
      <c r="L107" s="1249"/>
      <c r="M107" s="1249"/>
      <c r="N107" s="1249"/>
      <c r="O107" s="1370"/>
      <c r="P107" s="1370"/>
      <c r="Q107" s="1369"/>
      <c r="R107" s="1371"/>
      <c r="S107" s="1372"/>
      <c r="T107" s="1369"/>
      <c r="U107" s="1369"/>
      <c r="V107" s="1369"/>
      <c r="W107" s="1373"/>
      <c r="X107" s="1374"/>
      <c r="Y107" s="1351"/>
      <c r="Z107" s="1375"/>
      <c r="AA107" s="1376"/>
      <c r="BH107" s="1354"/>
      <c r="BI107" s="1355"/>
      <c r="BJ107" s="1356"/>
      <c r="BK107" s="1378"/>
      <c r="BL107" s="1378"/>
      <c r="BM107" s="1379"/>
    </row>
    <row r="108" spans="1:65" ht="27" customHeight="1" x14ac:dyDescent="0.2">
      <c r="A108" s="1343"/>
      <c r="K108" s="1369"/>
      <c r="L108" s="1249"/>
      <c r="M108" s="1249"/>
      <c r="N108" s="1249"/>
      <c r="O108" s="1370"/>
      <c r="P108" s="1370"/>
      <c r="Q108" s="1369"/>
      <c r="R108" s="1371"/>
      <c r="S108" s="1372"/>
      <c r="T108" s="1369"/>
      <c r="U108" s="1369"/>
      <c r="V108" s="1369"/>
      <c r="W108" s="1373"/>
      <c r="X108" s="1374"/>
      <c r="Y108" s="1351"/>
      <c r="Z108" s="1375"/>
      <c r="AA108" s="1376"/>
      <c r="BH108" s="1354"/>
      <c r="BI108" s="1355"/>
      <c r="BJ108" s="1356"/>
      <c r="BK108" s="1378"/>
      <c r="BL108" s="1378"/>
      <c r="BM108" s="1379"/>
    </row>
    <row r="109" spans="1:65" ht="27" customHeight="1" x14ac:dyDescent="0.2">
      <c r="A109" s="1343"/>
      <c r="K109" s="1369"/>
      <c r="L109" s="1249"/>
      <c r="M109" s="1249"/>
      <c r="N109" s="1249"/>
      <c r="O109" s="1370"/>
      <c r="P109" s="1370"/>
      <c r="Q109" s="1369"/>
      <c r="R109" s="1371"/>
      <c r="S109" s="1372"/>
      <c r="T109" s="1369"/>
      <c r="U109" s="1369"/>
      <c r="V109" s="1369"/>
      <c r="W109" s="1373"/>
      <c r="X109" s="1374"/>
      <c r="Y109" s="1351"/>
      <c r="Z109" s="1375"/>
      <c r="AA109" s="1376"/>
      <c r="BH109" s="1354"/>
      <c r="BI109" s="1355"/>
      <c r="BJ109" s="1356"/>
      <c r="BK109" s="1378"/>
      <c r="BL109" s="1378"/>
      <c r="BM109" s="1379"/>
    </row>
    <row r="110" spans="1:65" ht="27" customHeight="1" x14ac:dyDescent="0.2">
      <c r="A110" s="1343"/>
      <c r="K110" s="1369"/>
      <c r="L110" s="1249"/>
      <c r="M110" s="1249"/>
      <c r="N110" s="1249"/>
      <c r="O110" s="1370"/>
      <c r="P110" s="1370"/>
      <c r="Q110" s="1369"/>
      <c r="R110" s="1371"/>
      <c r="S110" s="1372"/>
      <c r="T110" s="1369"/>
      <c r="U110" s="1369"/>
      <c r="V110" s="1369"/>
      <c r="W110" s="1373"/>
      <c r="X110" s="1374"/>
      <c r="Y110" s="1351"/>
      <c r="Z110" s="1375"/>
      <c r="AA110" s="1376"/>
      <c r="BH110" s="1354"/>
      <c r="BI110" s="1355"/>
      <c r="BJ110" s="1356"/>
      <c r="BK110" s="1378"/>
      <c r="BL110" s="1378"/>
      <c r="BM110" s="1379"/>
    </row>
    <row r="111" spans="1:65" ht="27" customHeight="1" x14ac:dyDescent="0.2">
      <c r="A111" s="1343"/>
      <c r="K111" s="1369"/>
      <c r="L111" s="1249"/>
      <c r="M111" s="1249"/>
      <c r="N111" s="1249"/>
      <c r="O111" s="1370"/>
      <c r="P111" s="1370"/>
      <c r="Q111" s="1369"/>
      <c r="R111" s="1371"/>
      <c r="S111" s="1372"/>
      <c r="T111" s="1369"/>
      <c r="U111" s="1369"/>
      <c r="V111" s="1369"/>
      <c r="W111" s="1373"/>
      <c r="X111" s="1374"/>
      <c r="Y111" s="1351"/>
      <c r="Z111" s="1375"/>
      <c r="AA111" s="1376"/>
      <c r="BH111" s="1354"/>
      <c r="BI111" s="1355"/>
      <c r="BJ111" s="1356"/>
      <c r="BK111" s="1378"/>
      <c r="BL111" s="1378"/>
      <c r="BM111" s="1379"/>
    </row>
    <row r="112" spans="1:65" ht="27" customHeight="1" x14ac:dyDescent="0.2">
      <c r="A112" s="1343"/>
      <c r="K112" s="1369"/>
      <c r="L112" s="1249"/>
      <c r="M112" s="1249"/>
      <c r="N112" s="1249"/>
      <c r="O112" s="1370"/>
      <c r="P112" s="1370"/>
      <c r="Q112" s="1369"/>
      <c r="R112" s="1371"/>
      <c r="S112" s="1372"/>
      <c r="T112" s="1369"/>
      <c r="U112" s="1369"/>
      <c r="V112" s="1369"/>
      <c r="W112" s="1373"/>
      <c r="X112" s="1374"/>
      <c r="Y112" s="1351"/>
      <c r="Z112" s="1375"/>
      <c r="AA112" s="1376"/>
      <c r="BH112" s="1354"/>
      <c r="BI112" s="1355"/>
      <c r="BJ112" s="1356"/>
      <c r="BK112" s="1378"/>
      <c r="BL112" s="1378"/>
      <c r="BM112" s="1379"/>
    </row>
    <row r="113" spans="1:65" ht="27" customHeight="1" x14ac:dyDescent="0.2">
      <c r="A113" s="1343"/>
      <c r="K113" s="1369"/>
      <c r="L113" s="1249"/>
      <c r="M113" s="1249"/>
      <c r="N113" s="1249"/>
      <c r="O113" s="1370"/>
      <c r="P113" s="1370"/>
      <c r="Q113" s="1369"/>
      <c r="R113" s="1371"/>
      <c r="S113" s="1372"/>
      <c r="T113" s="1369"/>
      <c r="U113" s="1369"/>
      <c r="V113" s="1369"/>
      <c r="W113" s="1373"/>
      <c r="X113" s="1374"/>
      <c r="Y113" s="1351"/>
      <c r="Z113" s="1375"/>
      <c r="AA113" s="1376"/>
      <c r="BH113" s="1354"/>
      <c r="BI113" s="1355"/>
      <c r="BJ113" s="1356"/>
      <c r="BK113" s="1378"/>
      <c r="BL113" s="1378"/>
      <c r="BM113" s="1379"/>
    </row>
    <row r="114" spans="1:65" ht="27" customHeight="1" x14ac:dyDescent="0.2">
      <c r="A114" s="1343"/>
      <c r="K114" s="1369"/>
      <c r="L114" s="1249"/>
      <c r="M114" s="1249"/>
      <c r="N114" s="1249"/>
      <c r="O114" s="1370"/>
      <c r="P114" s="1370"/>
      <c r="Q114" s="1369"/>
      <c r="R114" s="1371"/>
      <c r="S114" s="1372"/>
      <c r="T114" s="1369"/>
      <c r="U114" s="1369"/>
      <c r="V114" s="1369"/>
      <c r="W114" s="1373"/>
      <c r="X114" s="1374"/>
      <c r="Y114" s="1351"/>
      <c r="Z114" s="1375"/>
      <c r="AA114" s="1376"/>
      <c r="BH114" s="1354"/>
      <c r="BI114" s="1355"/>
      <c r="BJ114" s="1356"/>
      <c r="BK114" s="1378"/>
      <c r="BL114" s="1378"/>
      <c r="BM114" s="1379"/>
    </row>
    <row r="115" spans="1:65" ht="27" customHeight="1" x14ac:dyDescent="0.2">
      <c r="A115" s="1343"/>
      <c r="K115" s="1369"/>
      <c r="L115" s="1249"/>
      <c r="M115" s="1249"/>
      <c r="N115" s="1249"/>
      <c r="O115" s="1370"/>
      <c r="P115" s="1370"/>
      <c r="Q115" s="1369"/>
      <c r="R115" s="1371"/>
      <c r="S115" s="1372"/>
      <c r="T115" s="1369"/>
      <c r="U115" s="1369"/>
      <c r="V115" s="1369"/>
      <c r="W115" s="1373"/>
      <c r="X115" s="1374"/>
      <c r="Y115" s="1351"/>
      <c r="Z115" s="1375"/>
      <c r="AA115" s="1376"/>
      <c r="BH115" s="1354"/>
      <c r="BI115" s="1355"/>
      <c r="BJ115" s="1356"/>
      <c r="BK115" s="1378"/>
      <c r="BL115" s="1378"/>
      <c r="BM115" s="1379"/>
    </row>
    <row r="116" spans="1:65" ht="27" customHeight="1" x14ac:dyDescent="0.2">
      <c r="A116" s="1343"/>
      <c r="K116" s="1369"/>
      <c r="L116" s="1249"/>
      <c r="M116" s="1249"/>
      <c r="N116" s="1249"/>
      <c r="O116" s="1370"/>
      <c r="P116" s="1370"/>
      <c r="Q116" s="1369"/>
      <c r="R116" s="1371"/>
      <c r="S116" s="1372"/>
      <c r="T116" s="1369"/>
      <c r="U116" s="1369"/>
      <c r="V116" s="1369"/>
      <c r="W116" s="1373"/>
      <c r="X116" s="1374"/>
      <c r="Y116" s="1351"/>
      <c r="Z116" s="1375"/>
      <c r="AA116" s="1376"/>
      <c r="BH116" s="1354"/>
      <c r="BI116" s="1355"/>
      <c r="BJ116" s="1356"/>
      <c r="BK116" s="1378"/>
      <c r="BL116" s="1378"/>
      <c r="BM116" s="1379"/>
    </row>
    <row r="117" spans="1:65" ht="27" customHeight="1" x14ac:dyDescent="0.2">
      <c r="A117" s="1343"/>
      <c r="K117" s="1369"/>
      <c r="L117" s="1249"/>
      <c r="M117" s="1249"/>
      <c r="N117" s="1249"/>
      <c r="O117" s="1370"/>
      <c r="P117" s="1370"/>
      <c r="Q117" s="1369"/>
      <c r="R117" s="1371"/>
      <c r="S117" s="1372"/>
      <c r="T117" s="1369"/>
      <c r="U117" s="1369"/>
      <c r="V117" s="1369"/>
      <c r="W117" s="1373"/>
      <c r="X117" s="1374"/>
      <c r="Y117" s="1351"/>
      <c r="Z117" s="1375"/>
      <c r="AA117" s="1376"/>
      <c r="BH117" s="1354"/>
      <c r="BI117" s="1355"/>
      <c r="BJ117" s="1356"/>
      <c r="BK117" s="1378"/>
      <c r="BL117" s="1378"/>
      <c r="BM117" s="1379"/>
    </row>
    <row r="118" spans="1:65" ht="27" customHeight="1" x14ac:dyDescent="0.2">
      <c r="A118" s="1343"/>
      <c r="K118" s="1369"/>
      <c r="L118" s="1249"/>
      <c r="M118" s="1249"/>
      <c r="N118" s="1249"/>
      <c r="O118" s="1370"/>
      <c r="P118" s="1370"/>
      <c r="Q118" s="1369"/>
      <c r="R118" s="1371"/>
      <c r="S118" s="1372"/>
      <c r="T118" s="1369"/>
      <c r="U118" s="1369"/>
      <c r="V118" s="1369"/>
      <c r="W118" s="1373"/>
      <c r="X118" s="1374"/>
      <c r="Y118" s="1351"/>
      <c r="Z118" s="1375"/>
      <c r="AA118" s="1376"/>
      <c r="BH118" s="1354"/>
      <c r="BI118" s="1355"/>
      <c r="BJ118" s="1356"/>
      <c r="BK118" s="1378"/>
      <c r="BL118" s="1378"/>
      <c r="BM118" s="1379"/>
    </row>
    <row r="119" spans="1:65" ht="27" customHeight="1" x14ac:dyDescent="0.2">
      <c r="A119" s="1343"/>
      <c r="K119" s="1369"/>
      <c r="L119" s="1249"/>
      <c r="M119" s="1249"/>
      <c r="N119" s="1249"/>
      <c r="O119" s="1370"/>
      <c r="P119" s="1370"/>
      <c r="Q119" s="1369"/>
      <c r="R119" s="1371"/>
      <c r="S119" s="1372"/>
      <c r="T119" s="1369"/>
      <c r="U119" s="1369"/>
      <c r="V119" s="1369"/>
      <c r="W119" s="1373"/>
      <c r="X119" s="1374"/>
      <c r="Y119" s="1351"/>
      <c r="Z119" s="1375"/>
      <c r="AA119" s="1376"/>
      <c r="BH119" s="1354"/>
      <c r="BI119" s="1355"/>
      <c r="BJ119" s="1356"/>
      <c r="BK119" s="1378"/>
      <c r="BL119" s="1378"/>
      <c r="BM119" s="1379"/>
    </row>
    <row r="120" spans="1:65" ht="27" customHeight="1" x14ac:dyDescent="0.2">
      <c r="A120" s="1343"/>
      <c r="K120" s="1369"/>
      <c r="L120" s="1249"/>
      <c r="M120" s="1249"/>
      <c r="N120" s="1249"/>
      <c r="O120" s="1370"/>
      <c r="P120" s="1370"/>
      <c r="Q120" s="1369"/>
      <c r="R120" s="1371"/>
      <c r="S120" s="1372"/>
      <c r="T120" s="1369"/>
      <c r="U120" s="1369"/>
      <c r="V120" s="1369"/>
      <c r="W120" s="1373"/>
      <c r="X120" s="1374"/>
      <c r="Y120" s="1351"/>
      <c r="Z120" s="1375"/>
      <c r="AA120" s="1376"/>
      <c r="BH120" s="1354"/>
      <c r="BI120" s="1355"/>
      <c r="BJ120" s="1356"/>
      <c r="BK120" s="1378"/>
      <c r="BL120" s="1378"/>
      <c r="BM120" s="1379"/>
    </row>
    <row r="121" spans="1:65" ht="27" customHeight="1" x14ac:dyDescent="0.2">
      <c r="A121" s="1343"/>
      <c r="K121" s="1369"/>
      <c r="L121" s="1249"/>
      <c r="M121" s="1249"/>
      <c r="N121" s="1249"/>
      <c r="O121" s="1370"/>
      <c r="P121" s="1370"/>
      <c r="Q121" s="1369"/>
      <c r="R121" s="1371"/>
      <c r="S121" s="1372"/>
      <c r="T121" s="1369"/>
      <c r="U121" s="1369"/>
      <c r="V121" s="1369"/>
      <c r="W121" s="1373"/>
      <c r="X121" s="1374"/>
      <c r="Y121" s="1351"/>
      <c r="Z121" s="1375"/>
      <c r="AA121" s="1376"/>
      <c r="BH121" s="1354"/>
      <c r="BI121" s="1355"/>
      <c r="BJ121" s="1356"/>
      <c r="BK121" s="1378"/>
      <c r="BL121" s="1378"/>
      <c r="BM121" s="1379"/>
    </row>
    <row r="122" spans="1:65" ht="27" customHeight="1" x14ac:dyDescent="0.2">
      <c r="A122" s="1343"/>
      <c r="K122" s="1369"/>
      <c r="L122" s="1249"/>
      <c r="M122" s="1249"/>
      <c r="N122" s="1249"/>
      <c r="O122" s="1370"/>
      <c r="P122" s="1370"/>
      <c r="Q122" s="1369"/>
      <c r="R122" s="1371"/>
      <c r="S122" s="1372"/>
      <c r="T122" s="1369"/>
      <c r="U122" s="1369"/>
      <c r="V122" s="1369"/>
      <c r="W122" s="1373"/>
      <c r="X122" s="1374"/>
      <c r="Y122" s="1351"/>
      <c r="Z122" s="1375"/>
      <c r="AA122" s="1376"/>
      <c r="BH122" s="1354"/>
      <c r="BI122" s="1355"/>
      <c r="BJ122" s="1356"/>
      <c r="BK122" s="1378"/>
      <c r="BL122" s="1378"/>
      <c r="BM122" s="1379"/>
    </row>
    <row r="123" spans="1:65" ht="27" customHeight="1" x14ac:dyDescent="0.2">
      <c r="A123" s="1343"/>
      <c r="K123" s="1369"/>
      <c r="L123" s="1249"/>
      <c r="M123" s="1249"/>
      <c r="N123" s="1249"/>
      <c r="O123" s="1370"/>
      <c r="P123" s="1370"/>
      <c r="Q123" s="1369"/>
      <c r="R123" s="1371"/>
      <c r="S123" s="1372"/>
      <c r="T123" s="1369"/>
      <c r="U123" s="1369"/>
      <c r="V123" s="1369"/>
      <c r="W123" s="1373"/>
      <c r="X123" s="1374"/>
      <c r="Y123" s="1351"/>
      <c r="Z123" s="1375"/>
      <c r="AA123" s="1376"/>
      <c r="BH123" s="1354"/>
      <c r="BI123" s="1355"/>
      <c r="BJ123" s="1356"/>
      <c r="BK123" s="1378"/>
      <c r="BL123" s="1378"/>
      <c r="BM123" s="1379"/>
    </row>
    <row r="124" spans="1:65" ht="27" customHeight="1" x14ac:dyDescent="0.2">
      <c r="A124" s="1343"/>
      <c r="K124" s="1369"/>
      <c r="L124" s="1249"/>
      <c r="M124" s="1249"/>
      <c r="N124" s="1249"/>
      <c r="O124" s="1370"/>
      <c r="P124" s="1370"/>
      <c r="Q124" s="1369"/>
      <c r="R124" s="1371"/>
      <c r="S124" s="1372"/>
      <c r="T124" s="1369"/>
      <c r="U124" s="1369"/>
      <c r="V124" s="1369"/>
      <c r="W124" s="1373"/>
      <c r="X124" s="1374"/>
      <c r="Y124" s="1351"/>
      <c r="Z124" s="1375"/>
      <c r="AA124" s="1376"/>
      <c r="BH124" s="1354"/>
      <c r="BI124" s="1355"/>
      <c r="BJ124" s="1356"/>
      <c r="BK124" s="1378"/>
      <c r="BL124" s="1378"/>
      <c r="BM124" s="1379"/>
    </row>
    <row r="125" spans="1:65" ht="27" customHeight="1" x14ac:dyDescent="0.2">
      <c r="A125" s="1343"/>
      <c r="K125" s="1369"/>
      <c r="L125" s="1249"/>
      <c r="M125" s="1249"/>
      <c r="N125" s="1249"/>
      <c r="O125" s="1370"/>
      <c r="P125" s="1370"/>
      <c r="Q125" s="1369"/>
      <c r="R125" s="1371"/>
      <c r="S125" s="1372"/>
      <c r="T125" s="1369"/>
      <c r="U125" s="1369"/>
      <c r="V125" s="1369"/>
      <c r="W125" s="1373"/>
      <c r="X125" s="1374"/>
      <c r="Y125" s="1351"/>
      <c r="Z125" s="1375"/>
      <c r="AA125" s="1376"/>
      <c r="BH125" s="1354"/>
      <c r="BI125" s="1355"/>
      <c r="BJ125" s="1356"/>
      <c r="BK125" s="1378"/>
      <c r="BL125" s="1378"/>
      <c r="BM125" s="1379"/>
    </row>
    <row r="126" spans="1:65" ht="27" customHeight="1" x14ac:dyDescent="0.2">
      <c r="A126" s="1343"/>
      <c r="K126" s="1369"/>
      <c r="L126" s="1249"/>
      <c r="M126" s="1249"/>
      <c r="N126" s="1249"/>
      <c r="O126" s="1370"/>
      <c r="P126" s="1370"/>
      <c r="Q126" s="1369"/>
      <c r="R126" s="1371"/>
      <c r="S126" s="1372"/>
      <c r="T126" s="1369"/>
      <c r="U126" s="1369"/>
      <c r="V126" s="1369"/>
      <c r="W126" s="1373"/>
      <c r="X126" s="1374"/>
      <c r="Y126" s="1351"/>
      <c r="Z126" s="1375"/>
      <c r="AA126" s="1376"/>
      <c r="BH126" s="1354"/>
      <c r="BI126" s="1355"/>
      <c r="BJ126" s="1356"/>
      <c r="BK126" s="1378"/>
      <c r="BL126" s="1378"/>
      <c r="BM126" s="1379"/>
    </row>
    <row r="127" spans="1:65" ht="27" customHeight="1" x14ac:dyDescent="0.2">
      <c r="A127" s="1343"/>
      <c r="K127" s="1369"/>
      <c r="L127" s="1249"/>
      <c r="M127" s="1249"/>
      <c r="N127" s="1249"/>
      <c r="O127" s="1370"/>
      <c r="P127" s="1370"/>
      <c r="Q127" s="1369"/>
      <c r="R127" s="1371"/>
      <c r="S127" s="1372"/>
      <c r="T127" s="1369"/>
      <c r="U127" s="1369"/>
      <c r="V127" s="1369"/>
      <c r="W127" s="1373"/>
      <c r="X127" s="1374"/>
      <c r="Y127" s="1351"/>
      <c r="Z127" s="1375"/>
      <c r="AA127" s="1376"/>
      <c r="BH127" s="1354"/>
      <c r="BI127" s="1355"/>
      <c r="BJ127" s="1356"/>
      <c r="BK127" s="1378"/>
      <c r="BL127" s="1378"/>
      <c r="BM127" s="1379"/>
    </row>
    <row r="128" spans="1:65" ht="27" customHeight="1" x14ac:dyDescent="0.2">
      <c r="A128" s="1343"/>
      <c r="K128" s="1369"/>
      <c r="L128" s="1249"/>
      <c r="M128" s="1249"/>
      <c r="N128" s="1249"/>
      <c r="O128" s="1370"/>
      <c r="P128" s="1370"/>
      <c r="Q128" s="1369"/>
      <c r="R128" s="1371"/>
      <c r="S128" s="1372"/>
      <c r="T128" s="1369"/>
      <c r="U128" s="1369"/>
      <c r="V128" s="1369"/>
      <c r="W128" s="1373"/>
      <c r="X128" s="1374"/>
      <c r="Y128" s="1351"/>
      <c r="Z128" s="1375"/>
      <c r="AA128" s="1376"/>
      <c r="BH128" s="1354"/>
      <c r="BI128" s="1355"/>
      <c r="BJ128" s="1356"/>
      <c r="BK128" s="1378"/>
      <c r="BL128" s="1378"/>
      <c r="BM128" s="1379"/>
    </row>
    <row r="129" spans="1:65" ht="27" customHeight="1" x14ac:dyDescent="0.2">
      <c r="A129" s="1343"/>
      <c r="K129" s="1369"/>
      <c r="L129" s="1249"/>
      <c r="M129" s="1249"/>
      <c r="N129" s="1249"/>
      <c r="O129" s="1370"/>
      <c r="P129" s="1370"/>
      <c r="Q129" s="1369"/>
      <c r="R129" s="1371"/>
      <c r="S129" s="1372"/>
      <c r="T129" s="1369"/>
      <c r="U129" s="1369"/>
      <c r="V129" s="1369"/>
      <c r="W129" s="1373"/>
      <c r="X129" s="1374"/>
      <c r="Y129" s="1351"/>
      <c r="Z129" s="1375"/>
      <c r="AA129" s="1376"/>
      <c r="BH129" s="1354"/>
      <c r="BI129" s="1355"/>
      <c r="BJ129" s="1356"/>
      <c r="BK129" s="1378"/>
      <c r="BL129" s="1378"/>
      <c r="BM129" s="1379"/>
    </row>
    <row r="130" spans="1:65" ht="27" customHeight="1" x14ac:dyDescent="0.2">
      <c r="A130" s="1343"/>
      <c r="K130" s="1369"/>
      <c r="L130" s="1249"/>
      <c r="M130" s="1249"/>
      <c r="N130" s="1249"/>
      <c r="O130" s="1370"/>
      <c r="P130" s="1370"/>
      <c r="Q130" s="1369"/>
      <c r="R130" s="1371"/>
      <c r="S130" s="1372"/>
      <c r="T130" s="1369"/>
      <c r="U130" s="1369"/>
      <c r="V130" s="1369"/>
      <c r="W130" s="1373"/>
      <c r="X130" s="1374"/>
      <c r="Y130" s="1351"/>
      <c r="Z130" s="1375"/>
      <c r="AA130" s="1376"/>
      <c r="BH130" s="1354"/>
      <c r="BI130" s="1355"/>
      <c r="BJ130" s="1356"/>
      <c r="BK130" s="1378"/>
      <c r="BL130" s="1378"/>
      <c r="BM130" s="1379"/>
    </row>
    <row r="131" spans="1:65" ht="27" customHeight="1" x14ac:dyDescent="0.2">
      <c r="A131" s="1343"/>
      <c r="K131" s="1369"/>
      <c r="L131" s="1249"/>
      <c r="M131" s="1249"/>
      <c r="N131" s="1249"/>
      <c r="O131" s="1370"/>
      <c r="P131" s="1370"/>
      <c r="Q131" s="1369"/>
      <c r="R131" s="1371"/>
      <c r="S131" s="1372"/>
      <c r="T131" s="1369"/>
      <c r="U131" s="1369"/>
      <c r="V131" s="1369"/>
      <c r="W131" s="1373"/>
      <c r="X131" s="1374"/>
      <c r="Y131" s="1351"/>
      <c r="Z131" s="1375"/>
      <c r="AA131" s="1376"/>
      <c r="BH131" s="1354"/>
      <c r="BI131" s="1355"/>
      <c r="BJ131" s="1356"/>
      <c r="BK131" s="1378"/>
      <c r="BL131" s="1378"/>
      <c r="BM131" s="1379"/>
    </row>
    <row r="132" spans="1:65" ht="27" customHeight="1" x14ac:dyDescent="0.2">
      <c r="A132" s="1343"/>
      <c r="K132" s="1369"/>
      <c r="L132" s="1249"/>
      <c r="M132" s="1249"/>
      <c r="N132" s="1249"/>
      <c r="O132" s="1370"/>
      <c r="P132" s="1370"/>
      <c r="Q132" s="1369"/>
      <c r="R132" s="1371"/>
      <c r="S132" s="1372"/>
      <c r="T132" s="1369"/>
      <c r="U132" s="1369"/>
      <c r="V132" s="1369"/>
      <c r="W132" s="1373"/>
      <c r="X132" s="1374"/>
      <c r="Y132" s="1351"/>
      <c r="Z132" s="1375"/>
      <c r="AA132" s="1376"/>
      <c r="BH132" s="1354"/>
      <c r="BI132" s="1355"/>
      <c r="BJ132" s="1356"/>
      <c r="BK132" s="1378"/>
      <c r="BL132" s="1378"/>
      <c r="BM132" s="1379"/>
    </row>
    <row r="133" spans="1:65" ht="27" customHeight="1" x14ac:dyDescent="0.2">
      <c r="A133" s="1343"/>
      <c r="K133" s="1369"/>
      <c r="L133" s="1249"/>
      <c r="M133" s="1249"/>
      <c r="N133" s="1249"/>
      <c r="O133" s="1370"/>
      <c r="P133" s="1370"/>
      <c r="Q133" s="1369"/>
      <c r="R133" s="1371"/>
      <c r="S133" s="1372"/>
      <c r="T133" s="1369"/>
      <c r="U133" s="1369"/>
      <c r="V133" s="1369"/>
      <c r="W133" s="1373"/>
      <c r="X133" s="1374"/>
      <c r="Y133" s="1351"/>
      <c r="Z133" s="1375"/>
      <c r="AA133" s="1376"/>
      <c r="BH133" s="1354"/>
      <c r="BI133" s="1355"/>
      <c r="BJ133" s="1356"/>
      <c r="BK133" s="1378"/>
      <c r="BL133" s="1378"/>
      <c r="BM133" s="1379"/>
    </row>
    <row r="134" spans="1:65" ht="27" customHeight="1" x14ac:dyDescent="0.2">
      <c r="A134" s="1343"/>
      <c r="K134" s="1369"/>
      <c r="L134" s="1249"/>
      <c r="M134" s="1249"/>
      <c r="N134" s="1249"/>
      <c r="O134" s="1370"/>
      <c r="P134" s="1370"/>
      <c r="Q134" s="1369"/>
      <c r="R134" s="1371"/>
      <c r="S134" s="1372"/>
      <c r="T134" s="1369"/>
      <c r="U134" s="1369"/>
      <c r="V134" s="1369"/>
      <c r="W134" s="1373"/>
      <c r="X134" s="1374"/>
      <c r="Y134" s="1351"/>
      <c r="Z134" s="1375"/>
      <c r="AA134" s="1376"/>
      <c r="BH134" s="1354"/>
      <c r="BI134" s="1355"/>
      <c r="BJ134" s="1356"/>
      <c r="BK134" s="1378"/>
      <c r="BL134" s="1378"/>
      <c r="BM134" s="1379"/>
    </row>
    <row r="135" spans="1:65" ht="27" customHeight="1" x14ac:dyDescent="0.2">
      <c r="A135" s="1343"/>
      <c r="K135" s="1369"/>
      <c r="L135" s="1249"/>
      <c r="M135" s="1249"/>
      <c r="N135" s="1249"/>
      <c r="O135" s="1370"/>
      <c r="P135" s="1370"/>
      <c r="Q135" s="1369"/>
      <c r="R135" s="1371"/>
      <c r="S135" s="1372"/>
      <c r="T135" s="1369"/>
      <c r="U135" s="1369"/>
      <c r="V135" s="1369"/>
      <c r="W135" s="1373"/>
      <c r="X135" s="1374"/>
      <c r="Y135" s="1351"/>
      <c r="Z135" s="1375"/>
      <c r="AA135" s="1376"/>
      <c r="BH135" s="1354"/>
      <c r="BI135" s="1355"/>
      <c r="BJ135" s="1356"/>
      <c r="BK135" s="1378"/>
      <c r="BL135" s="1378"/>
      <c r="BM135" s="1379"/>
    </row>
    <row r="136" spans="1:65" ht="27" customHeight="1" x14ac:dyDescent="0.2">
      <c r="A136" s="1343"/>
      <c r="K136" s="1369"/>
      <c r="L136" s="1249"/>
      <c r="M136" s="1249"/>
      <c r="N136" s="1249"/>
      <c r="O136" s="1370"/>
      <c r="P136" s="1370"/>
      <c r="Q136" s="1369"/>
      <c r="R136" s="1371"/>
      <c r="S136" s="1372"/>
      <c r="T136" s="1369"/>
      <c r="U136" s="1369"/>
      <c r="V136" s="1369"/>
      <c r="W136" s="1373"/>
      <c r="X136" s="1374"/>
      <c r="Y136" s="1351"/>
      <c r="Z136" s="1375"/>
      <c r="AA136" s="1376"/>
      <c r="BH136" s="1354"/>
      <c r="BI136" s="1355"/>
      <c r="BJ136" s="1356"/>
      <c r="BK136" s="1378"/>
      <c r="BL136" s="1378"/>
      <c r="BM136" s="1379"/>
    </row>
    <row r="137" spans="1:65" ht="27" customHeight="1" x14ac:dyDescent="0.2">
      <c r="A137" s="1343"/>
      <c r="K137" s="1369"/>
      <c r="L137" s="1249"/>
      <c r="M137" s="1249"/>
      <c r="N137" s="1249"/>
      <c r="O137" s="1370"/>
      <c r="P137" s="1370"/>
      <c r="Q137" s="1369"/>
      <c r="R137" s="1371"/>
      <c r="S137" s="1372"/>
      <c r="T137" s="1369"/>
      <c r="U137" s="1369"/>
      <c r="V137" s="1369"/>
      <c r="W137" s="1373"/>
      <c r="X137" s="1374"/>
      <c r="Y137" s="1351"/>
      <c r="Z137" s="1375"/>
      <c r="AA137" s="1376"/>
      <c r="BH137" s="1354"/>
      <c r="BI137" s="1355"/>
      <c r="BJ137" s="1356"/>
      <c r="BK137" s="1378"/>
      <c r="BL137" s="1378"/>
      <c r="BM137" s="1379"/>
    </row>
    <row r="138" spans="1:65" ht="27" customHeight="1" x14ac:dyDescent="0.2">
      <c r="A138" s="1343"/>
      <c r="K138" s="1369"/>
      <c r="L138" s="1249"/>
      <c r="M138" s="1249"/>
      <c r="N138" s="1249"/>
      <c r="O138" s="1370"/>
      <c r="P138" s="1370"/>
      <c r="Q138" s="1369"/>
      <c r="R138" s="1371"/>
      <c r="S138" s="1372"/>
      <c r="T138" s="1369"/>
      <c r="U138" s="1369"/>
      <c r="V138" s="1369"/>
      <c r="W138" s="1373"/>
      <c r="X138" s="1374"/>
      <c r="Y138" s="1351"/>
      <c r="Z138" s="1375"/>
      <c r="AA138" s="1376"/>
      <c r="BH138" s="1354"/>
      <c r="BI138" s="1355"/>
      <c r="BJ138" s="1356"/>
      <c r="BK138" s="1378"/>
      <c r="BL138" s="1378"/>
      <c r="BM138" s="1379"/>
    </row>
    <row r="139" spans="1:65" ht="27" customHeight="1" x14ac:dyDescent="0.2">
      <c r="A139" s="1343"/>
      <c r="K139" s="1369"/>
      <c r="L139" s="1249"/>
      <c r="M139" s="1249"/>
      <c r="N139" s="1249"/>
      <c r="O139" s="1370"/>
      <c r="P139" s="1370"/>
      <c r="Q139" s="1369"/>
      <c r="R139" s="1371"/>
      <c r="S139" s="1372"/>
      <c r="T139" s="1369"/>
      <c r="U139" s="1369"/>
      <c r="V139" s="1369"/>
      <c r="W139" s="1373"/>
      <c r="X139" s="1374"/>
      <c r="Y139" s="1351"/>
      <c r="Z139" s="1375"/>
      <c r="AA139" s="1376"/>
      <c r="BH139" s="1354"/>
      <c r="BI139" s="1355"/>
      <c r="BJ139" s="1356"/>
      <c r="BK139" s="1378"/>
      <c r="BL139" s="1378"/>
      <c r="BM139" s="1379"/>
    </row>
    <row r="140" spans="1:65" ht="27" customHeight="1" x14ac:dyDescent="0.2">
      <c r="A140" s="1343"/>
      <c r="K140" s="1369"/>
      <c r="L140" s="1249"/>
      <c r="M140" s="1249"/>
      <c r="N140" s="1249"/>
      <c r="O140" s="1370"/>
      <c r="P140" s="1370"/>
      <c r="Q140" s="1369"/>
      <c r="R140" s="1371"/>
      <c r="S140" s="1372"/>
      <c r="T140" s="1369"/>
      <c r="U140" s="1369"/>
      <c r="V140" s="1369"/>
      <c r="W140" s="1373"/>
      <c r="X140" s="1374"/>
      <c r="Y140" s="1351"/>
      <c r="Z140" s="1375"/>
      <c r="AA140" s="1376"/>
      <c r="BH140" s="1354"/>
      <c r="BI140" s="1355"/>
      <c r="BJ140" s="1356"/>
      <c r="BK140" s="1378"/>
      <c r="BL140" s="1378"/>
      <c r="BM140" s="1379"/>
    </row>
    <row r="141" spans="1:65" ht="27" customHeight="1" x14ac:dyDescent="0.2">
      <c r="A141" s="1343"/>
      <c r="K141" s="1369"/>
      <c r="L141" s="1249"/>
      <c r="M141" s="1249"/>
      <c r="N141" s="1249"/>
      <c r="O141" s="1370"/>
      <c r="P141" s="1370"/>
      <c r="Q141" s="1369"/>
      <c r="R141" s="1371"/>
      <c r="S141" s="1372"/>
      <c r="T141" s="1369"/>
      <c r="U141" s="1369"/>
      <c r="V141" s="1369"/>
      <c r="W141" s="1373"/>
      <c r="X141" s="1374"/>
      <c r="Y141" s="1351"/>
      <c r="Z141" s="1375"/>
      <c r="AA141" s="1376"/>
      <c r="BH141" s="1354"/>
      <c r="BI141" s="1355"/>
      <c r="BJ141" s="1356"/>
      <c r="BK141" s="1378"/>
      <c r="BL141" s="1378"/>
      <c r="BM141" s="1379"/>
    </row>
    <row r="142" spans="1:65" ht="27" customHeight="1" x14ac:dyDescent="0.2">
      <c r="A142" s="1343"/>
      <c r="K142" s="1369"/>
      <c r="L142" s="1249"/>
      <c r="M142" s="1249"/>
      <c r="N142" s="1249"/>
      <c r="O142" s="1370"/>
      <c r="P142" s="1370"/>
      <c r="Q142" s="1369"/>
      <c r="R142" s="1371"/>
      <c r="S142" s="1372"/>
      <c r="T142" s="1369"/>
      <c r="U142" s="1369"/>
      <c r="V142" s="1369"/>
      <c r="W142" s="1373"/>
      <c r="X142" s="1374"/>
      <c r="Y142" s="1351"/>
      <c r="Z142" s="1375"/>
      <c r="AA142" s="1376"/>
      <c r="BH142" s="1354"/>
      <c r="BI142" s="1355"/>
      <c r="BJ142" s="1356"/>
      <c r="BK142" s="1378"/>
      <c r="BL142" s="1378"/>
      <c r="BM142" s="1379"/>
    </row>
    <row r="143" spans="1:65" ht="27" customHeight="1" x14ac:dyDescent="0.2">
      <c r="A143" s="1343"/>
      <c r="K143" s="1369"/>
      <c r="L143" s="1249"/>
      <c r="M143" s="1249"/>
      <c r="N143" s="1249"/>
      <c r="O143" s="1370"/>
      <c r="P143" s="1370"/>
      <c r="Q143" s="1369"/>
      <c r="R143" s="1371"/>
      <c r="S143" s="1372"/>
      <c r="T143" s="1369"/>
      <c r="U143" s="1369"/>
      <c r="V143" s="1369"/>
      <c r="W143" s="1373"/>
      <c r="X143" s="1374"/>
      <c r="Y143" s="1351"/>
      <c r="Z143" s="1375"/>
      <c r="AA143" s="1376"/>
      <c r="BH143" s="1354"/>
      <c r="BI143" s="1355"/>
      <c r="BJ143" s="1356"/>
      <c r="BK143" s="1378"/>
      <c r="BL143" s="1378"/>
      <c r="BM143" s="1379"/>
    </row>
    <row r="144" spans="1:65" ht="27" customHeight="1" x14ac:dyDescent="0.2">
      <c r="A144" s="1343"/>
      <c r="K144" s="1369"/>
      <c r="L144" s="1249"/>
      <c r="M144" s="1249"/>
      <c r="N144" s="1249"/>
      <c r="O144" s="1370"/>
      <c r="P144" s="1370"/>
      <c r="Q144" s="1369"/>
      <c r="R144" s="1371"/>
      <c r="S144" s="1372"/>
      <c r="T144" s="1369"/>
      <c r="U144" s="1369"/>
      <c r="V144" s="1369"/>
      <c r="W144" s="1373"/>
      <c r="X144" s="1374"/>
      <c r="Y144" s="1351"/>
      <c r="Z144" s="1375"/>
      <c r="AA144" s="1376"/>
      <c r="BH144" s="1354"/>
      <c r="BI144" s="1355"/>
      <c r="BJ144" s="1356"/>
      <c r="BK144" s="1378"/>
      <c r="BL144" s="1378"/>
      <c r="BM144" s="1379"/>
    </row>
    <row r="145" spans="1:65" ht="27" customHeight="1" x14ac:dyDescent="0.2">
      <c r="A145" s="1343"/>
      <c r="K145" s="1369"/>
      <c r="L145" s="1249"/>
      <c r="M145" s="1249"/>
      <c r="N145" s="1249"/>
      <c r="O145" s="1370"/>
      <c r="P145" s="1370"/>
      <c r="Q145" s="1369"/>
      <c r="R145" s="1371"/>
      <c r="S145" s="1372"/>
      <c r="T145" s="1369"/>
      <c r="U145" s="1369"/>
      <c r="V145" s="1369"/>
      <c r="W145" s="1373"/>
      <c r="X145" s="1374"/>
      <c r="Y145" s="1351"/>
      <c r="Z145" s="1375"/>
      <c r="AA145" s="1376"/>
      <c r="BH145" s="1354"/>
      <c r="BI145" s="1355"/>
      <c r="BJ145" s="1356"/>
      <c r="BK145" s="1378"/>
      <c r="BL145" s="1378"/>
      <c r="BM145" s="1379"/>
    </row>
    <row r="146" spans="1:65" ht="27" customHeight="1" x14ac:dyDescent="0.2">
      <c r="A146" s="1343"/>
      <c r="K146" s="1369"/>
      <c r="L146" s="1249"/>
      <c r="M146" s="1249"/>
      <c r="N146" s="1249"/>
      <c r="O146" s="1370"/>
      <c r="P146" s="1370"/>
      <c r="Q146" s="1369"/>
      <c r="R146" s="1371"/>
      <c r="S146" s="1372"/>
      <c r="T146" s="1369"/>
      <c r="U146" s="1369"/>
      <c r="V146" s="1369"/>
      <c r="W146" s="1373"/>
      <c r="X146" s="1374"/>
      <c r="Y146" s="1351"/>
      <c r="Z146" s="1375"/>
      <c r="AA146" s="1376"/>
      <c r="BH146" s="1354"/>
      <c r="BI146" s="1355"/>
      <c r="BJ146" s="1356"/>
      <c r="BK146" s="1378"/>
      <c r="BL146" s="1378"/>
      <c r="BM146" s="1379"/>
    </row>
    <row r="147" spans="1:65" ht="27" customHeight="1" x14ac:dyDescent="0.2">
      <c r="A147" s="1343"/>
      <c r="K147" s="1369"/>
      <c r="L147" s="1249"/>
      <c r="M147" s="1249"/>
      <c r="N147" s="1249"/>
      <c r="O147" s="1370"/>
      <c r="P147" s="1370"/>
      <c r="Q147" s="1369"/>
      <c r="R147" s="1371"/>
      <c r="S147" s="1372"/>
      <c r="T147" s="1369"/>
      <c r="U147" s="1369"/>
      <c r="V147" s="1369"/>
      <c r="W147" s="1373"/>
      <c r="X147" s="1374"/>
      <c r="Y147" s="1351"/>
      <c r="Z147" s="1375"/>
      <c r="AA147" s="1376"/>
      <c r="BH147" s="1354"/>
      <c r="BI147" s="1355"/>
      <c r="BJ147" s="1356"/>
      <c r="BK147" s="1378"/>
      <c r="BL147" s="1378"/>
      <c r="BM147" s="1379"/>
    </row>
    <row r="148" spans="1:65" ht="27" customHeight="1" x14ac:dyDescent="0.2">
      <c r="A148" s="1343"/>
      <c r="K148" s="1369"/>
      <c r="L148" s="1249"/>
      <c r="M148" s="1249"/>
      <c r="N148" s="1249"/>
      <c r="O148" s="1370"/>
      <c r="P148" s="1370"/>
      <c r="Q148" s="1369"/>
      <c r="R148" s="1371"/>
      <c r="S148" s="1372"/>
      <c r="T148" s="1369"/>
      <c r="U148" s="1369"/>
      <c r="V148" s="1369"/>
      <c r="W148" s="1373"/>
      <c r="X148" s="1374"/>
      <c r="Y148" s="1351"/>
      <c r="Z148" s="1375"/>
      <c r="AA148" s="1376"/>
      <c r="BH148" s="1354"/>
      <c r="BI148" s="1355"/>
      <c r="BJ148" s="1356"/>
      <c r="BK148" s="1378"/>
      <c r="BL148" s="1378"/>
      <c r="BM148" s="1379"/>
    </row>
    <row r="149" spans="1:65" ht="27" customHeight="1" x14ac:dyDescent="0.2">
      <c r="A149" s="1343"/>
      <c r="K149" s="1369"/>
      <c r="L149" s="1249"/>
      <c r="M149" s="1249"/>
      <c r="N149" s="1249"/>
      <c r="O149" s="1370"/>
      <c r="P149" s="1370"/>
      <c r="Q149" s="1369"/>
      <c r="R149" s="1371"/>
      <c r="S149" s="1372"/>
      <c r="T149" s="1369"/>
      <c r="U149" s="1369"/>
      <c r="V149" s="1369"/>
      <c r="W149" s="1373"/>
      <c r="X149" s="1374"/>
      <c r="Y149" s="1351"/>
      <c r="Z149" s="1375"/>
      <c r="AA149" s="1376"/>
      <c r="BH149" s="1354"/>
      <c r="BI149" s="1355"/>
      <c r="BJ149" s="1356"/>
      <c r="BK149" s="1378"/>
      <c r="BL149" s="1378"/>
      <c r="BM149" s="1379"/>
    </row>
    <row r="150" spans="1:65" ht="27" customHeight="1" x14ac:dyDescent="0.2">
      <c r="A150" s="1343"/>
      <c r="K150" s="1369"/>
      <c r="L150" s="1249"/>
      <c r="M150" s="1249"/>
      <c r="N150" s="1249"/>
      <c r="O150" s="1370"/>
      <c r="P150" s="1370"/>
      <c r="Q150" s="1369"/>
      <c r="R150" s="1371"/>
      <c r="S150" s="1372"/>
      <c r="T150" s="1369"/>
      <c r="U150" s="1369"/>
      <c r="V150" s="1369"/>
      <c r="W150" s="1373"/>
      <c r="X150" s="1374"/>
      <c r="Y150" s="1351"/>
      <c r="Z150" s="1375"/>
      <c r="AA150" s="1376"/>
      <c r="BH150" s="1354"/>
      <c r="BI150" s="1355"/>
      <c r="BJ150" s="1356"/>
      <c r="BK150" s="1378"/>
      <c r="BL150" s="1378"/>
      <c r="BM150" s="1379"/>
    </row>
    <row r="151" spans="1:65" ht="27" customHeight="1" x14ac:dyDescent="0.2">
      <c r="A151" s="1343"/>
      <c r="K151" s="1369"/>
      <c r="L151" s="1249"/>
      <c r="M151" s="1249"/>
      <c r="N151" s="1249"/>
      <c r="O151" s="1370"/>
      <c r="P151" s="1370"/>
      <c r="Q151" s="1369"/>
      <c r="R151" s="1371"/>
      <c r="S151" s="1372"/>
      <c r="T151" s="1369"/>
      <c r="U151" s="1369"/>
      <c r="V151" s="1369"/>
      <c r="W151" s="1373"/>
      <c r="X151" s="1374"/>
      <c r="Y151" s="1351"/>
      <c r="Z151" s="1375"/>
      <c r="AA151" s="1376"/>
      <c r="BH151" s="1354"/>
      <c r="BI151" s="1355"/>
      <c r="BJ151" s="1356"/>
      <c r="BK151" s="1378"/>
      <c r="BL151" s="1378"/>
      <c r="BM151" s="1379"/>
    </row>
    <row r="152" spans="1:65" ht="27" customHeight="1" x14ac:dyDescent="0.2">
      <c r="A152" s="1343"/>
      <c r="K152" s="1369"/>
      <c r="L152" s="1249"/>
      <c r="M152" s="1249"/>
      <c r="N152" s="1249"/>
      <c r="O152" s="1370"/>
      <c r="P152" s="1370"/>
      <c r="Q152" s="1369"/>
      <c r="R152" s="1371"/>
      <c r="S152" s="1372"/>
      <c r="T152" s="1369"/>
      <c r="U152" s="1369"/>
      <c r="V152" s="1369"/>
      <c r="W152" s="1373"/>
      <c r="X152" s="1374"/>
      <c r="Y152" s="1351"/>
      <c r="Z152" s="1375"/>
      <c r="AA152" s="1376"/>
      <c r="BH152" s="1354"/>
      <c r="BI152" s="1355"/>
      <c r="BJ152" s="1356"/>
      <c r="BK152" s="1378"/>
      <c r="BL152" s="1378"/>
      <c r="BM152" s="1379"/>
    </row>
    <row r="153" spans="1:65" ht="27" customHeight="1" x14ac:dyDescent="0.2">
      <c r="A153" s="1343"/>
      <c r="K153" s="1369"/>
      <c r="L153" s="1249"/>
      <c r="M153" s="1249"/>
      <c r="N153" s="1249"/>
      <c r="O153" s="1370"/>
      <c r="P153" s="1370"/>
      <c r="Q153" s="1369"/>
      <c r="R153" s="1371"/>
      <c r="S153" s="1372"/>
      <c r="T153" s="1369"/>
      <c r="U153" s="1369"/>
      <c r="V153" s="1369"/>
      <c r="W153" s="1373"/>
      <c r="X153" s="1374"/>
      <c r="Y153" s="1351"/>
      <c r="Z153" s="1375"/>
      <c r="AA153" s="1376"/>
      <c r="BH153" s="1354"/>
      <c r="BI153" s="1355"/>
      <c r="BJ153" s="1356"/>
      <c r="BK153" s="1378"/>
      <c r="BL153" s="1378"/>
      <c r="BM153" s="1379"/>
    </row>
    <row r="154" spans="1:65" ht="27" customHeight="1" x14ac:dyDescent="0.2">
      <c r="A154" s="1343"/>
      <c r="K154" s="1369"/>
      <c r="L154" s="1249"/>
      <c r="M154" s="1249"/>
      <c r="N154" s="1249"/>
      <c r="O154" s="1370"/>
      <c r="P154" s="1370"/>
      <c r="Q154" s="1369"/>
      <c r="R154" s="1371"/>
      <c r="S154" s="1372"/>
      <c r="T154" s="1369"/>
      <c r="U154" s="1369"/>
      <c r="V154" s="1369"/>
      <c r="W154" s="1373"/>
      <c r="X154" s="1374"/>
      <c r="Y154" s="1351"/>
      <c r="Z154" s="1375"/>
      <c r="AA154" s="1376"/>
      <c r="BH154" s="1354"/>
      <c r="BI154" s="1355"/>
      <c r="BJ154" s="1356"/>
      <c r="BK154" s="1378"/>
      <c r="BL154" s="1378"/>
      <c r="BM154" s="1379"/>
    </row>
    <row r="155" spans="1:65" ht="27" customHeight="1" x14ac:dyDescent="0.2">
      <c r="A155" s="1343"/>
      <c r="K155" s="1369"/>
      <c r="L155" s="1249"/>
      <c r="M155" s="1249"/>
      <c r="N155" s="1249"/>
      <c r="O155" s="1370"/>
      <c r="P155" s="1370"/>
      <c r="Q155" s="1369"/>
      <c r="R155" s="1371"/>
      <c r="S155" s="1372"/>
      <c r="T155" s="1369"/>
      <c r="U155" s="1369"/>
      <c r="V155" s="1369"/>
      <c r="W155" s="1373"/>
      <c r="X155" s="1374"/>
      <c r="Y155" s="1351"/>
      <c r="Z155" s="1375"/>
      <c r="AA155" s="1376"/>
      <c r="BH155" s="1354"/>
      <c r="BI155" s="1355"/>
      <c r="BJ155" s="1356"/>
      <c r="BK155" s="1378"/>
      <c r="BL155" s="1378"/>
      <c r="BM155" s="1379"/>
    </row>
    <row r="156" spans="1:65" ht="27" customHeight="1" x14ac:dyDescent="0.2">
      <c r="A156" s="1343"/>
      <c r="K156" s="1369"/>
      <c r="L156" s="1249"/>
      <c r="M156" s="1249"/>
      <c r="N156" s="1249"/>
      <c r="O156" s="1370"/>
      <c r="P156" s="1370"/>
      <c r="Q156" s="1369"/>
      <c r="R156" s="1371"/>
      <c r="S156" s="1372"/>
      <c r="T156" s="1369"/>
      <c r="U156" s="1369"/>
      <c r="V156" s="1369"/>
      <c r="W156" s="1373"/>
      <c r="X156" s="1374"/>
      <c r="Y156" s="1351"/>
      <c r="Z156" s="1375"/>
      <c r="AA156" s="1376"/>
      <c r="BH156" s="1354"/>
      <c r="BI156" s="1355"/>
      <c r="BJ156" s="1356"/>
      <c r="BK156" s="1378"/>
      <c r="BL156" s="1378"/>
      <c r="BM156" s="1379"/>
    </row>
    <row r="157" spans="1:65" ht="27" customHeight="1" x14ac:dyDescent="0.2">
      <c r="A157" s="1343"/>
      <c r="K157" s="1369"/>
      <c r="L157" s="1249"/>
      <c r="M157" s="1249"/>
      <c r="N157" s="1249"/>
      <c r="O157" s="1370"/>
      <c r="P157" s="1370"/>
      <c r="Q157" s="1369"/>
      <c r="R157" s="1371"/>
      <c r="S157" s="1372"/>
      <c r="T157" s="1369"/>
      <c r="U157" s="1369"/>
      <c r="V157" s="1369"/>
      <c r="W157" s="1373"/>
      <c r="X157" s="1374"/>
      <c r="Y157" s="1351"/>
      <c r="Z157" s="1375"/>
      <c r="AA157" s="1376"/>
      <c r="BH157" s="1354"/>
      <c r="BI157" s="1355"/>
      <c r="BJ157" s="1356"/>
      <c r="BK157" s="1378"/>
      <c r="BL157" s="1378"/>
      <c r="BM157" s="1379"/>
    </row>
    <row r="158" spans="1:65" ht="27" customHeight="1" x14ac:dyDescent="0.2">
      <c r="A158" s="1343"/>
      <c r="K158" s="1369"/>
      <c r="L158" s="1249"/>
      <c r="M158" s="1249"/>
      <c r="N158" s="1249"/>
      <c r="O158" s="1370"/>
      <c r="P158" s="1370"/>
      <c r="Q158" s="1369"/>
      <c r="R158" s="1371"/>
      <c r="S158" s="1372"/>
      <c r="T158" s="1369"/>
      <c r="U158" s="1369"/>
      <c r="V158" s="1369"/>
      <c r="W158" s="1373"/>
      <c r="X158" s="1374"/>
      <c r="Y158" s="1351"/>
      <c r="Z158" s="1375"/>
      <c r="AA158" s="1376"/>
      <c r="BH158" s="1354"/>
      <c r="BI158" s="1355"/>
      <c r="BJ158" s="1356"/>
      <c r="BK158" s="1378"/>
      <c r="BL158" s="1378"/>
      <c r="BM158" s="1379"/>
    </row>
    <row r="159" spans="1:65" ht="27" customHeight="1" x14ac:dyDescent="0.2">
      <c r="A159" s="1343"/>
      <c r="K159" s="1369"/>
      <c r="L159" s="1249"/>
      <c r="M159" s="1249"/>
      <c r="N159" s="1249"/>
      <c r="O159" s="1370"/>
      <c r="P159" s="1370"/>
      <c r="Q159" s="1369"/>
      <c r="R159" s="1371"/>
      <c r="S159" s="1372"/>
      <c r="T159" s="1369"/>
      <c r="U159" s="1369"/>
      <c r="V159" s="1369"/>
      <c r="W159" s="1373"/>
      <c r="X159" s="1374"/>
      <c r="Y159" s="1351"/>
      <c r="Z159" s="1375"/>
      <c r="AA159" s="1376"/>
      <c r="BH159" s="1354"/>
      <c r="BI159" s="1355"/>
      <c r="BJ159" s="1356"/>
      <c r="BK159" s="1378"/>
      <c r="BL159" s="1378"/>
      <c r="BM159" s="1379"/>
    </row>
  </sheetData>
  <sheetProtection algorithmName="SHA-512" hashValue="RaxgcQKDYZnGZqOwBD2prVo9Ye0S56IqHdqRDMEKOi6wiFf2gj8BxV/W48ndPUcxQnnIC0n3LTdR00/Esvt1BQ==" saltValue="pUUjjS/KCFShStuqbF890g==" spinCount="100000" sheet="1" objects="1" scenarios="1"/>
  <mergeCells count="422">
    <mergeCell ref="E55:F55"/>
    <mergeCell ref="K60:L60"/>
    <mergeCell ref="K61:L61"/>
    <mergeCell ref="J52:J54"/>
    <mergeCell ref="K52:K54"/>
    <mergeCell ref="M52:M54"/>
    <mergeCell ref="N52:N54"/>
    <mergeCell ref="R52:R54"/>
    <mergeCell ref="U52:U54"/>
    <mergeCell ref="BN49:BN54"/>
    <mergeCell ref="BO49:BO54"/>
    <mergeCell ref="BP49:BP54"/>
    <mergeCell ref="BQ49:BQ54"/>
    <mergeCell ref="BR49:BR54"/>
    <mergeCell ref="V50:V51"/>
    <mergeCell ref="W50:W51"/>
    <mergeCell ref="BH49:BH54"/>
    <mergeCell ref="BI49:BI54"/>
    <mergeCell ref="BJ49:BJ54"/>
    <mergeCell ref="BK49:BK54"/>
    <mergeCell ref="BL49:BL54"/>
    <mergeCell ref="BM49:BM54"/>
    <mergeCell ref="AP49:AP54"/>
    <mergeCell ref="AR49:AR54"/>
    <mergeCell ref="AT49:AT54"/>
    <mergeCell ref="AV49:AV54"/>
    <mergeCell ref="AX49:AX54"/>
    <mergeCell ref="BF49:BF54"/>
    <mergeCell ref="AD49:AD54"/>
    <mergeCell ref="AF49:AF54"/>
    <mergeCell ref="AH49:AH54"/>
    <mergeCell ref="AJ49:AJ54"/>
    <mergeCell ref="AL49:AL54"/>
    <mergeCell ref="AN49:AN54"/>
    <mergeCell ref="Q49:Q54"/>
    <mergeCell ref="R49:R51"/>
    <mergeCell ref="S49:S54"/>
    <mergeCell ref="T49:T54"/>
    <mergeCell ref="U49:U51"/>
    <mergeCell ref="AB49:AB54"/>
    <mergeCell ref="K49:K51"/>
    <mergeCell ref="L49:L54"/>
    <mergeCell ref="M49:M51"/>
    <mergeCell ref="N49:N51"/>
    <mergeCell ref="O49:O54"/>
    <mergeCell ref="P49:P54"/>
    <mergeCell ref="BR42:BR47"/>
    <mergeCell ref="U46:U47"/>
    <mergeCell ref="V46:V47"/>
    <mergeCell ref="W46:W47"/>
    <mergeCell ref="X46:X47"/>
    <mergeCell ref="Y46:Y47"/>
    <mergeCell ref="Z46:Z47"/>
    <mergeCell ref="AA46:AA47"/>
    <mergeCell ref="BL42:BL47"/>
    <mergeCell ref="BM42:BM47"/>
    <mergeCell ref="BN42:BN47"/>
    <mergeCell ref="BO42:BO47"/>
    <mergeCell ref="BP42:BP47"/>
    <mergeCell ref="BQ42:BQ47"/>
    <mergeCell ref="BF42:BF47"/>
    <mergeCell ref="BG42:BG47"/>
    <mergeCell ref="BH42:BH47"/>
    <mergeCell ref="BI42:BI47"/>
    <mergeCell ref="BJ42:BJ47"/>
    <mergeCell ref="BK42:BK47"/>
    <mergeCell ref="AO42:AO47"/>
    <mergeCell ref="AP42:AP47"/>
    <mergeCell ref="AR42:AR47"/>
    <mergeCell ref="AT42:AT47"/>
    <mergeCell ref="AV42:AV47"/>
    <mergeCell ref="BC42:BC47"/>
    <mergeCell ref="AH42:AH47"/>
    <mergeCell ref="AI42:AI47"/>
    <mergeCell ref="AJ42:AJ47"/>
    <mergeCell ref="AK42:AK47"/>
    <mergeCell ref="AL42:AL47"/>
    <mergeCell ref="AN42:AN47"/>
    <mergeCell ref="Y42:Y43"/>
    <mergeCell ref="AB42:AB47"/>
    <mergeCell ref="AC42:AC47"/>
    <mergeCell ref="AD42:AD47"/>
    <mergeCell ref="AE42:AE47"/>
    <mergeCell ref="AF42:AF47"/>
    <mergeCell ref="S42:S47"/>
    <mergeCell ref="T42:T47"/>
    <mergeCell ref="U42:U45"/>
    <mergeCell ref="V42:V43"/>
    <mergeCell ref="W42:W43"/>
    <mergeCell ref="X42:X43"/>
    <mergeCell ref="M42:M47"/>
    <mergeCell ref="N42:N47"/>
    <mergeCell ref="O42:O47"/>
    <mergeCell ref="P42:P47"/>
    <mergeCell ref="Q42:Q47"/>
    <mergeCell ref="R42:R47"/>
    <mergeCell ref="E40:K40"/>
    <mergeCell ref="H41:L41"/>
    <mergeCell ref="E42:F54"/>
    <mergeCell ref="H42:I47"/>
    <mergeCell ref="J42:J47"/>
    <mergeCell ref="K42:K47"/>
    <mergeCell ref="L42:L47"/>
    <mergeCell ref="H48:L48"/>
    <mergeCell ref="H49:I54"/>
    <mergeCell ref="J49:J51"/>
    <mergeCell ref="BP32:BP39"/>
    <mergeCell ref="BQ32:BQ39"/>
    <mergeCell ref="BR32:BR39"/>
    <mergeCell ref="V35:V36"/>
    <mergeCell ref="W35:W36"/>
    <mergeCell ref="U37:U39"/>
    <mergeCell ref="V37:V38"/>
    <mergeCell ref="W37:W38"/>
    <mergeCell ref="X37:X38"/>
    <mergeCell ref="Y37:Y38"/>
    <mergeCell ref="BJ32:BJ39"/>
    <mergeCell ref="BK32:BK39"/>
    <mergeCell ref="BL32:BL39"/>
    <mergeCell ref="BM32:BM39"/>
    <mergeCell ref="BN32:BN39"/>
    <mergeCell ref="BO32:BO39"/>
    <mergeCell ref="BD32:BD39"/>
    <mergeCell ref="BE32:BE39"/>
    <mergeCell ref="BF32:BF39"/>
    <mergeCell ref="BG32:BG39"/>
    <mergeCell ref="BH32:BH39"/>
    <mergeCell ref="BI32:BI39"/>
    <mergeCell ref="AX32:AX39"/>
    <mergeCell ref="AY32:AY39"/>
    <mergeCell ref="AZ32:AZ39"/>
    <mergeCell ref="BA32:BA39"/>
    <mergeCell ref="BB32:BB39"/>
    <mergeCell ref="BC32:BC39"/>
    <mergeCell ref="AR32:AR39"/>
    <mergeCell ref="AS32:AS39"/>
    <mergeCell ref="AT32:AT39"/>
    <mergeCell ref="AU32:AU39"/>
    <mergeCell ref="AV32:AV39"/>
    <mergeCell ref="AW32:AW39"/>
    <mergeCell ref="AL32:AL39"/>
    <mergeCell ref="AM32:AM39"/>
    <mergeCell ref="AN32:AN39"/>
    <mergeCell ref="AO32:AO39"/>
    <mergeCell ref="AP32:AP39"/>
    <mergeCell ref="AQ32:AQ39"/>
    <mergeCell ref="AF32:AF39"/>
    <mergeCell ref="AG32:AG39"/>
    <mergeCell ref="AH32:AH39"/>
    <mergeCell ref="AI32:AI39"/>
    <mergeCell ref="AJ32:AJ39"/>
    <mergeCell ref="AK32:AK39"/>
    <mergeCell ref="T32:T39"/>
    <mergeCell ref="U32:U36"/>
    <mergeCell ref="AB32:AB39"/>
    <mergeCell ref="AC32:AC39"/>
    <mergeCell ref="AD32:AD39"/>
    <mergeCell ref="AE32:AE39"/>
    <mergeCell ref="N32:N39"/>
    <mergeCell ref="O32:O39"/>
    <mergeCell ref="P32:P39"/>
    <mergeCell ref="Q32:Q39"/>
    <mergeCell ref="R32:R39"/>
    <mergeCell ref="S32:S39"/>
    <mergeCell ref="H31:K31"/>
    <mergeCell ref="H32:I39"/>
    <mergeCell ref="J32:J39"/>
    <mergeCell ref="K32:K39"/>
    <mergeCell ref="L32:L39"/>
    <mergeCell ref="M32:M39"/>
    <mergeCell ref="BM28:BM30"/>
    <mergeCell ref="BN28:BN30"/>
    <mergeCell ref="BO28:BO30"/>
    <mergeCell ref="BA28:BA30"/>
    <mergeCell ref="BB28:BB30"/>
    <mergeCell ref="BC28:BC30"/>
    <mergeCell ref="BD28:BD30"/>
    <mergeCell ref="BE28:BE30"/>
    <mergeCell ref="BF28:BF30"/>
    <mergeCell ref="AU28:AU30"/>
    <mergeCell ref="AV28:AV30"/>
    <mergeCell ref="AW28:AW30"/>
    <mergeCell ref="AX28:AX30"/>
    <mergeCell ref="AY28:AY30"/>
    <mergeCell ref="AZ28:AZ30"/>
    <mergeCell ref="AO28:AO30"/>
    <mergeCell ref="AP28:AP30"/>
    <mergeCell ref="AQ28:AQ30"/>
    <mergeCell ref="BP28:BP30"/>
    <mergeCell ref="BQ28:BQ30"/>
    <mergeCell ref="BR28:BR30"/>
    <mergeCell ref="BG28:BG30"/>
    <mergeCell ref="BH28:BH30"/>
    <mergeCell ref="BI28:BI30"/>
    <mergeCell ref="BJ28:BJ30"/>
    <mergeCell ref="BK28:BK30"/>
    <mergeCell ref="BL28:BL30"/>
    <mergeCell ref="AR28:AR30"/>
    <mergeCell ref="AS28:AS30"/>
    <mergeCell ref="AT28:AT30"/>
    <mergeCell ref="AI28:AI30"/>
    <mergeCell ref="AJ28:AJ30"/>
    <mergeCell ref="AK28:AK30"/>
    <mergeCell ref="AL28:AL30"/>
    <mergeCell ref="AM28:AM30"/>
    <mergeCell ref="AN28:AN30"/>
    <mergeCell ref="AC28:AC30"/>
    <mergeCell ref="AD28:AD30"/>
    <mergeCell ref="AE28:AE30"/>
    <mergeCell ref="AF28:AF30"/>
    <mergeCell ref="AG28:AG30"/>
    <mergeCell ref="AH28:AH30"/>
    <mergeCell ref="U28:U30"/>
    <mergeCell ref="V28:V29"/>
    <mergeCell ref="W28:W29"/>
    <mergeCell ref="X28:X29"/>
    <mergeCell ref="Y28:Y29"/>
    <mergeCell ref="AB28:AB30"/>
    <mergeCell ref="Z29:Z30"/>
    <mergeCell ref="AA29:AA30"/>
    <mergeCell ref="O28:O30"/>
    <mergeCell ref="P28:P30"/>
    <mergeCell ref="Q28:Q30"/>
    <mergeCell ref="R28:R30"/>
    <mergeCell ref="S28:S30"/>
    <mergeCell ref="T28:T30"/>
    <mergeCell ref="R23:R26"/>
    <mergeCell ref="U23:U26"/>
    <mergeCell ref="V25:V26"/>
    <mergeCell ref="O23:O26"/>
    <mergeCell ref="H27:K27"/>
    <mergeCell ref="H28:I30"/>
    <mergeCell ref="J28:J30"/>
    <mergeCell ref="K28:K30"/>
    <mergeCell ref="L28:L30"/>
    <mergeCell ref="M28:M30"/>
    <mergeCell ref="N28:N30"/>
    <mergeCell ref="J23:J26"/>
    <mergeCell ref="K23:K26"/>
    <mergeCell ref="L23:L26"/>
    <mergeCell ref="M23:M26"/>
    <mergeCell ref="N23:N26"/>
    <mergeCell ref="N19:N22"/>
    <mergeCell ref="O19:O22"/>
    <mergeCell ref="R19:R22"/>
    <mergeCell ref="U19:U22"/>
    <mergeCell ref="V21:V22"/>
    <mergeCell ref="W21:W22"/>
    <mergeCell ref="BO15:BO26"/>
    <mergeCell ref="BP15:BP26"/>
    <mergeCell ref="BQ15:BQ26"/>
    <mergeCell ref="BB15:BB26"/>
    <mergeCell ref="AQ15:AQ26"/>
    <mergeCell ref="AR15:AR26"/>
    <mergeCell ref="AS15:AS26"/>
    <mergeCell ref="AT15:AT26"/>
    <mergeCell ref="AU15:AU26"/>
    <mergeCell ref="AV15:AV26"/>
    <mergeCell ref="AK15:AK26"/>
    <mergeCell ref="AL15:AL26"/>
    <mergeCell ref="AM15:AM26"/>
    <mergeCell ref="AN15:AN26"/>
    <mergeCell ref="AO15:AO26"/>
    <mergeCell ref="AP15:AP26"/>
    <mergeCell ref="AE15:AE26"/>
    <mergeCell ref="AF15:AF26"/>
    <mergeCell ref="BR15:BR26"/>
    <mergeCell ref="V16:V17"/>
    <mergeCell ref="W16:W17"/>
    <mergeCell ref="X16:X17"/>
    <mergeCell ref="Y16:Y17"/>
    <mergeCell ref="Z16:Z17"/>
    <mergeCell ref="AA16:AA17"/>
    <mergeCell ref="BI15:BI26"/>
    <mergeCell ref="BJ15:BJ26"/>
    <mergeCell ref="BK15:BK26"/>
    <mergeCell ref="BL15:BL26"/>
    <mergeCell ref="BM15:BM26"/>
    <mergeCell ref="BN15:BN26"/>
    <mergeCell ref="BC15:BC26"/>
    <mergeCell ref="BD15:BD26"/>
    <mergeCell ref="BE15:BE26"/>
    <mergeCell ref="BF15:BF26"/>
    <mergeCell ref="BG15:BG26"/>
    <mergeCell ref="BH15:BH26"/>
    <mergeCell ref="AW15:AW26"/>
    <mergeCell ref="AX15:AX26"/>
    <mergeCell ref="AY15:AY26"/>
    <mergeCell ref="AZ15:AZ26"/>
    <mergeCell ref="BA15:BA26"/>
    <mergeCell ref="AG15:AG26"/>
    <mergeCell ref="AH15:AH26"/>
    <mergeCell ref="AI15:AI26"/>
    <mergeCell ref="AJ15:AJ26"/>
    <mergeCell ref="S15:S26"/>
    <mergeCell ref="T15:T26"/>
    <mergeCell ref="U15:U18"/>
    <mergeCell ref="AB15:AB26"/>
    <mergeCell ref="AC15:AC26"/>
    <mergeCell ref="AD15:AD26"/>
    <mergeCell ref="X21:X22"/>
    <mergeCell ref="Y21:Y22"/>
    <mergeCell ref="Z21:Z22"/>
    <mergeCell ref="AA21:AA22"/>
    <mergeCell ref="BR12:BR14"/>
    <mergeCell ref="J15:J18"/>
    <mergeCell ref="K15:K18"/>
    <mergeCell ref="L15:L18"/>
    <mergeCell ref="M15:M18"/>
    <mergeCell ref="N15:N18"/>
    <mergeCell ref="O15:O18"/>
    <mergeCell ref="P15:P26"/>
    <mergeCell ref="Q15:Q26"/>
    <mergeCell ref="R15:R18"/>
    <mergeCell ref="BI12:BI14"/>
    <mergeCell ref="BJ12:BJ14"/>
    <mergeCell ref="BL12:BL13"/>
    <mergeCell ref="BM12:BM14"/>
    <mergeCell ref="BN12:BN14"/>
    <mergeCell ref="BP12:BP14"/>
    <mergeCell ref="AX12:AX14"/>
    <mergeCell ref="AZ12:AZ14"/>
    <mergeCell ref="BB12:BB14"/>
    <mergeCell ref="BD12:BD14"/>
    <mergeCell ref="BF12:BF14"/>
    <mergeCell ref="BH12:BH14"/>
    <mergeCell ref="AL12:AL14"/>
    <mergeCell ref="AN12:AN14"/>
    <mergeCell ref="AP12:AP14"/>
    <mergeCell ref="AR12:AR14"/>
    <mergeCell ref="AT12:AT14"/>
    <mergeCell ref="AV12:AV14"/>
    <mergeCell ref="AA12:AA13"/>
    <mergeCell ref="AB12:AB14"/>
    <mergeCell ref="AD12:AD14"/>
    <mergeCell ref="AF12:AF14"/>
    <mergeCell ref="AH12:AH14"/>
    <mergeCell ref="AJ12:AJ14"/>
    <mergeCell ref="U12:U14"/>
    <mergeCell ref="V12:V13"/>
    <mergeCell ref="W12:W13"/>
    <mergeCell ref="X12:X13"/>
    <mergeCell ref="Y12:Y13"/>
    <mergeCell ref="Z12:Z13"/>
    <mergeCell ref="O12:O14"/>
    <mergeCell ref="P12:P14"/>
    <mergeCell ref="Q12:Q14"/>
    <mergeCell ref="R12:R14"/>
    <mergeCell ref="S12:S14"/>
    <mergeCell ref="T12:T14"/>
    <mergeCell ref="G12:G26"/>
    <mergeCell ref="H12:I26"/>
    <mergeCell ref="J12:J14"/>
    <mergeCell ref="K12:K14"/>
    <mergeCell ref="L12:L14"/>
    <mergeCell ref="M12:M14"/>
    <mergeCell ref="J19:J22"/>
    <mergeCell ref="K19:K22"/>
    <mergeCell ref="L19:L22"/>
    <mergeCell ref="M19:M22"/>
    <mergeCell ref="H11:K11"/>
    <mergeCell ref="BH11:BM11"/>
    <mergeCell ref="BN11:BR11"/>
    <mergeCell ref="BB8:BC8"/>
    <mergeCell ref="BD8:BE8"/>
    <mergeCell ref="BH8:BH9"/>
    <mergeCell ref="BI8:BI9"/>
    <mergeCell ref="BJ8:BJ9"/>
    <mergeCell ref="BK8:BK9"/>
    <mergeCell ref="BR7:BR9"/>
    <mergeCell ref="AB8:AC8"/>
    <mergeCell ref="AD8:AE8"/>
    <mergeCell ref="AF8:AG8"/>
    <mergeCell ref="AH8:AI8"/>
    <mergeCell ref="AJ8:AK8"/>
    <mergeCell ref="AL8:AM8"/>
    <mergeCell ref="AN8:AO8"/>
    <mergeCell ref="AP8:AQ8"/>
    <mergeCell ref="AR8:AS8"/>
    <mergeCell ref="BP7:BQ8"/>
    <mergeCell ref="AT8:AU8"/>
    <mergeCell ref="AV8:AW8"/>
    <mergeCell ref="AX8:AY8"/>
    <mergeCell ref="AZ8:BA8"/>
    <mergeCell ref="E10:K10"/>
    <mergeCell ref="BH10:BM10"/>
    <mergeCell ref="BN10:BR10"/>
    <mergeCell ref="R7:R9"/>
    <mergeCell ref="S7:S9"/>
    <mergeCell ref="T7:T9"/>
    <mergeCell ref="U7:U9"/>
    <mergeCell ref="AN7:AY7"/>
    <mergeCell ref="AZ7:BE7"/>
    <mergeCell ref="BF7:BG8"/>
    <mergeCell ref="BH7:BM7"/>
    <mergeCell ref="BN7:BO8"/>
    <mergeCell ref="H7:I9"/>
    <mergeCell ref="J7:J9"/>
    <mergeCell ref="K7:K9"/>
    <mergeCell ref="L7:L9"/>
    <mergeCell ref="M7:N8"/>
    <mergeCell ref="O7:O9"/>
    <mergeCell ref="A1:BP4"/>
    <mergeCell ref="A5:N6"/>
    <mergeCell ref="Q5:BR5"/>
    <mergeCell ref="Q6:AA6"/>
    <mergeCell ref="BN6:BR6"/>
    <mergeCell ref="A7:A9"/>
    <mergeCell ref="B7:C9"/>
    <mergeCell ref="D7:D9"/>
    <mergeCell ref="E7:F9"/>
    <mergeCell ref="G7:G9"/>
    <mergeCell ref="V7:V9"/>
    <mergeCell ref="W7:Y8"/>
    <mergeCell ref="Z7:Z9"/>
    <mergeCell ref="AA7:AA9"/>
    <mergeCell ref="AB7:AE7"/>
    <mergeCell ref="AF7:AM7"/>
    <mergeCell ref="P7:P9"/>
    <mergeCell ref="Q7:Q9"/>
    <mergeCell ref="BL8:BL9"/>
    <mergeCell ref="BM8:BM9"/>
  </mergeCells>
  <pageMargins left="0.7" right="0.7" top="0.75" bottom="0.75" header="0.3" footer="0.3"/>
  <pageSetup paperSize="9" orientation="portrait" horizontalDpi="4294967293"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O43"/>
  <sheetViews>
    <sheetView showGridLines="0" zoomScale="60" zoomScaleNormal="60" workbookViewId="0">
      <selection activeCell="K16" sqref="K16"/>
    </sheetView>
  </sheetViews>
  <sheetFormatPr baseColWidth="10" defaultColWidth="11.42578125" defaultRowHeight="14.25" x14ac:dyDescent="0.2"/>
  <cols>
    <col min="1" max="1" width="15.85546875" style="458" customWidth="1"/>
    <col min="2" max="2" width="8.42578125" style="458" customWidth="1"/>
    <col min="3" max="3" width="16.85546875" style="458" customWidth="1"/>
    <col min="4" max="4" width="14.140625" style="458" customWidth="1"/>
    <col min="5" max="5" width="26.42578125" style="458" customWidth="1"/>
    <col min="6" max="6" width="13.5703125" style="458" customWidth="1"/>
    <col min="7" max="7" width="20" style="458" customWidth="1"/>
    <col min="8" max="8" width="15.140625" style="458" customWidth="1"/>
    <col min="9" max="9" width="18.28515625" style="458" customWidth="1"/>
    <col min="10" max="10" width="42.28515625" style="458" customWidth="1"/>
    <col min="11" max="11" width="28.85546875" style="458" customWidth="1"/>
    <col min="12" max="12" width="35" style="458" customWidth="1"/>
    <col min="13" max="13" width="20.5703125" style="458" customWidth="1"/>
    <col min="14" max="14" width="27" style="458" customWidth="1"/>
    <col min="15" max="15" width="17" style="458" customWidth="1"/>
    <col min="16" max="16" width="24.28515625" style="458" customWidth="1"/>
    <col min="17" max="17" width="33.42578125" style="458" customWidth="1"/>
    <col min="18" max="18" width="30" style="458" customWidth="1"/>
    <col min="19" max="19" width="33.140625" style="458" customWidth="1"/>
    <col min="20" max="22" width="23.85546875" style="458" customWidth="1"/>
    <col min="23" max="23" width="10.7109375" style="458" customWidth="1"/>
    <col min="24" max="24" width="19.85546875" style="458" customWidth="1"/>
    <col min="25" max="56" width="9.42578125" style="458" customWidth="1"/>
    <col min="57" max="62" width="25.28515625" style="458" customWidth="1"/>
    <col min="63" max="66" width="14.42578125" style="458" customWidth="1"/>
    <col min="67" max="67" width="23" style="458" customWidth="1"/>
    <col min="68" max="80" width="14.85546875" style="458" customWidth="1"/>
    <col min="81" max="16384" width="11.42578125" style="458"/>
  </cols>
  <sheetData>
    <row r="1" spans="1:67" ht="24.75" customHeight="1" x14ac:dyDescent="0.25">
      <c r="A1" s="3267" t="s">
        <v>2120</v>
      </c>
      <c r="B1" s="3267"/>
      <c r="C1" s="3267"/>
      <c r="D1" s="3267"/>
      <c r="E1" s="3267"/>
      <c r="F1" s="3267"/>
      <c r="G1" s="3267"/>
      <c r="H1" s="3267"/>
      <c r="I1" s="3267"/>
      <c r="J1" s="3267"/>
      <c r="K1" s="3267"/>
      <c r="L1" s="3267"/>
      <c r="M1" s="3267"/>
      <c r="N1" s="3267"/>
      <c r="O1" s="3267"/>
      <c r="P1" s="3267"/>
      <c r="Q1" s="3267"/>
      <c r="R1" s="3267"/>
      <c r="S1" s="3267"/>
      <c r="T1" s="3267"/>
      <c r="U1" s="3267"/>
      <c r="V1" s="3267"/>
      <c r="W1" s="3267"/>
      <c r="X1" s="3267"/>
      <c r="Y1" s="3267"/>
      <c r="Z1" s="3267"/>
      <c r="AA1" s="3267"/>
      <c r="AB1" s="3267"/>
      <c r="AC1" s="3267"/>
      <c r="AD1" s="3267"/>
      <c r="AE1" s="3267"/>
      <c r="AF1" s="3267"/>
      <c r="AG1" s="3267"/>
      <c r="AH1" s="3267"/>
      <c r="AI1" s="3267"/>
      <c r="AJ1" s="3267"/>
      <c r="AK1" s="3267"/>
      <c r="AL1" s="3267"/>
      <c r="AM1" s="3267"/>
      <c r="AN1" s="3267"/>
      <c r="AO1" s="3267"/>
      <c r="AP1" s="3267"/>
      <c r="AQ1" s="3267"/>
      <c r="AR1" s="3267"/>
      <c r="AS1" s="3267"/>
      <c r="AT1" s="3267"/>
      <c r="AU1" s="3267"/>
      <c r="AV1" s="3267"/>
      <c r="AW1" s="3267"/>
      <c r="AX1" s="3267"/>
      <c r="AY1" s="3267"/>
      <c r="AZ1" s="3267"/>
      <c r="BA1" s="3267"/>
      <c r="BB1" s="3267"/>
      <c r="BC1" s="3267"/>
      <c r="BD1" s="3267"/>
      <c r="BE1" s="3267"/>
      <c r="BF1" s="3267"/>
      <c r="BG1" s="3267"/>
      <c r="BH1" s="3267"/>
      <c r="BI1" s="3267"/>
      <c r="BJ1" s="3267"/>
      <c r="BK1" s="3267"/>
      <c r="BL1" s="1547"/>
      <c r="BN1" s="501" t="s">
        <v>0</v>
      </c>
      <c r="BO1" s="501" t="s">
        <v>1</v>
      </c>
    </row>
    <row r="2" spans="1:67" ht="24.75" customHeight="1" x14ac:dyDescent="0.25">
      <c r="A2" s="3267"/>
      <c r="B2" s="3267"/>
      <c r="C2" s="3267"/>
      <c r="D2" s="3267"/>
      <c r="E2" s="3267"/>
      <c r="F2" s="3267"/>
      <c r="G2" s="3267"/>
      <c r="H2" s="3267"/>
      <c r="I2" s="3267"/>
      <c r="J2" s="3267"/>
      <c r="K2" s="3267"/>
      <c r="L2" s="3267"/>
      <c r="M2" s="3267"/>
      <c r="N2" s="3267"/>
      <c r="O2" s="3267"/>
      <c r="P2" s="3267"/>
      <c r="Q2" s="3267"/>
      <c r="R2" s="3267"/>
      <c r="S2" s="3267"/>
      <c r="T2" s="3267"/>
      <c r="U2" s="3267"/>
      <c r="V2" s="3267"/>
      <c r="W2" s="3267"/>
      <c r="X2" s="3267"/>
      <c r="Y2" s="3267"/>
      <c r="Z2" s="3267"/>
      <c r="AA2" s="3267"/>
      <c r="AB2" s="3267"/>
      <c r="AC2" s="3267"/>
      <c r="AD2" s="3267"/>
      <c r="AE2" s="3267"/>
      <c r="AF2" s="3267"/>
      <c r="AG2" s="3267"/>
      <c r="AH2" s="3267"/>
      <c r="AI2" s="3267"/>
      <c r="AJ2" s="3267"/>
      <c r="AK2" s="3267"/>
      <c r="AL2" s="3267"/>
      <c r="AM2" s="3267"/>
      <c r="AN2" s="3267"/>
      <c r="AO2" s="3267"/>
      <c r="AP2" s="3267"/>
      <c r="AQ2" s="3267"/>
      <c r="AR2" s="3267"/>
      <c r="AS2" s="3267"/>
      <c r="AT2" s="3267"/>
      <c r="AU2" s="3267"/>
      <c r="AV2" s="3267"/>
      <c r="AW2" s="3267"/>
      <c r="AX2" s="3267"/>
      <c r="AY2" s="3267"/>
      <c r="AZ2" s="3267"/>
      <c r="BA2" s="3267"/>
      <c r="BB2" s="3267"/>
      <c r="BC2" s="3267"/>
      <c r="BD2" s="3267"/>
      <c r="BE2" s="3267"/>
      <c r="BF2" s="3267"/>
      <c r="BG2" s="3267"/>
      <c r="BH2" s="3267"/>
      <c r="BI2" s="3267"/>
      <c r="BJ2" s="3267"/>
      <c r="BK2" s="3267"/>
      <c r="BL2" s="1547"/>
      <c r="BN2" s="1548" t="s">
        <v>2</v>
      </c>
      <c r="BO2" s="503">
        <v>6</v>
      </c>
    </row>
    <row r="3" spans="1:67" ht="24.75" customHeight="1" x14ac:dyDescent="0.25">
      <c r="A3" s="3267"/>
      <c r="B3" s="3267"/>
      <c r="C3" s="3267"/>
      <c r="D3" s="3267"/>
      <c r="E3" s="3267"/>
      <c r="F3" s="3267"/>
      <c r="G3" s="3267"/>
      <c r="H3" s="3267"/>
      <c r="I3" s="3267"/>
      <c r="J3" s="3267"/>
      <c r="K3" s="3267"/>
      <c r="L3" s="3267"/>
      <c r="M3" s="3267"/>
      <c r="N3" s="3267"/>
      <c r="O3" s="3267"/>
      <c r="P3" s="3267"/>
      <c r="Q3" s="3267"/>
      <c r="R3" s="3267"/>
      <c r="S3" s="3267"/>
      <c r="T3" s="3267"/>
      <c r="U3" s="3267"/>
      <c r="V3" s="3267"/>
      <c r="W3" s="3267"/>
      <c r="X3" s="3267"/>
      <c r="Y3" s="3267"/>
      <c r="Z3" s="3267"/>
      <c r="AA3" s="3267"/>
      <c r="AB3" s="3267"/>
      <c r="AC3" s="3267"/>
      <c r="AD3" s="3267"/>
      <c r="AE3" s="3267"/>
      <c r="AF3" s="3267"/>
      <c r="AG3" s="3267"/>
      <c r="AH3" s="3267"/>
      <c r="AI3" s="3267"/>
      <c r="AJ3" s="3267"/>
      <c r="AK3" s="3267"/>
      <c r="AL3" s="3267"/>
      <c r="AM3" s="3267"/>
      <c r="AN3" s="3267"/>
      <c r="AO3" s="3267"/>
      <c r="AP3" s="3267"/>
      <c r="AQ3" s="3267"/>
      <c r="AR3" s="3267"/>
      <c r="AS3" s="3267"/>
      <c r="AT3" s="3267"/>
      <c r="AU3" s="3267"/>
      <c r="AV3" s="3267"/>
      <c r="AW3" s="3267"/>
      <c r="AX3" s="3267"/>
      <c r="AY3" s="3267"/>
      <c r="AZ3" s="3267"/>
      <c r="BA3" s="3267"/>
      <c r="BB3" s="3267"/>
      <c r="BC3" s="3267"/>
      <c r="BD3" s="3267"/>
      <c r="BE3" s="3267"/>
      <c r="BF3" s="3267"/>
      <c r="BG3" s="3267"/>
      <c r="BH3" s="3267"/>
      <c r="BI3" s="3267"/>
      <c r="BJ3" s="3267"/>
      <c r="BK3" s="3267"/>
      <c r="BL3" s="1547"/>
      <c r="BN3" s="501" t="s">
        <v>3</v>
      </c>
      <c r="BO3" s="504" t="s">
        <v>4</v>
      </c>
    </row>
    <row r="4" spans="1:67" s="1550" customFormat="1" ht="24.75" customHeight="1" x14ac:dyDescent="0.2">
      <c r="A4" s="3268"/>
      <c r="B4" s="3268"/>
      <c r="C4" s="3268"/>
      <c r="D4" s="3268"/>
      <c r="E4" s="3268"/>
      <c r="F4" s="3268"/>
      <c r="G4" s="3268"/>
      <c r="H4" s="3268"/>
      <c r="I4" s="3268"/>
      <c r="J4" s="3268"/>
      <c r="K4" s="3268"/>
      <c r="L4" s="3268"/>
      <c r="M4" s="3268"/>
      <c r="N4" s="3268"/>
      <c r="O4" s="3268"/>
      <c r="P4" s="3268"/>
      <c r="Q4" s="3268"/>
      <c r="R4" s="3268"/>
      <c r="S4" s="3268"/>
      <c r="T4" s="3268"/>
      <c r="U4" s="3268"/>
      <c r="V4" s="3268"/>
      <c r="W4" s="3268"/>
      <c r="X4" s="3268"/>
      <c r="Y4" s="3268"/>
      <c r="Z4" s="3268"/>
      <c r="AA4" s="3268"/>
      <c r="AB4" s="3268"/>
      <c r="AC4" s="3268"/>
      <c r="AD4" s="3268"/>
      <c r="AE4" s="3268"/>
      <c r="AF4" s="3268"/>
      <c r="AG4" s="3268"/>
      <c r="AH4" s="3268"/>
      <c r="AI4" s="3268"/>
      <c r="AJ4" s="3268"/>
      <c r="AK4" s="3268"/>
      <c r="AL4" s="3268"/>
      <c r="AM4" s="3268"/>
      <c r="AN4" s="3268"/>
      <c r="AO4" s="3268"/>
      <c r="AP4" s="3268"/>
      <c r="AQ4" s="3268"/>
      <c r="AR4" s="3268"/>
      <c r="AS4" s="3268"/>
      <c r="AT4" s="3268"/>
      <c r="AU4" s="3268"/>
      <c r="AV4" s="3268"/>
      <c r="AW4" s="3268"/>
      <c r="AX4" s="3268"/>
      <c r="AY4" s="3268"/>
      <c r="AZ4" s="3268"/>
      <c r="BA4" s="3268"/>
      <c r="BB4" s="3268"/>
      <c r="BC4" s="3268"/>
      <c r="BD4" s="3268"/>
      <c r="BE4" s="3268"/>
      <c r="BF4" s="3268"/>
      <c r="BG4" s="3268"/>
      <c r="BH4" s="3268"/>
      <c r="BI4" s="3268"/>
      <c r="BJ4" s="3268"/>
      <c r="BK4" s="3268"/>
      <c r="BL4" s="1549"/>
      <c r="BN4" s="708" t="s">
        <v>5</v>
      </c>
      <c r="BO4" s="505" t="s">
        <v>6</v>
      </c>
    </row>
    <row r="5" spans="1:67" ht="15" x14ac:dyDescent="0.2">
      <c r="A5" s="2611" t="s">
        <v>7</v>
      </c>
      <c r="B5" s="2611"/>
      <c r="C5" s="2611"/>
      <c r="D5" s="2611"/>
      <c r="E5" s="2611"/>
      <c r="F5" s="2611"/>
      <c r="G5" s="2611"/>
      <c r="H5" s="2611"/>
      <c r="I5" s="2611"/>
      <c r="J5" s="2611"/>
      <c r="K5" s="2611"/>
      <c r="L5" s="1150"/>
      <c r="M5" s="1150"/>
      <c r="N5" s="2611" t="s">
        <v>8</v>
      </c>
      <c r="O5" s="2611"/>
      <c r="P5" s="2611"/>
      <c r="Q5" s="2611"/>
      <c r="R5" s="2611"/>
      <c r="S5" s="2611"/>
      <c r="T5" s="2611"/>
      <c r="U5" s="2611"/>
      <c r="V5" s="2611"/>
      <c r="W5" s="2611"/>
      <c r="X5" s="2611"/>
      <c r="Y5" s="2611"/>
      <c r="Z5" s="2611"/>
      <c r="AA5" s="2611"/>
      <c r="AB5" s="2611"/>
      <c r="AC5" s="2611"/>
      <c r="AD5" s="2611"/>
      <c r="AE5" s="2611"/>
      <c r="AF5" s="2611"/>
      <c r="AG5" s="2611"/>
      <c r="AH5" s="2611"/>
      <c r="AI5" s="2611"/>
      <c r="AJ5" s="2611"/>
      <c r="AK5" s="2611"/>
      <c r="AL5" s="2611"/>
      <c r="AM5" s="2611"/>
      <c r="AN5" s="2611"/>
      <c r="AO5" s="2611"/>
      <c r="AP5" s="2611"/>
      <c r="AQ5" s="2611"/>
      <c r="AR5" s="2611"/>
      <c r="AS5" s="2611"/>
      <c r="AT5" s="2611"/>
      <c r="AU5" s="2611"/>
      <c r="AV5" s="2611"/>
      <c r="AW5" s="2611"/>
      <c r="AX5" s="2611"/>
      <c r="AY5" s="2611"/>
      <c r="AZ5" s="2611"/>
      <c r="BA5" s="2611"/>
      <c r="BB5" s="2611"/>
      <c r="BC5" s="2611"/>
      <c r="BD5" s="2611"/>
      <c r="BE5" s="2611"/>
      <c r="BF5" s="2611"/>
      <c r="BG5" s="2611"/>
      <c r="BH5" s="2611"/>
      <c r="BI5" s="2611"/>
      <c r="BJ5" s="2611"/>
      <c r="BK5" s="2611"/>
      <c r="BL5" s="2611"/>
      <c r="BM5" s="2611"/>
      <c r="BN5" s="2611"/>
      <c r="BO5" s="2611"/>
    </row>
    <row r="6" spans="1:67" ht="14.45" customHeight="1" thickBot="1" x14ac:dyDescent="0.25">
      <c r="A6" s="2611"/>
      <c r="B6" s="2611"/>
      <c r="C6" s="2611"/>
      <c r="D6" s="2611"/>
      <c r="E6" s="2611"/>
      <c r="F6" s="2611"/>
      <c r="G6" s="2611"/>
      <c r="H6" s="2611"/>
      <c r="I6" s="2611"/>
      <c r="J6" s="2611"/>
      <c r="K6" s="2611"/>
      <c r="L6" s="1150"/>
      <c r="M6" s="1171"/>
      <c r="N6" s="3269"/>
      <c r="O6" s="3270"/>
      <c r="P6" s="3270"/>
      <c r="Q6" s="3270"/>
      <c r="R6" s="3270"/>
      <c r="S6" s="3270"/>
      <c r="T6" s="3270"/>
      <c r="U6" s="3270"/>
      <c r="V6" s="3270"/>
      <c r="W6" s="3270"/>
      <c r="X6" s="3271"/>
      <c r="Y6" s="1172"/>
      <c r="Z6" s="1172"/>
      <c r="AA6" s="1172"/>
      <c r="AB6" s="1172"/>
      <c r="AC6" s="1172"/>
      <c r="AD6" s="1172"/>
      <c r="AE6" s="1172"/>
      <c r="AF6" s="1172"/>
      <c r="AG6" s="1172"/>
      <c r="AH6" s="1172"/>
      <c r="AI6" s="1172"/>
      <c r="AJ6" s="1172"/>
      <c r="AK6" s="1172"/>
      <c r="AL6" s="1172"/>
      <c r="AM6" s="1172"/>
      <c r="AN6" s="1172"/>
      <c r="AO6" s="1172"/>
      <c r="AP6" s="1172"/>
      <c r="AQ6" s="1172"/>
      <c r="AR6" s="1172"/>
      <c r="AS6" s="1172"/>
      <c r="AT6" s="1172"/>
      <c r="AU6" s="1172"/>
      <c r="AV6" s="1172"/>
      <c r="AW6" s="1172"/>
      <c r="AX6" s="1172"/>
      <c r="AY6" s="1172"/>
      <c r="AZ6" s="1172"/>
      <c r="BA6" s="1172"/>
      <c r="BB6" s="1172"/>
      <c r="BC6" s="1172"/>
      <c r="BD6" s="1172"/>
      <c r="BE6" s="1172"/>
      <c r="BF6" s="1172"/>
      <c r="BG6" s="1172"/>
      <c r="BH6" s="1172"/>
      <c r="BI6" s="1172"/>
      <c r="BJ6" s="1172"/>
      <c r="BK6" s="3269"/>
      <c r="BL6" s="3270"/>
      <c r="BM6" s="3270"/>
      <c r="BN6" s="3270"/>
      <c r="BO6" s="3271"/>
    </row>
    <row r="7" spans="1:67" s="1551" customFormat="1" ht="22.5" customHeight="1" x14ac:dyDescent="0.2">
      <c r="A7" s="2723" t="s">
        <v>9</v>
      </c>
      <c r="B7" s="2723" t="s">
        <v>10</v>
      </c>
      <c r="C7" s="2723"/>
      <c r="D7" s="2723" t="s">
        <v>9</v>
      </c>
      <c r="E7" s="2723" t="s">
        <v>11</v>
      </c>
      <c r="F7" s="2723" t="s">
        <v>9</v>
      </c>
      <c r="G7" s="2723" t="s">
        <v>12</v>
      </c>
      <c r="H7" s="2723"/>
      <c r="I7" s="2723" t="s">
        <v>9</v>
      </c>
      <c r="J7" s="2723" t="s">
        <v>13</v>
      </c>
      <c r="K7" s="2723" t="s">
        <v>14</v>
      </c>
      <c r="L7" s="2723" t="s">
        <v>16</v>
      </c>
      <c r="M7" s="3272" t="s">
        <v>17</v>
      </c>
      <c r="N7" s="2723" t="s">
        <v>8</v>
      </c>
      <c r="O7" s="2723" t="s">
        <v>18</v>
      </c>
      <c r="P7" s="2723" t="s">
        <v>19</v>
      </c>
      <c r="Q7" s="2723" t="s">
        <v>20</v>
      </c>
      <c r="R7" s="2723" t="s">
        <v>21</v>
      </c>
      <c r="S7" s="2723" t="s">
        <v>22</v>
      </c>
      <c r="T7" s="3278" t="s">
        <v>19</v>
      </c>
      <c r="U7" s="3279"/>
      <c r="V7" s="3280"/>
      <c r="W7" s="3272" t="s">
        <v>9</v>
      </c>
      <c r="X7" s="2723" t="s">
        <v>23</v>
      </c>
      <c r="Y7" s="3284" t="s">
        <v>24</v>
      </c>
      <c r="Z7" s="3285"/>
      <c r="AA7" s="3285"/>
      <c r="AB7" s="3286"/>
      <c r="AC7" s="3287" t="s">
        <v>25</v>
      </c>
      <c r="AD7" s="3288"/>
      <c r="AE7" s="3288"/>
      <c r="AF7" s="3288"/>
      <c r="AG7" s="3288"/>
      <c r="AH7" s="3288"/>
      <c r="AI7" s="3288"/>
      <c r="AJ7" s="3289"/>
      <c r="AK7" s="3290" t="s">
        <v>26</v>
      </c>
      <c r="AL7" s="3291"/>
      <c r="AM7" s="3291"/>
      <c r="AN7" s="3291"/>
      <c r="AO7" s="3291"/>
      <c r="AP7" s="3291"/>
      <c r="AQ7" s="3291"/>
      <c r="AR7" s="3291"/>
      <c r="AS7" s="3291"/>
      <c r="AT7" s="3291"/>
      <c r="AU7" s="3291"/>
      <c r="AV7" s="3292"/>
      <c r="AW7" s="3287" t="s">
        <v>27</v>
      </c>
      <c r="AX7" s="3288"/>
      <c r="AY7" s="3288"/>
      <c r="AZ7" s="3288"/>
      <c r="BA7" s="3288"/>
      <c r="BB7" s="3289"/>
      <c r="BC7" s="3287" t="s">
        <v>28</v>
      </c>
      <c r="BD7" s="3289"/>
      <c r="BE7" s="3295" t="s">
        <v>29</v>
      </c>
      <c r="BF7" s="3296"/>
      <c r="BG7" s="3296"/>
      <c r="BH7" s="3296"/>
      <c r="BI7" s="3296"/>
      <c r="BJ7" s="3297"/>
      <c r="BK7" s="3298" t="s">
        <v>30</v>
      </c>
      <c r="BL7" s="3299"/>
      <c r="BM7" s="3298" t="s">
        <v>31</v>
      </c>
      <c r="BN7" s="3299"/>
      <c r="BO7" s="3275" t="s">
        <v>32</v>
      </c>
    </row>
    <row r="8" spans="1:67" s="1551" customFormat="1" ht="134.25" customHeight="1" x14ac:dyDescent="0.2">
      <c r="A8" s="2723"/>
      <c r="B8" s="2723"/>
      <c r="C8" s="2723"/>
      <c r="D8" s="2723"/>
      <c r="E8" s="2723"/>
      <c r="F8" s="2723"/>
      <c r="G8" s="2723"/>
      <c r="H8" s="2723"/>
      <c r="I8" s="2723"/>
      <c r="J8" s="2723"/>
      <c r="K8" s="2723"/>
      <c r="L8" s="2723"/>
      <c r="M8" s="3273"/>
      <c r="N8" s="2723"/>
      <c r="O8" s="2723"/>
      <c r="P8" s="2723"/>
      <c r="Q8" s="2723"/>
      <c r="R8" s="2723"/>
      <c r="S8" s="2723"/>
      <c r="T8" s="3281"/>
      <c r="U8" s="3282"/>
      <c r="V8" s="3283"/>
      <c r="W8" s="3273"/>
      <c r="X8" s="2723"/>
      <c r="Y8" s="3293" t="s">
        <v>33</v>
      </c>
      <c r="Z8" s="3293"/>
      <c r="AA8" s="3294" t="s">
        <v>34</v>
      </c>
      <c r="AB8" s="3294"/>
      <c r="AC8" s="3293" t="s">
        <v>35</v>
      </c>
      <c r="AD8" s="3293"/>
      <c r="AE8" s="3293" t="s">
        <v>36</v>
      </c>
      <c r="AF8" s="3293"/>
      <c r="AG8" s="3293" t="s">
        <v>37</v>
      </c>
      <c r="AH8" s="3293"/>
      <c r="AI8" s="3293" t="s">
        <v>38</v>
      </c>
      <c r="AJ8" s="3293"/>
      <c r="AK8" s="3293" t="s">
        <v>39</v>
      </c>
      <c r="AL8" s="3293"/>
      <c r="AM8" s="3293" t="s">
        <v>40</v>
      </c>
      <c r="AN8" s="3293"/>
      <c r="AO8" s="3293" t="s">
        <v>41</v>
      </c>
      <c r="AP8" s="3293"/>
      <c r="AQ8" s="3293" t="s">
        <v>42</v>
      </c>
      <c r="AR8" s="3293"/>
      <c r="AS8" s="3293" t="s">
        <v>43</v>
      </c>
      <c r="AT8" s="3293"/>
      <c r="AU8" s="3293" t="s">
        <v>44</v>
      </c>
      <c r="AV8" s="3293"/>
      <c r="AW8" s="3293" t="s">
        <v>45</v>
      </c>
      <c r="AX8" s="3293"/>
      <c r="AY8" s="3293" t="s">
        <v>46</v>
      </c>
      <c r="AZ8" s="3293"/>
      <c r="BA8" s="3293" t="s">
        <v>47</v>
      </c>
      <c r="BB8" s="3293"/>
      <c r="BC8" s="3293" t="s">
        <v>28</v>
      </c>
      <c r="BD8" s="3293"/>
      <c r="BE8" s="3121" t="s">
        <v>48</v>
      </c>
      <c r="BF8" s="3276" t="s">
        <v>49</v>
      </c>
      <c r="BG8" s="3121" t="s">
        <v>50</v>
      </c>
      <c r="BH8" s="3277" t="s">
        <v>51</v>
      </c>
      <c r="BI8" s="3121" t="s">
        <v>52</v>
      </c>
      <c r="BJ8" s="3304" t="s">
        <v>53</v>
      </c>
      <c r="BK8" s="3300"/>
      <c r="BL8" s="3301"/>
      <c r="BM8" s="3300"/>
      <c r="BN8" s="3301"/>
      <c r="BO8" s="3275"/>
    </row>
    <row r="9" spans="1:67" s="1344" customFormat="1" ht="30.75" customHeight="1" x14ac:dyDescent="0.2">
      <c r="A9" s="2723"/>
      <c r="B9" s="2723"/>
      <c r="C9" s="2723"/>
      <c r="D9" s="2723"/>
      <c r="E9" s="2723"/>
      <c r="F9" s="2723"/>
      <c r="G9" s="2723"/>
      <c r="H9" s="2723"/>
      <c r="I9" s="2723"/>
      <c r="J9" s="2723"/>
      <c r="K9" s="2723"/>
      <c r="L9" s="2723"/>
      <c r="M9" s="3274"/>
      <c r="N9" s="2723"/>
      <c r="O9" s="2723"/>
      <c r="P9" s="2723"/>
      <c r="Q9" s="2723"/>
      <c r="R9" s="2723"/>
      <c r="S9" s="2723"/>
      <c r="T9" s="508" t="s">
        <v>56</v>
      </c>
      <c r="U9" s="508" t="s">
        <v>57</v>
      </c>
      <c r="V9" s="508" t="s">
        <v>58</v>
      </c>
      <c r="W9" s="3274"/>
      <c r="X9" s="2723"/>
      <c r="Y9" s="508" t="s">
        <v>54</v>
      </c>
      <c r="Z9" s="508" t="s">
        <v>55</v>
      </c>
      <c r="AA9" s="508" t="s">
        <v>54</v>
      </c>
      <c r="AB9" s="508" t="s">
        <v>55</v>
      </c>
      <c r="AC9" s="508" t="s">
        <v>54</v>
      </c>
      <c r="AD9" s="508" t="s">
        <v>55</v>
      </c>
      <c r="AE9" s="508" t="s">
        <v>54</v>
      </c>
      <c r="AF9" s="508" t="s">
        <v>55</v>
      </c>
      <c r="AG9" s="508" t="s">
        <v>54</v>
      </c>
      <c r="AH9" s="508" t="s">
        <v>55</v>
      </c>
      <c r="AI9" s="508" t="s">
        <v>54</v>
      </c>
      <c r="AJ9" s="508" t="s">
        <v>55</v>
      </c>
      <c r="AK9" s="508" t="s">
        <v>54</v>
      </c>
      <c r="AL9" s="508" t="s">
        <v>55</v>
      </c>
      <c r="AM9" s="508" t="s">
        <v>54</v>
      </c>
      <c r="AN9" s="508" t="s">
        <v>55</v>
      </c>
      <c r="AO9" s="508" t="s">
        <v>54</v>
      </c>
      <c r="AP9" s="508" t="s">
        <v>55</v>
      </c>
      <c r="AQ9" s="508" t="s">
        <v>54</v>
      </c>
      <c r="AR9" s="508" t="s">
        <v>55</v>
      </c>
      <c r="AS9" s="508" t="s">
        <v>54</v>
      </c>
      <c r="AT9" s="508" t="s">
        <v>55</v>
      </c>
      <c r="AU9" s="508" t="s">
        <v>54</v>
      </c>
      <c r="AV9" s="508" t="s">
        <v>55</v>
      </c>
      <c r="AW9" s="508" t="s">
        <v>54</v>
      </c>
      <c r="AX9" s="508" t="s">
        <v>55</v>
      </c>
      <c r="AY9" s="508" t="s">
        <v>54</v>
      </c>
      <c r="AZ9" s="508" t="s">
        <v>55</v>
      </c>
      <c r="BA9" s="508" t="s">
        <v>54</v>
      </c>
      <c r="BB9" s="508" t="s">
        <v>55</v>
      </c>
      <c r="BC9" s="508" t="s">
        <v>54</v>
      </c>
      <c r="BD9" s="508" t="s">
        <v>55</v>
      </c>
      <c r="BE9" s="3121"/>
      <c r="BF9" s="3276"/>
      <c r="BG9" s="3121"/>
      <c r="BH9" s="3277"/>
      <c r="BI9" s="3121"/>
      <c r="BJ9" s="3102"/>
      <c r="BK9" s="1552" t="s">
        <v>54</v>
      </c>
      <c r="BL9" s="1552" t="s">
        <v>55</v>
      </c>
      <c r="BM9" s="1552" t="s">
        <v>54</v>
      </c>
      <c r="BN9" s="1552" t="s">
        <v>55</v>
      </c>
      <c r="BO9" s="3275"/>
    </row>
    <row r="10" spans="1:67" ht="11.45" hidden="1" customHeight="1" x14ac:dyDescent="0.2">
      <c r="A10" s="2723"/>
      <c r="B10" s="2723"/>
      <c r="C10" s="2723"/>
      <c r="D10" s="2723"/>
      <c r="E10" s="2723"/>
      <c r="F10" s="2723"/>
      <c r="G10" s="2723"/>
      <c r="H10" s="2723"/>
      <c r="I10" s="2723"/>
      <c r="J10" s="2723"/>
      <c r="K10" s="2723"/>
      <c r="L10" s="2723"/>
      <c r="M10" s="1156"/>
      <c r="N10" s="2723"/>
      <c r="O10" s="2723"/>
      <c r="P10" s="2723"/>
      <c r="Q10" s="2723"/>
      <c r="R10" s="2723"/>
      <c r="S10" s="2723"/>
      <c r="T10" s="1553"/>
      <c r="U10" s="1553"/>
      <c r="V10" s="1156"/>
      <c r="W10" s="1156"/>
      <c r="X10" s="2723"/>
      <c r="Y10" s="1156"/>
      <c r="Z10" s="1156"/>
      <c r="AA10" s="1156"/>
      <c r="AB10" s="1156"/>
      <c r="AC10" s="1156"/>
      <c r="AD10" s="1156"/>
      <c r="AE10" s="1156"/>
      <c r="AF10" s="1156"/>
      <c r="AG10" s="1156"/>
      <c r="AH10" s="1156"/>
      <c r="AI10" s="1156"/>
      <c r="AJ10" s="1156"/>
      <c r="AK10" s="1156"/>
      <c r="AL10" s="1156"/>
      <c r="AM10" s="1156"/>
      <c r="AN10" s="1156"/>
      <c r="AO10" s="1156"/>
      <c r="AP10" s="1156"/>
      <c r="AQ10" s="1156"/>
      <c r="AR10" s="1156"/>
      <c r="AS10" s="1156"/>
      <c r="AT10" s="1156"/>
      <c r="AU10" s="1156"/>
      <c r="AV10" s="1156"/>
      <c r="AW10" s="1156"/>
      <c r="AX10" s="1156"/>
      <c r="AY10" s="1156"/>
      <c r="AZ10" s="1156"/>
      <c r="BA10" s="1156"/>
      <c r="BB10" s="1156"/>
      <c r="BC10" s="1156"/>
      <c r="BD10" s="1156"/>
      <c r="BE10" s="1554"/>
      <c r="BF10" s="1554"/>
      <c r="BG10" s="1554"/>
      <c r="BH10" s="1554"/>
      <c r="BI10" s="1554"/>
      <c r="BJ10" s="1554"/>
      <c r="BK10" s="1555"/>
      <c r="BL10" s="1554"/>
      <c r="BM10" s="1555"/>
      <c r="BN10" s="1554"/>
      <c r="BO10" s="3275"/>
    </row>
    <row r="11" spans="1:67" ht="28.15" hidden="1" customHeight="1" x14ac:dyDescent="0.2">
      <c r="A11" s="2723"/>
      <c r="B11" s="2723"/>
      <c r="C11" s="2723"/>
      <c r="D11" s="2723"/>
      <c r="E11" s="2723"/>
      <c r="F11" s="2723"/>
      <c r="G11" s="2723"/>
      <c r="H11" s="2723"/>
      <c r="I11" s="2723"/>
      <c r="J11" s="2723"/>
      <c r="K11" s="2723"/>
      <c r="L11" s="2723"/>
      <c r="M11" s="1156"/>
      <c r="N11" s="2723"/>
      <c r="O11" s="2723"/>
      <c r="P11" s="2723"/>
      <c r="Q11" s="2723"/>
      <c r="R11" s="2723"/>
      <c r="S11" s="2723"/>
      <c r="T11" s="1553"/>
      <c r="U11" s="1553"/>
      <c r="V11" s="1156"/>
      <c r="W11" s="1156"/>
      <c r="X11" s="2723"/>
      <c r="Y11" s="1156"/>
      <c r="Z11" s="1156"/>
      <c r="AA11" s="1156"/>
      <c r="AB11" s="1156"/>
      <c r="AC11" s="1156"/>
      <c r="AD11" s="1156"/>
      <c r="AE11" s="1156"/>
      <c r="AF11" s="1156"/>
      <c r="AG11" s="1156"/>
      <c r="AH11" s="1156"/>
      <c r="AI11" s="1156"/>
      <c r="AJ11" s="1156"/>
      <c r="AK11" s="1156"/>
      <c r="AL11" s="1156"/>
      <c r="AM11" s="1156"/>
      <c r="AN11" s="1156"/>
      <c r="AO11" s="1156"/>
      <c r="AP11" s="1156"/>
      <c r="AQ11" s="1156"/>
      <c r="AR11" s="1156"/>
      <c r="AS11" s="1156"/>
      <c r="AT11" s="1156"/>
      <c r="AU11" s="1156"/>
      <c r="AV11" s="1156"/>
      <c r="AW11" s="1156"/>
      <c r="AX11" s="1156"/>
      <c r="AY11" s="1156"/>
      <c r="AZ11" s="1156"/>
      <c r="BA11" s="1156"/>
      <c r="BB11" s="1156"/>
      <c r="BC11" s="1156"/>
      <c r="BD11" s="1156"/>
      <c r="BE11" s="1554"/>
      <c r="BF11" s="1554"/>
      <c r="BG11" s="1554"/>
      <c r="BH11" s="1554"/>
      <c r="BI11" s="1554"/>
      <c r="BJ11" s="1554"/>
      <c r="BK11" s="1555"/>
      <c r="BL11" s="1554"/>
      <c r="BM11" s="1555"/>
      <c r="BN11" s="1554"/>
      <c r="BO11" s="3275"/>
    </row>
    <row r="12" spans="1:67" ht="5.25" hidden="1" customHeight="1" x14ac:dyDescent="0.2">
      <c r="A12" s="2723"/>
      <c r="B12" s="2723"/>
      <c r="C12" s="2723"/>
      <c r="D12" s="2723"/>
      <c r="E12" s="2723"/>
      <c r="F12" s="2723"/>
      <c r="G12" s="2723"/>
      <c r="H12" s="2723"/>
      <c r="I12" s="2723"/>
      <c r="J12" s="2723"/>
      <c r="K12" s="2723"/>
      <c r="L12" s="2723"/>
      <c r="M12" s="1156"/>
      <c r="N12" s="2723"/>
      <c r="O12" s="2723"/>
      <c r="P12" s="2723"/>
      <c r="Q12" s="2723"/>
      <c r="R12" s="2723"/>
      <c r="S12" s="2723"/>
      <c r="T12" s="1553"/>
      <c r="U12" s="1553"/>
      <c r="V12" s="1156"/>
      <c r="W12" s="1156"/>
      <c r="X12" s="2723"/>
      <c r="Y12" s="1156"/>
      <c r="Z12" s="1156"/>
      <c r="AA12" s="1156"/>
      <c r="AB12" s="1156"/>
      <c r="AC12" s="1156"/>
      <c r="AD12" s="1156"/>
      <c r="AE12" s="1156"/>
      <c r="AF12" s="1156"/>
      <c r="AG12" s="1156"/>
      <c r="AH12" s="1156"/>
      <c r="AI12" s="1156"/>
      <c r="AJ12" s="1156"/>
      <c r="AK12" s="1156"/>
      <c r="AL12" s="1156"/>
      <c r="AM12" s="1156"/>
      <c r="AN12" s="1156"/>
      <c r="AO12" s="1156"/>
      <c r="AP12" s="1156"/>
      <c r="AQ12" s="1156"/>
      <c r="AR12" s="1156"/>
      <c r="AS12" s="1156"/>
      <c r="AT12" s="1156"/>
      <c r="AU12" s="1156"/>
      <c r="AV12" s="1156"/>
      <c r="AW12" s="1156"/>
      <c r="AX12" s="1156"/>
      <c r="AY12" s="1156"/>
      <c r="AZ12" s="1156"/>
      <c r="BA12" s="1156"/>
      <c r="BB12" s="1156"/>
      <c r="BC12" s="1156"/>
      <c r="BD12" s="1156"/>
      <c r="BE12" s="1554"/>
      <c r="BF12" s="1554"/>
      <c r="BG12" s="1554"/>
      <c r="BH12" s="1554"/>
      <c r="BI12" s="1554"/>
      <c r="BJ12" s="1554"/>
      <c r="BK12" s="1555"/>
      <c r="BL12" s="1554"/>
      <c r="BM12" s="1555"/>
      <c r="BN12" s="1554"/>
      <c r="BO12" s="3275"/>
    </row>
    <row r="13" spans="1:67" ht="6.6" hidden="1" customHeight="1" x14ac:dyDescent="0.2">
      <c r="A13" s="2723"/>
      <c r="B13" s="2723"/>
      <c r="C13" s="2723"/>
      <c r="D13" s="2723"/>
      <c r="E13" s="2723"/>
      <c r="F13" s="2723"/>
      <c r="G13" s="2723"/>
      <c r="H13" s="2723"/>
      <c r="I13" s="2723"/>
      <c r="J13" s="2723"/>
      <c r="K13" s="2723"/>
      <c r="L13" s="2723"/>
      <c r="M13" s="1156"/>
      <c r="N13" s="2723"/>
      <c r="O13" s="2723"/>
      <c r="P13" s="2723"/>
      <c r="Q13" s="2723"/>
      <c r="R13" s="2723"/>
      <c r="S13" s="2723"/>
      <c r="T13" s="1553"/>
      <c r="U13" s="1553"/>
      <c r="V13" s="1156"/>
      <c r="W13" s="1156"/>
      <c r="X13" s="2723"/>
      <c r="Y13" s="1156"/>
      <c r="Z13" s="1156"/>
      <c r="AA13" s="1156"/>
      <c r="AB13" s="1156"/>
      <c r="AC13" s="1156"/>
      <c r="AD13" s="1156"/>
      <c r="AE13" s="1156"/>
      <c r="AF13" s="1156"/>
      <c r="AG13" s="1156"/>
      <c r="AH13" s="1156"/>
      <c r="AI13" s="1156"/>
      <c r="AJ13" s="1156"/>
      <c r="AK13" s="1156"/>
      <c r="AL13" s="1156"/>
      <c r="AM13" s="1156"/>
      <c r="AN13" s="1156"/>
      <c r="AO13" s="1156"/>
      <c r="AP13" s="1156"/>
      <c r="AQ13" s="1156"/>
      <c r="AR13" s="1156"/>
      <c r="AS13" s="1156"/>
      <c r="AT13" s="1156"/>
      <c r="AU13" s="1156"/>
      <c r="AV13" s="1156"/>
      <c r="AW13" s="1156"/>
      <c r="AX13" s="1156"/>
      <c r="AY13" s="1156"/>
      <c r="AZ13" s="1156"/>
      <c r="BA13" s="1156"/>
      <c r="BB13" s="1156"/>
      <c r="BC13" s="1156"/>
      <c r="BD13" s="1156"/>
      <c r="BE13" s="1554"/>
      <c r="BF13" s="1554"/>
      <c r="BG13" s="1554"/>
      <c r="BH13" s="1554"/>
      <c r="BI13" s="1554"/>
      <c r="BJ13" s="1554"/>
      <c r="BK13" s="1555"/>
      <c r="BL13" s="1554"/>
      <c r="BM13" s="1555"/>
      <c r="BN13" s="1554"/>
      <c r="BO13" s="3275"/>
    </row>
    <row r="14" spans="1:67" ht="15" hidden="1" customHeight="1" x14ac:dyDescent="0.2">
      <c r="A14" s="2723"/>
      <c r="B14" s="2723"/>
      <c r="C14" s="2723"/>
      <c r="D14" s="2723"/>
      <c r="E14" s="2723"/>
      <c r="F14" s="2723"/>
      <c r="G14" s="2723"/>
      <c r="H14" s="2723"/>
      <c r="I14" s="2723"/>
      <c r="J14" s="2723"/>
      <c r="K14" s="2723"/>
      <c r="L14" s="2723"/>
      <c r="M14" s="1156"/>
      <c r="N14" s="2723"/>
      <c r="O14" s="2723"/>
      <c r="P14" s="2723"/>
      <c r="Q14" s="2723"/>
      <c r="R14" s="2723"/>
      <c r="S14" s="2723"/>
      <c r="T14" s="1553"/>
      <c r="U14" s="1553"/>
      <c r="V14" s="1156"/>
      <c r="W14" s="1156"/>
      <c r="X14" s="2723"/>
      <c r="Y14" s="1156"/>
      <c r="Z14" s="1156"/>
      <c r="AA14" s="1156"/>
      <c r="AB14" s="1156"/>
      <c r="AC14" s="1156"/>
      <c r="AD14" s="1156"/>
      <c r="AE14" s="1156"/>
      <c r="AF14" s="1156"/>
      <c r="AG14" s="1156"/>
      <c r="AH14" s="1156"/>
      <c r="AI14" s="1156"/>
      <c r="AJ14" s="1156"/>
      <c r="AK14" s="1156"/>
      <c r="AL14" s="1156"/>
      <c r="AM14" s="1156"/>
      <c r="AN14" s="1156"/>
      <c r="AO14" s="1156"/>
      <c r="AP14" s="1156"/>
      <c r="AQ14" s="1156"/>
      <c r="AR14" s="1156"/>
      <c r="AS14" s="1156"/>
      <c r="AT14" s="1156"/>
      <c r="AU14" s="1156"/>
      <c r="AV14" s="1156"/>
      <c r="AW14" s="1156"/>
      <c r="AX14" s="1156"/>
      <c r="AY14" s="1156"/>
      <c r="AZ14" s="1156"/>
      <c r="BA14" s="1156"/>
      <c r="BB14" s="1156"/>
      <c r="BC14" s="1156"/>
      <c r="BD14" s="1156"/>
      <c r="BE14" s="1554"/>
      <c r="BF14" s="1554"/>
      <c r="BG14" s="1554"/>
      <c r="BH14" s="1554"/>
      <c r="BI14" s="1554"/>
      <c r="BJ14" s="1554"/>
      <c r="BK14" s="1555"/>
      <c r="BL14" s="1554"/>
      <c r="BM14" s="1555"/>
      <c r="BN14" s="1554"/>
      <c r="BO14" s="3275"/>
    </row>
    <row r="15" spans="1:67" ht="0.75" customHeight="1" x14ac:dyDescent="0.2">
      <c r="A15" s="2723"/>
      <c r="B15" s="2723"/>
      <c r="C15" s="2723"/>
      <c r="D15" s="2723"/>
      <c r="E15" s="2723"/>
      <c r="F15" s="2723"/>
      <c r="G15" s="2723"/>
      <c r="H15" s="2723"/>
      <c r="I15" s="2723"/>
      <c r="J15" s="2723"/>
      <c r="K15" s="2723"/>
      <c r="L15" s="2723"/>
      <c r="M15" s="1156"/>
      <c r="N15" s="2723"/>
      <c r="O15" s="2723"/>
      <c r="P15" s="2723"/>
      <c r="Q15" s="2723"/>
      <c r="R15" s="2723"/>
      <c r="S15" s="2723"/>
      <c r="T15" s="1553"/>
      <c r="U15" s="1553"/>
      <c r="V15" s="1156"/>
      <c r="W15" s="1156"/>
      <c r="X15" s="2723"/>
      <c r="Y15" s="1156"/>
      <c r="Z15" s="1156"/>
      <c r="AA15" s="1156"/>
      <c r="AB15" s="1156"/>
      <c r="AC15" s="1156"/>
      <c r="AD15" s="1156"/>
      <c r="AE15" s="1156"/>
      <c r="AF15" s="1156"/>
      <c r="AG15" s="1156"/>
      <c r="AH15" s="1156"/>
      <c r="AI15" s="1156"/>
      <c r="AJ15" s="1156"/>
      <c r="AK15" s="1156"/>
      <c r="AL15" s="1156"/>
      <c r="AM15" s="1156"/>
      <c r="AN15" s="1156"/>
      <c r="AO15" s="1156"/>
      <c r="AP15" s="1156"/>
      <c r="AQ15" s="1156"/>
      <c r="AR15" s="1156"/>
      <c r="AS15" s="1156"/>
      <c r="AT15" s="1156"/>
      <c r="AU15" s="1156"/>
      <c r="AV15" s="1156"/>
      <c r="AW15" s="1156"/>
      <c r="AX15" s="1156"/>
      <c r="AY15" s="1156"/>
      <c r="AZ15" s="1156"/>
      <c r="BA15" s="1156"/>
      <c r="BB15" s="1156"/>
      <c r="BC15" s="1156"/>
      <c r="BD15" s="1156"/>
      <c r="BE15" s="1554"/>
      <c r="BF15" s="1554"/>
      <c r="BG15" s="1554"/>
      <c r="BH15" s="1554"/>
      <c r="BI15" s="1554"/>
      <c r="BJ15" s="1554"/>
      <c r="BK15" s="1555"/>
      <c r="BL15" s="1554"/>
      <c r="BM15" s="1555"/>
      <c r="BN15" s="1554"/>
      <c r="BO15" s="3275"/>
    </row>
    <row r="16" spans="1:67" ht="20.25" customHeight="1" x14ac:dyDescent="0.2">
      <c r="A16" s="1556"/>
      <c r="B16" s="1557"/>
      <c r="C16" s="1558"/>
      <c r="D16" s="1558"/>
      <c r="E16" s="1558"/>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2"/>
    </row>
    <row r="17" spans="1:67" ht="23.25" customHeight="1" x14ac:dyDescent="0.2">
      <c r="A17" s="3314"/>
      <c r="B17" s="3314"/>
      <c r="C17" s="3314"/>
      <c r="D17" s="3314"/>
      <c r="E17" s="3314"/>
      <c r="F17" s="3314"/>
      <c r="G17" s="1559"/>
      <c r="H17" s="1559"/>
      <c r="I17" s="1559"/>
      <c r="J17" s="1559"/>
      <c r="K17" s="1559"/>
      <c r="L17" s="1559"/>
      <c r="M17" s="1559"/>
      <c r="N17" s="1559"/>
      <c r="O17" s="1559"/>
      <c r="P17" s="1559"/>
      <c r="Q17" s="1559"/>
      <c r="R17" s="1559"/>
      <c r="S17" s="1559"/>
      <c r="T17" s="1559"/>
      <c r="U17" s="1559"/>
      <c r="V17" s="1559"/>
      <c r="W17" s="1559"/>
      <c r="X17" s="1559"/>
      <c r="Y17" s="1559"/>
      <c r="Z17" s="1559"/>
      <c r="AA17" s="1559"/>
      <c r="AB17" s="1559"/>
      <c r="AC17" s="1559"/>
      <c r="AD17" s="1559"/>
      <c r="AE17" s="1559"/>
      <c r="AF17" s="1559"/>
      <c r="AG17" s="1559"/>
      <c r="AH17" s="1559"/>
      <c r="AI17" s="1559"/>
      <c r="AJ17" s="1559"/>
      <c r="AK17" s="1559"/>
      <c r="AL17" s="1559"/>
      <c r="AM17" s="1559"/>
      <c r="AN17" s="1559"/>
      <c r="AO17" s="1559"/>
      <c r="AP17" s="1559"/>
      <c r="AQ17" s="1559"/>
      <c r="AR17" s="1559"/>
      <c r="AS17" s="1559"/>
      <c r="AT17" s="1559"/>
      <c r="AU17" s="1559"/>
      <c r="AV17" s="1559"/>
      <c r="AW17" s="1559"/>
      <c r="AX17" s="1559"/>
      <c r="AY17" s="1559"/>
      <c r="AZ17" s="1559"/>
      <c r="BA17" s="1559"/>
      <c r="BB17" s="1559"/>
      <c r="BC17" s="1559"/>
      <c r="BD17" s="1559"/>
      <c r="BE17" s="1559"/>
      <c r="BF17" s="1559"/>
      <c r="BG17" s="1559"/>
      <c r="BH17" s="1559"/>
      <c r="BI17" s="1559"/>
      <c r="BJ17" s="1559"/>
      <c r="BK17" s="1559"/>
      <c r="BL17" s="1559"/>
      <c r="BM17" s="1559"/>
      <c r="BN17" s="1559"/>
      <c r="BO17" s="1560"/>
    </row>
    <row r="18" spans="1:67" ht="25.5" customHeight="1" x14ac:dyDescent="0.2">
      <c r="A18" s="3315"/>
      <c r="B18" s="3316"/>
      <c r="C18" s="3316"/>
      <c r="D18" s="3316"/>
      <c r="E18" s="3316"/>
      <c r="F18" s="3316"/>
      <c r="G18" s="3316"/>
      <c r="H18" s="3317"/>
      <c r="I18" s="1562"/>
      <c r="J18" s="1562"/>
      <c r="K18" s="1562"/>
      <c r="L18" s="1562"/>
      <c r="M18" s="1562"/>
      <c r="N18" s="1562"/>
      <c r="O18" s="1562"/>
      <c r="P18" s="1562"/>
      <c r="Q18" s="1562"/>
      <c r="R18" s="1562"/>
      <c r="S18" s="1562"/>
      <c r="T18" s="1562"/>
      <c r="U18" s="1562"/>
      <c r="V18" s="1562"/>
      <c r="W18" s="1562"/>
      <c r="X18" s="1562"/>
      <c r="Y18" s="1562"/>
      <c r="Z18" s="1562"/>
      <c r="AA18" s="1562"/>
      <c r="AB18" s="1562"/>
      <c r="AC18" s="1562"/>
      <c r="AD18" s="1562"/>
      <c r="AE18" s="1562"/>
      <c r="AF18" s="1562"/>
      <c r="AG18" s="1562"/>
      <c r="AH18" s="1562"/>
      <c r="AI18" s="1562"/>
      <c r="AJ18" s="1562"/>
      <c r="AK18" s="1562"/>
      <c r="AL18" s="1562"/>
      <c r="AM18" s="1562"/>
      <c r="AN18" s="1562"/>
      <c r="AO18" s="1562"/>
      <c r="AP18" s="1562"/>
      <c r="AQ18" s="1562"/>
      <c r="AR18" s="1562"/>
      <c r="AS18" s="1562"/>
      <c r="AT18" s="1562"/>
      <c r="AU18" s="1562"/>
      <c r="AV18" s="1562"/>
      <c r="AW18" s="1562"/>
      <c r="AX18" s="1562"/>
      <c r="AY18" s="1562"/>
      <c r="AZ18" s="1562"/>
      <c r="BA18" s="1562"/>
      <c r="BB18" s="1562"/>
      <c r="BC18" s="1562"/>
      <c r="BD18" s="1562"/>
      <c r="BE18" s="1562"/>
      <c r="BF18" s="1562"/>
      <c r="BG18" s="1562"/>
      <c r="BH18" s="1562"/>
      <c r="BI18" s="1562"/>
      <c r="BJ18" s="1562"/>
      <c r="BK18" s="1562"/>
      <c r="BL18" s="1562"/>
      <c r="BM18" s="1562"/>
      <c r="BN18" s="1562"/>
      <c r="BO18" s="1563"/>
    </row>
    <row r="19" spans="1:67" s="1565" customFormat="1" ht="75" customHeight="1" x14ac:dyDescent="0.2">
      <c r="A19" s="3318">
        <v>2</v>
      </c>
      <c r="B19" s="3320" t="s">
        <v>764</v>
      </c>
      <c r="C19" s="3321"/>
      <c r="D19" s="3318">
        <v>2</v>
      </c>
      <c r="E19" s="3324" t="s">
        <v>765</v>
      </c>
      <c r="F19" s="3318">
        <v>8</v>
      </c>
      <c r="G19" s="3320" t="s">
        <v>766</v>
      </c>
      <c r="H19" s="3321"/>
      <c r="I19" s="2639">
        <v>38</v>
      </c>
      <c r="J19" s="3302" t="s">
        <v>767</v>
      </c>
      <c r="K19" s="3302" t="s">
        <v>768</v>
      </c>
      <c r="L19" s="3303" t="s">
        <v>769</v>
      </c>
      <c r="M19" s="3303" t="s">
        <v>770</v>
      </c>
      <c r="N19" s="3302" t="s">
        <v>771</v>
      </c>
      <c r="O19" s="3326">
        <v>0.26</v>
      </c>
      <c r="P19" s="3328">
        <f>SUM(T19:T22)</f>
        <v>115000000</v>
      </c>
      <c r="Q19" s="3330" t="s">
        <v>772</v>
      </c>
      <c r="R19" s="3302" t="s">
        <v>773</v>
      </c>
      <c r="S19" s="1143" t="s">
        <v>774</v>
      </c>
      <c r="T19" s="1564">
        <v>9000000</v>
      </c>
      <c r="U19" s="1564">
        <v>0</v>
      </c>
      <c r="V19" s="1564">
        <v>0</v>
      </c>
      <c r="W19" s="1153">
        <v>20</v>
      </c>
      <c r="X19" s="1153" t="s">
        <v>775</v>
      </c>
      <c r="Y19" s="3305">
        <v>295972</v>
      </c>
      <c r="Z19" s="3303"/>
      <c r="AA19" s="3305">
        <v>285580</v>
      </c>
      <c r="AB19" s="3303"/>
      <c r="AC19" s="3305">
        <v>135545</v>
      </c>
      <c r="AD19" s="3303"/>
      <c r="AE19" s="3305">
        <v>44254</v>
      </c>
      <c r="AF19" s="3303"/>
      <c r="AG19" s="3305">
        <v>309146</v>
      </c>
      <c r="AH19" s="3303"/>
      <c r="AI19" s="3305">
        <v>92607</v>
      </c>
      <c r="AJ19" s="3303"/>
      <c r="AK19" s="3303"/>
      <c r="AL19" s="3303"/>
      <c r="AM19" s="3303"/>
      <c r="AN19" s="3303"/>
      <c r="AO19" s="3303"/>
      <c r="AP19" s="3303"/>
      <c r="AQ19" s="3303"/>
      <c r="AR19" s="3303"/>
      <c r="AS19" s="3303"/>
      <c r="AT19" s="3303"/>
      <c r="AU19" s="3303"/>
      <c r="AV19" s="3303"/>
      <c r="AW19" s="3303"/>
      <c r="AX19" s="3303"/>
      <c r="AY19" s="3303"/>
      <c r="AZ19" s="3303"/>
      <c r="BA19" s="3303"/>
      <c r="BB19" s="3303"/>
      <c r="BC19" s="3305">
        <v>581552</v>
      </c>
      <c r="BD19" s="3303"/>
      <c r="BE19" s="3310">
        <v>0</v>
      </c>
      <c r="BF19" s="3328">
        <f>SUM(U19:U22)</f>
        <v>0</v>
      </c>
      <c r="BG19" s="3328">
        <f>SUM(V19:V22)</f>
        <v>0</v>
      </c>
      <c r="BH19" s="3335"/>
      <c r="BI19" s="3310"/>
      <c r="BJ19" s="3310"/>
      <c r="BK19" s="3308">
        <v>43832</v>
      </c>
      <c r="BL19" s="3308"/>
      <c r="BM19" s="3308">
        <v>44196</v>
      </c>
      <c r="BN19" s="3308"/>
      <c r="BO19" s="3312" t="s">
        <v>776</v>
      </c>
    </row>
    <row r="20" spans="1:67" s="1565" customFormat="1" ht="75" customHeight="1" x14ac:dyDescent="0.2">
      <c r="A20" s="3319"/>
      <c r="B20" s="3322"/>
      <c r="C20" s="3323"/>
      <c r="D20" s="3319"/>
      <c r="E20" s="3325"/>
      <c r="F20" s="3319"/>
      <c r="G20" s="3322"/>
      <c r="H20" s="3323"/>
      <c r="I20" s="2639"/>
      <c r="J20" s="3010"/>
      <c r="K20" s="3010"/>
      <c r="L20" s="2625"/>
      <c r="M20" s="2625"/>
      <c r="N20" s="2659"/>
      <c r="O20" s="3327"/>
      <c r="P20" s="3329"/>
      <c r="Q20" s="3331"/>
      <c r="R20" s="2659"/>
      <c r="S20" s="1143" t="s">
        <v>777</v>
      </c>
      <c r="T20" s="1566">
        <v>21000000</v>
      </c>
      <c r="U20" s="1566">
        <v>0</v>
      </c>
      <c r="V20" s="1566">
        <v>0</v>
      </c>
      <c r="W20" s="1153">
        <v>20</v>
      </c>
      <c r="X20" s="1153" t="s">
        <v>775</v>
      </c>
      <c r="Y20" s="3306"/>
      <c r="Z20" s="2625"/>
      <c r="AA20" s="3306"/>
      <c r="AB20" s="2625"/>
      <c r="AC20" s="3306"/>
      <c r="AD20" s="2625"/>
      <c r="AE20" s="3306"/>
      <c r="AF20" s="2625"/>
      <c r="AG20" s="3306"/>
      <c r="AH20" s="2625"/>
      <c r="AI20" s="3306"/>
      <c r="AJ20" s="2625"/>
      <c r="AK20" s="2625"/>
      <c r="AL20" s="2625"/>
      <c r="AM20" s="2625"/>
      <c r="AN20" s="2625"/>
      <c r="AO20" s="2625"/>
      <c r="AP20" s="2625"/>
      <c r="AQ20" s="2625"/>
      <c r="AR20" s="2625"/>
      <c r="AS20" s="2625"/>
      <c r="AT20" s="2625"/>
      <c r="AU20" s="2625"/>
      <c r="AV20" s="2625"/>
      <c r="AW20" s="2625"/>
      <c r="AX20" s="2625"/>
      <c r="AY20" s="2625"/>
      <c r="AZ20" s="2625"/>
      <c r="BA20" s="2625"/>
      <c r="BB20" s="2625"/>
      <c r="BC20" s="3306"/>
      <c r="BD20" s="2625"/>
      <c r="BE20" s="3311"/>
      <c r="BF20" s="3334"/>
      <c r="BG20" s="3334"/>
      <c r="BH20" s="3336"/>
      <c r="BI20" s="3311"/>
      <c r="BJ20" s="3311"/>
      <c r="BK20" s="3309"/>
      <c r="BL20" s="3309"/>
      <c r="BM20" s="3309"/>
      <c r="BN20" s="3309"/>
      <c r="BO20" s="3313"/>
    </row>
    <row r="21" spans="1:67" s="1565" customFormat="1" ht="93.75" customHeight="1" x14ac:dyDescent="0.2">
      <c r="A21" s="3319"/>
      <c r="B21" s="3322"/>
      <c r="C21" s="3323"/>
      <c r="D21" s="3319"/>
      <c r="E21" s="3325"/>
      <c r="F21" s="3319"/>
      <c r="G21" s="3322"/>
      <c r="H21" s="3323"/>
      <c r="I21" s="3332">
        <v>39</v>
      </c>
      <c r="J21" s="3333" t="s">
        <v>778</v>
      </c>
      <c r="K21" s="3333" t="s">
        <v>779</v>
      </c>
      <c r="L21" s="2625"/>
      <c r="M21" s="2625"/>
      <c r="N21" s="2659"/>
      <c r="O21" s="3327"/>
      <c r="P21" s="3329"/>
      <c r="Q21" s="3331"/>
      <c r="R21" s="2659"/>
      <c r="S21" s="1567" t="s">
        <v>780</v>
      </c>
      <c r="T21" s="1566">
        <v>60000000</v>
      </c>
      <c r="U21" s="1566">
        <v>0</v>
      </c>
      <c r="V21" s="1566">
        <v>0</v>
      </c>
      <c r="W21" s="1153">
        <v>20</v>
      </c>
      <c r="X21" s="1153" t="s">
        <v>775</v>
      </c>
      <c r="Y21" s="3306"/>
      <c r="Z21" s="2625"/>
      <c r="AA21" s="3306"/>
      <c r="AB21" s="2625"/>
      <c r="AC21" s="3306"/>
      <c r="AD21" s="2625"/>
      <c r="AE21" s="3306"/>
      <c r="AF21" s="2625"/>
      <c r="AG21" s="3306"/>
      <c r="AH21" s="2625"/>
      <c r="AI21" s="3306"/>
      <c r="AJ21" s="2625"/>
      <c r="AK21" s="2625"/>
      <c r="AL21" s="2625"/>
      <c r="AM21" s="2625"/>
      <c r="AN21" s="2625"/>
      <c r="AO21" s="2625"/>
      <c r="AP21" s="2625"/>
      <c r="AQ21" s="2625"/>
      <c r="AR21" s="2625"/>
      <c r="AS21" s="2625"/>
      <c r="AT21" s="2625"/>
      <c r="AU21" s="2625"/>
      <c r="AV21" s="2625"/>
      <c r="AW21" s="2625"/>
      <c r="AX21" s="2625"/>
      <c r="AY21" s="2625"/>
      <c r="AZ21" s="2625"/>
      <c r="BA21" s="2625"/>
      <c r="BB21" s="2625"/>
      <c r="BC21" s="3306"/>
      <c r="BD21" s="2625"/>
      <c r="BE21" s="3311"/>
      <c r="BF21" s="3334"/>
      <c r="BG21" s="3334"/>
      <c r="BH21" s="3336"/>
      <c r="BI21" s="3311"/>
      <c r="BJ21" s="3311"/>
      <c r="BK21" s="3309"/>
      <c r="BL21" s="3309"/>
      <c r="BM21" s="3309"/>
      <c r="BN21" s="3309"/>
      <c r="BO21" s="3313"/>
    </row>
    <row r="22" spans="1:67" s="1565" customFormat="1" ht="75" customHeight="1" x14ac:dyDescent="0.2">
      <c r="A22" s="3319"/>
      <c r="B22" s="3322"/>
      <c r="C22" s="3323"/>
      <c r="D22" s="3319"/>
      <c r="E22" s="3325"/>
      <c r="F22" s="3319"/>
      <c r="G22" s="3322"/>
      <c r="H22" s="3323"/>
      <c r="I22" s="2623"/>
      <c r="J22" s="2475"/>
      <c r="K22" s="2475"/>
      <c r="L22" s="2625"/>
      <c r="M22" s="2625"/>
      <c r="N22" s="2659"/>
      <c r="O22" s="3327"/>
      <c r="P22" s="3329"/>
      <c r="Q22" s="3331"/>
      <c r="R22" s="2659"/>
      <c r="S22" s="1567" t="s">
        <v>781</v>
      </c>
      <c r="T22" s="1566">
        <v>25000000</v>
      </c>
      <c r="U22" s="1566">
        <v>0</v>
      </c>
      <c r="V22" s="1566">
        <v>0</v>
      </c>
      <c r="W22" s="1153">
        <v>20</v>
      </c>
      <c r="X22" s="1153" t="s">
        <v>775</v>
      </c>
      <c r="Y22" s="3307"/>
      <c r="Z22" s="3006"/>
      <c r="AA22" s="3307"/>
      <c r="AB22" s="3006"/>
      <c r="AC22" s="3307"/>
      <c r="AD22" s="3006"/>
      <c r="AE22" s="3307"/>
      <c r="AF22" s="3006"/>
      <c r="AG22" s="3307"/>
      <c r="AH22" s="3006"/>
      <c r="AI22" s="3307"/>
      <c r="AJ22" s="3006"/>
      <c r="AK22" s="3006"/>
      <c r="AL22" s="3006"/>
      <c r="AM22" s="3006"/>
      <c r="AN22" s="3006"/>
      <c r="AO22" s="3006"/>
      <c r="AP22" s="3006"/>
      <c r="AQ22" s="3006"/>
      <c r="AR22" s="3006"/>
      <c r="AS22" s="3006"/>
      <c r="AT22" s="3006"/>
      <c r="AU22" s="3006"/>
      <c r="AV22" s="3006"/>
      <c r="AW22" s="3006"/>
      <c r="AX22" s="3006"/>
      <c r="AY22" s="3006"/>
      <c r="AZ22" s="3006"/>
      <c r="BA22" s="3006"/>
      <c r="BB22" s="3006"/>
      <c r="BC22" s="3307"/>
      <c r="BD22" s="3006"/>
      <c r="BE22" s="3311"/>
      <c r="BF22" s="3334"/>
      <c r="BG22" s="3334"/>
      <c r="BH22" s="3336"/>
      <c r="BI22" s="3311"/>
      <c r="BJ22" s="3311"/>
      <c r="BK22" s="3309"/>
      <c r="BL22" s="3309"/>
      <c r="BM22" s="3309"/>
      <c r="BN22" s="3309"/>
      <c r="BO22" s="3313"/>
    </row>
    <row r="23" spans="1:67" s="1565" customFormat="1" ht="30" customHeight="1" x14ac:dyDescent="0.2">
      <c r="A23" s="3337"/>
      <c r="B23" s="3337"/>
      <c r="C23" s="3337"/>
      <c r="D23" s="3337"/>
      <c r="E23" s="3337"/>
      <c r="F23" s="3337"/>
      <c r="G23" s="3337"/>
      <c r="H23" s="3337"/>
      <c r="I23" s="3337"/>
      <c r="J23" s="3337"/>
      <c r="K23" s="3337"/>
      <c r="L23" s="3337"/>
      <c r="M23" s="3337"/>
      <c r="N23" s="3337"/>
      <c r="O23" s="3337"/>
      <c r="P23" s="3337"/>
      <c r="Q23" s="3337"/>
      <c r="R23" s="3337"/>
      <c r="S23" s="3337"/>
      <c r="T23" s="3337"/>
      <c r="U23" s="3337"/>
      <c r="V23" s="3337"/>
      <c r="W23" s="3337"/>
      <c r="X23" s="3337"/>
      <c r="Y23" s="3337"/>
      <c r="Z23" s="3337"/>
      <c r="AA23" s="3337"/>
      <c r="AB23" s="3337"/>
      <c r="AC23" s="3337"/>
      <c r="AD23" s="3337"/>
      <c r="AE23" s="3337"/>
      <c r="AF23" s="3337"/>
      <c r="AG23" s="3337"/>
      <c r="AH23" s="3337"/>
      <c r="AI23" s="3337"/>
      <c r="AJ23" s="3337"/>
      <c r="AK23" s="3337"/>
      <c r="AL23" s="3337"/>
      <c r="AM23" s="3337"/>
      <c r="AN23" s="3337"/>
      <c r="AO23" s="3337"/>
      <c r="AP23" s="3337"/>
      <c r="AQ23" s="3337"/>
      <c r="AR23" s="3337"/>
      <c r="AS23" s="3337"/>
      <c r="AT23" s="3337"/>
      <c r="AU23" s="3337"/>
      <c r="AV23" s="3337"/>
      <c r="AW23" s="3337"/>
      <c r="AX23" s="3337"/>
      <c r="AY23" s="3337"/>
      <c r="AZ23" s="3337"/>
      <c r="BA23" s="3337"/>
      <c r="BB23" s="3337"/>
      <c r="BC23" s="3337"/>
      <c r="BD23" s="3337"/>
      <c r="BE23" s="3337"/>
      <c r="BF23" s="3337"/>
      <c r="BG23" s="3337"/>
      <c r="BH23" s="3337"/>
      <c r="BI23" s="3337"/>
      <c r="BJ23" s="3337"/>
      <c r="BK23" s="3337"/>
      <c r="BL23" s="3337"/>
      <c r="BM23" s="3337"/>
      <c r="BN23" s="3337"/>
      <c r="BO23" s="3337"/>
    </row>
    <row r="24" spans="1:67" s="1565" customFormat="1" ht="77.25" customHeight="1" x14ac:dyDescent="0.2">
      <c r="A24" s="3318">
        <v>2</v>
      </c>
      <c r="B24" s="3320" t="s">
        <v>764</v>
      </c>
      <c r="C24" s="3321"/>
      <c r="D24" s="3318">
        <v>2</v>
      </c>
      <c r="E24" s="3324" t="s">
        <v>765</v>
      </c>
      <c r="F24" s="2681">
        <v>9</v>
      </c>
      <c r="G24" s="3338" t="s">
        <v>782</v>
      </c>
      <c r="H24" s="3338"/>
      <c r="I24" s="2639">
        <v>43</v>
      </c>
      <c r="J24" s="2552" t="s">
        <v>783</v>
      </c>
      <c r="K24" s="2552" t="s">
        <v>784</v>
      </c>
      <c r="L24" s="2681" t="s">
        <v>785</v>
      </c>
      <c r="M24" s="2681" t="s">
        <v>786</v>
      </c>
      <c r="N24" s="2669" t="s">
        <v>787</v>
      </c>
      <c r="O24" s="3340">
        <f>(T24+T25)/$P$24</f>
        <v>0.21594762530137013</v>
      </c>
      <c r="P24" s="3342">
        <f>SUM(T24:T27)</f>
        <v>255085000</v>
      </c>
      <c r="Q24" s="3338" t="s">
        <v>788</v>
      </c>
      <c r="R24" s="3339" t="s">
        <v>789</v>
      </c>
      <c r="S24" s="841" t="s">
        <v>790</v>
      </c>
      <c r="T24" s="1568">
        <v>39000000</v>
      </c>
      <c r="U24" s="1569">
        <v>9000000</v>
      </c>
      <c r="V24" s="1569">
        <v>4500000</v>
      </c>
      <c r="W24" s="1153">
        <v>20</v>
      </c>
      <c r="X24" s="1153" t="s">
        <v>775</v>
      </c>
      <c r="Y24" s="3305">
        <v>295972</v>
      </c>
      <c r="Z24" s="3303"/>
      <c r="AA24" s="3305">
        <v>285580</v>
      </c>
      <c r="AB24" s="3303"/>
      <c r="AC24" s="3305">
        <v>135545</v>
      </c>
      <c r="AD24" s="3303"/>
      <c r="AE24" s="3305">
        <v>44254</v>
      </c>
      <c r="AF24" s="3303"/>
      <c r="AG24" s="3305">
        <v>309146</v>
      </c>
      <c r="AH24" s="3303"/>
      <c r="AI24" s="3305">
        <v>92607</v>
      </c>
      <c r="AJ24" s="3303"/>
      <c r="AK24" s="3303"/>
      <c r="AL24" s="3303"/>
      <c r="AM24" s="3303"/>
      <c r="AN24" s="3303"/>
      <c r="AO24" s="3303"/>
      <c r="AP24" s="3303"/>
      <c r="AQ24" s="3303"/>
      <c r="AR24" s="3303"/>
      <c r="AS24" s="3303"/>
      <c r="AT24" s="3303"/>
      <c r="AU24" s="3303"/>
      <c r="AV24" s="3303"/>
      <c r="AW24" s="3303"/>
      <c r="AX24" s="3303"/>
      <c r="AY24" s="3303"/>
      <c r="AZ24" s="3303"/>
      <c r="BA24" s="3303"/>
      <c r="BB24" s="3303"/>
      <c r="BC24" s="3305">
        <v>581552</v>
      </c>
      <c r="BD24" s="3303"/>
      <c r="BE24" s="2681">
        <v>2</v>
      </c>
      <c r="BF24" s="3359">
        <f>SUM(U24:U27)</f>
        <v>24400000</v>
      </c>
      <c r="BG24" s="3359">
        <f>SUM(V24:V27)</f>
        <v>10600000</v>
      </c>
      <c r="BH24" s="3358">
        <f>BG24/BF24</f>
        <v>0.4344262295081967</v>
      </c>
      <c r="BI24" s="2681">
        <v>20</v>
      </c>
      <c r="BJ24" s="3318" t="s">
        <v>791</v>
      </c>
      <c r="BK24" s="3343">
        <v>43832</v>
      </c>
      <c r="BL24" s="3343">
        <v>43880</v>
      </c>
      <c r="BM24" s="3343">
        <v>44196</v>
      </c>
      <c r="BN24" s="3343">
        <v>43999</v>
      </c>
      <c r="BO24" s="3318" t="s">
        <v>776</v>
      </c>
    </row>
    <row r="25" spans="1:67" s="1565" customFormat="1" ht="62.25" customHeight="1" x14ac:dyDescent="0.2">
      <c r="A25" s="3319"/>
      <c r="B25" s="3322"/>
      <c r="C25" s="3323"/>
      <c r="D25" s="3319"/>
      <c r="E25" s="3325"/>
      <c r="F25" s="2681"/>
      <c r="G25" s="3338"/>
      <c r="H25" s="3338"/>
      <c r="I25" s="2639"/>
      <c r="J25" s="2552"/>
      <c r="K25" s="2552"/>
      <c r="L25" s="2681"/>
      <c r="M25" s="2681"/>
      <c r="N25" s="2669"/>
      <c r="O25" s="3341"/>
      <c r="P25" s="2681"/>
      <c r="Q25" s="3338"/>
      <c r="R25" s="3339"/>
      <c r="S25" s="841" t="s">
        <v>792</v>
      </c>
      <c r="T25" s="1570">
        <v>16085000</v>
      </c>
      <c r="U25" s="1569">
        <v>0</v>
      </c>
      <c r="V25" s="1569">
        <v>0</v>
      </c>
      <c r="W25" s="1153">
        <v>20</v>
      </c>
      <c r="X25" s="1153" t="s">
        <v>775</v>
      </c>
      <c r="Y25" s="3306"/>
      <c r="Z25" s="2625"/>
      <c r="AA25" s="3306"/>
      <c r="AB25" s="2625"/>
      <c r="AC25" s="3306"/>
      <c r="AD25" s="2625"/>
      <c r="AE25" s="3306"/>
      <c r="AF25" s="2625"/>
      <c r="AG25" s="3306"/>
      <c r="AH25" s="2625"/>
      <c r="AI25" s="3306"/>
      <c r="AJ25" s="2625"/>
      <c r="AK25" s="2625"/>
      <c r="AL25" s="2625"/>
      <c r="AM25" s="2625"/>
      <c r="AN25" s="2625"/>
      <c r="AO25" s="2625"/>
      <c r="AP25" s="2625"/>
      <c r="AQ25" s="2625"/>
      <c r="AR25" s="2625"/>
      <c r="AS25" s="2625"/>
      <c r="AT25" s="2625"/>
      <c r="AU25" s="2625"/>
      <c r="AV25" s="2625"/>
      <c r="AW25" s="2625"/>
      <c r="AX25" s="2625"/>
      <c r="AY25" s="2625"/>
      <c r="AZ25" s="2625"/>
      <c r="BA25" s="2625"/>
      <c r="BB25" s="2625"/>
      <c r="BC25" s="3306"/>
      <c r="BD25" s="2625"/>
      <c r="BE25" s="2681"/>
      <c r="BF25" s="3359"/>
      <c r="BG25" s="3359"/>
      <c r="BH25" s="3358"/>
      <c r="BI25" s="2681"/>
      <c r="BJ25" s="3319"/>
      <c r="BK25" s="3344"/>
      <c r="BL25" s="3344"/>
      <c r="BM25" s="3344"/>
      <c r="BN25" s="3344"/>
      <c r="BO25" s="3319"/>
    </row>
    <row r="26" spans="1:67" s="1565" customFormat="1" ht="99" customHeight="1" x14ac:dyDescent="0.2">
      <c r="A26" s="3319"/>
      <c r="B26" s="3322"/>
      <c r="C26" s="3323"/>
      <c r="D26" s="3319"/>
      <c r="E26" s="3325"/>
      <c r="F26" s="2681"/>
      <c r="G26" s="3338"/>
      <c r="H26" s="3338"/>
      <c r="I26" s="1151">
        <v>45</v>
      </c>
      <c r="J26" s="1143" t="s">
        <v>793</v>
      </c>
      <c r="K26" s="1143" t="s">
        <v>784</v>
      </c>
      <c r="L26" s="2681"/>
      <c r="M26" s="2681"/>
      <c r="N26" s="2669"/>
      <c r="O26" s="1571">
        <f>T26/P24</f>
        <v>0.39202618734931494</v>
      </c>
      <c r="P26" s="2681"/>
      <c r="Q26" s="3338"/>
      <c r="R26" s="3339"/>
      <c r="S26" s="1572" t="s">
        <v>794</v>
      </c>
      <c r="T26" s="1570">
        <v>100000000</v>
      </c>
      <c r="U26" s="1570">
        <v>15400000</v>
      </c>
      <c r="V26" s="1569">
        <v>6100000</v>
      </c>
      <c r="W26" s="1153">
        <v>20</v>
      </c>
      <c r="X26" s="1153" t="s">
        <v>775</v>
      </c>
      <c r="Y26" s="3306"/>
      <c r="Z26" s="2625"/>
      <c r="AA26" s="3306"/>
      <c r="AB26" s="2625"/>
      <c r="AC26" s="3306"/>
      <c r="AD26" s="2625"/>
      <c r="AE26" s="3306"/>
      <c r="AF26" s="2625"/>
      <c r="AG26" s="3306"/>
      <c r="AH26" s="2625"/>
      <c r="AI26" s="3306"/>
      <c r="AJ26" s="2625"/>
      <c r="AK26" s="2625"/>
      <c r="AL26" s="2625"/>
      <c r="AM26" s="2625"/>
      <c r="AN26" s="2625"/>
      <c r="AO26" s="2625"/>
      <c r="AP26" s="2625"/>
      <c r="AQ26" s="2625"/>
      <c r="AR26" s="2625"/>
      <c r="AS26" s="2625"/>
      <c r="AT26" s="2625"/>
      <c r="AU26" s="2625"/>
      <c r="AV26" s="2625"/>
      <c r="AW26" s="2625"/>
      <c r="AX26" s="2625"/>
      <c r="AY26" s="2625"/>
      <c r="AZ26" s="2625"/>
      <c r="BA26" s="2625"/>
      <c r="BB26" s="2625"/>
      <c r="BC26" s="3306"/>
      <c r="BD26" s="2625"/>
      <c r="BE26" s="2681"/>
      <c r="BF26" s="3359"/>
      <c r="BG26" s="3359"/>
      <c r="BH26" s="3358"/>
      <c r="BI26" s="2681"/>
      <c r="BJ26" s="3319"/>
      <c r="BK26" s="3344"/>
      <c r="BL26" s="3344"/>
      <c r="BM26" s="3344"/>
      <c r="BN26" s="3344"/>
      <c r="BO26" s="3319"/>
    </row>
    <row r="27" spans="1:67" s="1565" customFormat="1" ht="120" customHeight="1" x14ac:dyDescent="0.2">
      <c r="A27" s="3319"/>
      <c r="B27" s="3322"/>
      <c r="C27" s="3323"/>
      <c r="D27" s="3319"/>
      <c r="E27" s="3325"/>
      <c r="F27" s="2681"/>
      <c r="G27" s="3338"/>
      <c r="H27" s="3338"/>
      <c r="I27" s="1151">
        <v>46</v>
      </c>
      <c r="J27" s="1143" t="s">
        <v>795</v>
      </c>
      <c r="K27" s="1143" t="s">
        <v>796</v>
      </c>
      <c r="L27" s="2681"/>
      <c r="M27" s="2681"/>
      <c r="N27" s="2669"/>
      <c r="O27" s="1573">
        <f>T27/P24</f>
        <v>0.39202618734931494</v>
      </c>
      <c r="P27" s="2681"/>
      <c r="Q27" s="3338"/>
      <c r="R27" s="3339"/>
      <c r="S27" s="1572" t="s">
        <v>797</v>
      </c>
      <c r="T27" s="1570">
        <v>100000000</v>
      </c>
      <c r="U27" s="1569">
        <v>0</v>
      </c>
      <c r="V27" s="1569">
        <v>0</v>
      </c>
      <c r="W27" s="1153">
        <v>20</v>
      </c>
      <c r="X27" s="1153" t="s">
        <v>775</v>
      </c>
      <c r="Y27" s="3307"/>
      <c r="Z27" s="3006"/>
      <c r="AA27" s="3307"/>
      <c r="AB27" s="3006"/>
      <c r="AC27" s="3307"/>
      <c r="AD27" s="3006"/>
      <c r="AE27" s="3307"/>
      <c r="AF27" s="3006"/>
      <c r="AG27" s="3307"/>
      <c r="AH27" s="3006"/>
      <c r="AI27" s="3307"/>
      <c r="AJ27" s="3006"/>
      <c r="AK27" s="3006"/>
      <c r="AL27" s="3006"/>
      <c r="AM27" s="3006"/>
      <c r="AN27" s="3006"/>
      <c r="AO27" s="3006"/>
      <c r="AP27" s="3006"/>
      <c r="AQ27" s="3006"/>
      <c r="AR27" s="3006"/>
      <c r="AS27" s="3006"/>
      <c r="AT27" s="3006"/>
      <c r="AU27" s="3006"/>
      <c r="AV27" s="3006"/>
      <c r="AW27" s="3006"/>
      <c r="AX27" s="3006"/>
      <c r="AY27" s="3006"/>
      <c r="AZ27" s="3006"/>
      <c r="BA27" s="3006"/>
      <c r="BB27" s="3006"/>
      <c r="BC27" s="3307"/>
      <c r="BD27" s="3006"/>
      <c r="BE27" s="2681"/>
      <c r="BF27" s="3359"/>
      <c r="BG27" s="3359"/>
      <c r="BH27" s="3358"/>
      <c r="BI27" s="2681"/>
      <c r="BJ27" s="3346"/>
      <c r="BK27" s="3345"/>
      <c r="BL27" s="3345"/>
      <c r="BM27" s="3345"/>
      <c r="BN27" s="3345"/>
      <c r="BO27" s="3346"/>
    </row>
    <row r="28" spans="1:67" s="1565" customFormat="1" ht="30" customHeight="1" x14ac:dyDescent="0.2">
      <c r="A28" s="3347"/>
      <c r="B28" s="3348"/>
      <c r="C28" s="3348"/>
      <c r="D28" s="3348"/>
      <c r="E28" s="3348"/>
      <c r="F28" s="3348"/>
      <c r="G28" s="3348"/>
      <c r="H28" s="3348"/>
      <c r="I28" s="3348"/>
      <c r="J28" s="3348"/>
      <c r="K28" s="3348"/>
      <c r="L28" s="3348"/>
      <c r="M28" s="3348"/>
      <c r="N28" s="3348"/>
      <c r="O28" s="3348"/>
      <c r="P28" s="3348"/>
      <c r="Q28" s="3348"/>
      <c r="R28" s="3348"/>
      <c r="S28" s="3348"/>
      <c r="T28" s="3348"/>
      <c r="U28" s="3348"/>
      <c r="V28" s="3348"/>
      <c r="W28" s="3348"/>
      <c r="X28" s="3348"/>
      <c r="Y28" s="3348"/>
      <c r="Z28" s="3348"/>
      <c r="AA28" s="3348"/>
      <c r="AB28" s="3348"/>
      <c r="AC28" s="3348"/>
      <c r="AD28" s="3348"/>
      <c r="AE28" s="3348"/>
      <c r="AF28" s="3348"/>
      <c r="AG28" s="3348"/>
      <c r="AH28" s="3348"/>
      <c r="AI28" s="3348"/>
      <c r="AJ28" s="3348"/>
      <c r="AK28" s="3348"/>
      <c r="AL28" s="3348"/>
      <c r="AM28" s="3348"/>
      <c r="AN28" s="3348"/>
      <c r="AO28" s="3348"/>
      <c r="AP28" s="3348"/>
      <c r="AQ28" s="3348"/>
      <c r="AR28" s="3348"/>
      <c r="AS28" s="3348"/>
      <c r="AT28" s="3348"/>
      <c r="AU28" s="3348"/>
      <c r="AV28" s="3348"/>
      <c r="AW28" s="3348"/>
      <c r="AX28" s="3348"/>
      <c r="AY28" s="3348"/>
      <c r="AZ28" s="3348"/>
      <c r="BA28" s="3348"/>
      <c r="BB28" s="3348"/>
      <c r="BC28" s="3348"/>
      <c r="BD28" s="3348"/>
      <c r="BE28" s="3348"/>
      <c r="BF28" s="3348"/>
      <c r="BG28" s="3348"/>
      <c r="BH28" s="3348"/>
      <c r="BI28" s="3348"/>
      <c r="BJ28" s="3348"/>
      <c r="BK28" s="3348"/>
      <c r="BL28" s="3348"/>
      <c r="BM28" s="3348"/>
      <c r="BN28" s="3348"/>
      <c r="BO28" s="3349"/>
    </row>
    <row r="29" spans="1:67" s="1565" customFormat="1" ht="114.75" customHeight="1" x14ac:dyDescent="0.2">
      <c r="A29" s="3318">
        <v>2</v>
      </c>
      <c r="B29" s="3350" t="s">
        <v>764</v>
      </c>
      <c r="C29" s="3351"/>
      <c r="D29" s="3318">
        <v>2</v>
      </c>
      <c r="E29" s="3324" t="s">
        <v>765</v>
      </c>
      <c r="F29" s="3318">
        <v>10</v>
      </c>
      <c r="G29" s="2683" t="s">
        <v>798</v>
      </c>
      <c r="H29" s="3355"/>
      <c r="I29" s="1153">
        <v>47</v>
      </c>
      <c r="J29" s="1572" t="s">
        <v>799</v>
      </c>
      <c r="K29" s="1572" t="s">
        <v>800</v>
      </c>
      <c r="L29" s="2681" t="s">
        <v>801</v>
      </c>
      <c r="M29" s="2681" t="s">
        <v>802</v>
      </c>
      <c r="N29" s="3360" t="s">
        <v>803</v>
      </c>
      <c r="O29" s="1573">
        <f>T29/P29</f>
        <v>0.23076923076923078</v>
      </c>
      <c r="P29" s="3362">
        <f>SUM(T29:T30)</f>
        <v>260000000</v>
      </c>
      <c r="Q29" s="3324" t="s">
        <v>804</v>
      </c>
      <c r="R29" s="1576" t="s">
        <v>805</v>
      </c>
      <c r="S29" s="1572" t="s">
        <v>806</v>
      </c>
      <c r="T29" s="1569">
        <v>60000000</v>
      </c>
      <c r="U29" s="1569">
        <v>52013333</v>
      </c>
      <c r="V29" s="1569">
        <v>19000000</v>
      </c>
      <c r="W29" s="1153">
        <v>20</v>
      </c>
      <c r="X29" s="1153" t="s">
        <v>775</v>
      </c>
      <c r="Y29" s="2681">
        <v>295972</v>
      </c>
      <c r="Z29" s="2681"/>
      <c r="AA29" s="2681">
        <v>285580</v>
      </c>
      <c r="AB29" s="2681"/>
      <c r="AC29" s="2681">
        <v>135545</v>
      </c>
      <c r="AD29" s="2681"/>
      <c r="AE29" s="2681">
        <v>44254</v>
      </c>
      <c r="AF29" s="2681"/>
      <c r="AG29" s="2681">
        <v>309146</v>
      </c>
      <c r="AH29" s="2681"/>
      <c r="AI29" s="2681">
        <v>92607</v>
      </c>
      <c r="AJ29" s="2681"/>
      <c r="AK29" s="2681"/>
      <c r="AL29" s="2681"/>
      <c r="AM29" s="2681"/>
      <c r="AN29" s="2681"/>
      <c r="AO29" s="2681"/>
      <c r="AP29" s="2681"/>
      <c r="AQ29" s="2681"/>
      <c r="AR29" s="2681"/>
      <c r="AS29" s="2681"/>
      <c r="AT29" s="2681"/>
      <c r="AU29" s="2681"/>
      <c r="AV29" s="2681"/>
      <c r="AW29" s="2681"/>
      <c r="AX29" s="2681"/>
      <c r="AY29" s="3318"/>
      <c r="AZ29" s="3318"/>
      <c r="BA29" s="3318"/>
      <c r="BB29" s="3318"/>
      <c r="BC29" s="3318">
        <v>581552</v>
      </c>
      <c r="BD29" s="3318"/>
      <c r="BE29" s="3318">
        <v>4</v>
      </c>
      <c r="BF29" s="3362">
        <f>SUM(U29:U30)</f>
        <v>52013333</v>
      </c>
      <c r="BG29" s="3362">
        <f>SUM(V29:V30)</f>
        <v>19000000</v>
      </c>
      <c r="BH29" s="3364">
        <f>BG29/BF29</f>
        <v>0.36529095337920375</v>
      </c>
      <c r="BI29" s="3318">
        <v>20</v>
      </c>
      <c r="BJ29" s="3318" t="s">
        <v>791</v>
      </c>
      <c r="BK29" s="3343">
        <v>43832</v>
      </c>
      <c r="BL29" s="3343">
        <v>43867</v>
      </c>
      <c r="BM29" s="3318" t="s">
        <v>807</v>
      </c>
      <c r="BN29" s="3343">
        <v>44000</v>
      </c>
      <c r="BO29" s="3318" t="s">
        <v>776</v>
      </c>
    </row>
    <row r="30" spans="1:67" s="1565" customFormat="1" ht="108.75" customHeight="1" x14ac:dyDescent="0.2">
      <c r="A30" s="3346"/>
      <c r="B30" s="3352"/>
      <c r="C30" s="3353"/>
      <c r="D30" s="3346"/>
      <c r="E30" s="3354"/>
      <c r="F30" s="3346"/>
      <c r="G30" s="3356"/>
      <c r="H30" s="3357"/>
      <c r="I30" s="1153">
        <v>48</v>
      </c>
      <c r="J30" s="1572" t="s">
        <v>808</v>
      </c>
      <c r="K30" s="1572" t="s">
        <v>809</v>
      </c>
      <c r="L30" s="2681"/>
      <c r="M30" s="2681"/>
      <c r="N30" s="3361"/>
      <c r="O30" s="1578">
        <f>T30/P29</f>
        <v>0.76923076923076927</v>
      </c>
      <c r="P30" s="3346"/>
      <c r="Q30" s="3354"/>
      <c r="R30" s="1579" t="s">
        <v>810</v>
      </c>
      <c r="S30" s="1572" t="s">
        <v>811</v>
      </c>
      <c r="T30" s="1569">
        <v>200000000</v>
      </c>
      <c r="U30" s="1569">
        <v>0</v>
      </c>
      <c r="V30" s="1569">
        <v>0</v>
      </c>
      <c r="W30" s="1153">
        <v>20</v>
      </c>
      <c r="X30" s="1153" t="s">
        <v>775</v>
      </c>
      <c r="Y30" s="2681"/>
      <c r="Z30" s="2681"/>
      <c r="AA30" s="2681"/>
      <c r="AB30" s="2681"/>
      <c r="AC30" s="2681"/>
      <c r="AD30" s="2681"/>
      <c r="AE30" s="2681"/>
      <c r="AF30" s="2681"/>
      <c r="AG30" s="2681"/>
      <c r="AH30" s="2681"/>
      <c r="AI30" s="2681"/>
      <c r="AJ30" s="2681"/>
      <c r="AK30" s="2681"/>
      <c r="AL30" s="2681"/>
      <c r="AM30" s="2681"/>
      <c r="AN30" s="2681"/>
      <c r="AO30" s="2681"/>
      <c r="AP30" s="2681"/>
      <c r="AQ30" s="2681"/>
      <c r="AR30" s="2681"/>
      <c r="AS30" s="2681"/>
      <c r="AT30" s="2681"/>
      <c r="AU30" s="2681"/>
      <c r="AV30" s="2681"/>
      <c r="AW30" s="2681"/>
      <c r="AX30" s="2681"/>
      <c r="AY30" s="3346"/>
      <c r="AZ30" s="3346"/>
      <c r="BA30" s="3346"/>
      <c r="BB30" s="3346"/>
      <c r="BC30" s="3346"/>
      <c r="BD30" s="3346"/>
      <c r="BE30" s="3346"/>
      <c r="BF30" s="3363"/>
      <c r="BG30" s="3363"/>
      <c r="BH30" s="3365"/>
      <c r="BI30" s="3346"/>
      <c r="BJ30" s="3346"/>
      <c r="BK30" s="3345"/>
      <c r="BL30" s="3345"/>
      <c r="BM30" s="3346"/>
      <c r="BN30" s="3345"/>
      <c r="BO30" s="3346"/>
    </row>
    <row r="31" spans="1:67" s="1565" customFormat="1" ht="30" customHeight="1" x14ac:dyDescent="0.2">
      <c r="A31" s="3337"/>
      <c r="B31" s="3337"/>
      <c r="C31" s="3337"/>
      <c r="D31" s="3337"/>
      <c r="E31" s="3337"/>
      <c r="F31" s="3337"/>
      <c r="G31" s="3337"/>
      <c r="H31" s="3337"/>
      <c r="I31" s="3337"/>
      <c r="J31" s="3337"/>
      <c r="K31" s="3337"/>
      <c r="L31" s="3337"/>
      <c r="M31" s="3337"/>
      <c r="N31" s="3337"/>
      <c r="O31" s="3337"/>
      <c r="P31" s="3337"/>
      <c r="Q31" s="3337"/>
      <c r="R31" s="3337"/>
      <c r="S31" s="3337"/>
      <c r="T31" s="3337"/>
      <c r="U31" s="3337"/>
      <c r="V31" s="3337"/>
      <c r="W31" s="3337"/>
      <c r="X31" s="3337"/>
      <c r="Y31" s="3337"/>
      <c r="Z31" s="3337"/>
      <c r="AA31" s="3337"/>
      <c r="AB31" s="3337"/>
      <c r="AC31" s="3337"/>
      <c r="AD31" s="3337"/>
      <c r="AE31" s="3337"/>
      <c r="AF31" s="3337"/>
      <c r="AG31" s="3337"/>
      <c r="AH31" s="3337"/>
      <c r="AI31" s="3337"/>
      <c r="AJ31" s="3337"/>
      <c r="AK31" s="3337"/>
      <c r="AL31" s="3337"/>
      <c r="AM31" s="3337"/>
      <c r="AN31" s="3337"/>
      <c r="AO31" s="3337"/>
      <c r="AP31" s="3337"/>
      <c r="AQ31" s="3337"/>
      <c r="AR31" s="3337"/>
      <c r="AS31" s="3337"/>
      <c r="AT31" s="3337"/>
      <c r="AU31" s="3337"/>
      <c r="AV31" s="3337"/>
      <c r="AW31" s="3337"/>
      <c r="AX31" s="3337"/>
      <c r="AY31" s="3337"/>
      <c r="AZ31" s="3337"/>
      <c r="BA31" s="3337"/>
      <c r="BB31" s="3337"/>
      <c r="BC31" s="3337"/>
      <c r="BD31" s="3337"/>
      <c r="BE31" s="3337"/>
      <c r="BF31" s="3337"/>
      <c r="BG31" s="3337"/>
      <c r="BH31" s="3337"/>
      <c r="BI31" s="3337"/>
      <c r="BJ31" s="3337"/>
      <c r="BK31" s="3337"/>
      <c r="BL31" s="3337"/>
      <c r="BM31" s="3337"/>
      <c r="BN31" s="3337"/>
      <c r="BO31" s="3337"/>
    </row>
    <row r="32" spans="1:67" s="1565" customFormat="1" ht="126.75" customHeight="1" x14ac:dyDescent="0.2">
      <c r="A32" s="1153">
        <v>2</v>
      </c>
      <c r="B32" s="3366" t="s">
        <v>764</v>
      </c>
      <c r="C32" s="3367"/>
      <c r="D32" s="1153">
        <v>2</v>
      </c>
      <c r="E32" s="1572" t="s">
        <v>765</v>
      </c>
      <c r="F32" s="1153">
        <v>11</v>
      </c>
      <c r="G32" s="3366" t="s">
        <v>812</v>
      </c>
      <c r="H32" s="3367"/>
      <c r="I32" s="1153">
        <v>51</v>
      </c>
      <c r="J32" s="1572" t="s">
        <v>813</v>
      </c>
      <c r="K32" s="1572" t="s">
        <v>814</v>
      </c>
      <c r="L32" s="1153" t="s">
        <v>815</v>
      </c>
      <c r="M32" s="1153" t="s">
        <v>816</v>
      </c>
      <c r="N32" s="1572" t="s">
        <v>817</v>
      </c>
      <c r="O32" s="1573">
        <f>T32/P32</f>
        <v>1</v>
      </c>
      <c r="P32" s="1569">
        <f>T32</f>
        <v>630085000</v>
      </c>
      <c r="Q32" s="1572" t="s">
        <v>818</v>
      </c>
      <c r="R32" s="1153" t="s">
        <v>819</v>
      </c>
      <c r="S32" s="1153" t="s">
        <v>820</v>
      </c>
      <c r="T32" s="1569">
        <v>630085000</v>
      </c>
      <c r="U32" s="1569">
        <v>93839999</v>
      </c>
      <c r="V32" s="1569">
        <v>44800000</v>
      </c>
      <c r="W32" s="1153">
        <v>52</v>
      </c>
      <c r="X32" s="1153" t="s">
        <v>821</v>
      </c>
      <c r="Y32" s="1153">
        <v>6041</v>
      </c>
      <c r="Z32" s="1153"/>
      <c r="AA32" s="1153">
        <v>6016</v>
      </c>
      <c r="AB32" s="1153"/>
      <c r="AC32" s="1153"/>
      <c r="AD32" s="1153"/>
      <c r="AE32" s="1153"/>
      <c r="AF32" s="1153"/>
      <c r="AG32" s="1153">
        <v>12058</v>
      </c>
      <c r="AH32" s="1153"/>
      <c r="AI32" s="1153"/>
      <c r="AJ32" s="1153"/>
      <c r="AK32" s="1153"/>
      <c r="AL32" s="1153"/>
      <c r="AM32" s="1153"/>
      <c r="AN32" s="1153"/>
      <c r="AO32" s="1153"/>
      <c r="AP32" s="1153"/>
      <c r="AQ32" s="1153"/>
      <c r="AR32" s="1153"/>
      <c r="AS32" s="1153"/>
      <c r="AT32" s="1153"/>
      <c r="AU32" s="1153"/>
      <c r="AV32" s="1153"/>
      <c r="AW32" s="1153"/>
      <c r="AX32" s="1153"/>
      <c r="AY32" s="1153"/>
      <c r="AZ32" s="1153"/>
      <c r="BA32" s="1153"/>
      <c r="BB32" s="1153"/>
      <c r="BC32" s="1153">
        <v>12058</v>
      </c>
      <c r="BD32" s="1153"/>
      <c r="BE32" s="1153">
        <v>12</v>
      </c>
      <c r="BF32" s="1569">
        <f>U32</f>
        <v>93839999</v>
      </c>
      <c r="BG32" s="1569">
        <f>V32</f>
        <v>44800000</v>
      </c>
      <c r="BH32" s="1573">
        <f>BG32/BF32</f>
        <v>0.47740835973367818</v>
      </c>
      <c r="BI32" s="1153">
        <v>20</v>
      </c>
      <c r="BJ32" s="1153" t="s">
        <v>822</v>
      </c>
      <c r="BK32" s="1580">
        <v>43832</v>
      </c>
      <c r="BL32" s="1581">
        <v>43832</v>
      </c>
      <c r="BM32" s="1580">
        <v>44196</v>
      </c>
      <c r="BN32" s="1581">
        <v>43999</v>
      </c>
      <c r="BO32" s="1153" t="s">
        <v>776</v>
      </c>
    </row>
    <row r="33" spans="1:67" s="1565" customFormat="1" ht="30" customHeight="1" x14ac:dyDescent="0.2">
      <c r="A33" s="3337"/>
      <c r="B33" s="3337"/>
      <c r="C33" s="3337"/>
      <c r="D33" s="3337"/>
      <c r="E33" s="3337"/>
      <c r="F33" s="3337"/>
      <c r="G33" s="3337"/>
      <c r="H33" s="3337"/>
      <c r="I33" s="3337"/>
      <c r="J33" s="3337"/>
      <c r="K33" s="3337"/>
      <c r="L33" s="3337"/>
      <c r="M33" s="3337"/>
      <c r="N33" s="3337"/>
      <c r="O33" s="3337"/>
      <c r="P33" s="3337"/>
      <c r="Q33" s="3337"/>
      <c r="R33" s="3337"/>
      <c r="S33" s="3337"/>
      <c r="T33" s="3337"/>
      <c r="U33" s="3337"/>
      <c r="V33" s="3337"/>
      <c r="W33" s="3337"/>
      <c r="X33" s="3337"/>
      <c r="Y33" s="3337"/>
      <c r="Z33" s="3337"/>
      <c r="AA33" s="3337"/>
      <c r="AB33" s="3337"/>
      <c r="AC33" s="3337"/>
      <c r="AD33" s="3337"/>
      <c r="AE33" s="3337"/>
      <c r="AF33" s="3337"/>
      <c r="AG33" s="3337"/>
      <c r="AH33" s="3337"/>
      <c r="AI33" s="3337"/>
      <c r="AJ33" s="3337"/>
      <c r="AK33" s="3337"/>
      <c r="AL33" s="3337"/>
      <c r="AM33" s="3337"/>
      <c r="AN33" s="3337"/>
      <c r="AO33" s="3337"/>
      <c r="AP33" s="3337"/>
      <c r="AQ33" s="3337"/>
      <c r="AR33" s="3337"/>
      <c r="AS33" s="3337"/>
      <c r="AT33" s="3337"/>
      <c r="AU33" s="3337"/>
      <c r="AV33" s="3337"/>
      <c r="AW33" s="3337"/>
      <c r="AX33" s="3337"/>
      <c r="AY33" s="3337"/>
      <c r="AZ33" s="3337"/>
      <c r="BA33" s="3337"/>
      <c r="BB33" s="3337"/>
      <c r="BC33" s="3337"/>
      <c r="BD33" s="3337"/>
      <c r="BE33" s="3337"/>
      <c r="BF33" s="3337"/>
      <c r="BG33" s="3337"/>
      <c r="BH33" s="3337"/>
      <c r="BI33" s="3337"/>
      <c r="BJ33" s="3337"/>
      <c r="BK33" s="3337"/>
      <c r="BL33" s="3337"/>
      <c r="BM33" s="3337"/>
      <c r="BN33" s="3337"/>
      <c r="BO33" s="3337"/>
    </row>
    <row r="34" spans="1:67" s="1565" customFormat="1" ht="88.5" customHeight="1" x14ac:dyDescent="0.2">
      <c r="A34" s="3318">
        <v>2</v>
      </c>
      <c r="B34" s="3320" t="s">
        <v>764</v>
      </c>
      <c r="C34" s="3321"/>
      <c r="D34" s="3318">
        <v>2</v>
      </c>
      <c r="E34" s="3324" t="s">
        <v>765</v>
      </c>
      <c r="F34" s="3318">
        <v>13</v>
      </c>
      <c r="G34" s="3320" t="s">
        <v>823</v>
      </c>
      <c r="H34" s="3321"/>
      <c r="I34" s="3318">
        <v>53</v>
      </c>
      <c r="J34" s="3318" t="s">
        <v>824</v>
      </c>
      <c r="K34" s="3318" t="s">
        <v>825</v>
      </c>
      <c r="L34" s="3318" t="s">
        <v>826</v>
      </c>
      <c r="M34" s="3318" t="s">
        <v>827</v>
      </c>
      <c r="N34" s="3324" t="s">
        <v>828</v>
      </c>
      <c r="O34" s="1573">
        <f>T34/P34</f>
        <v>0.70794392523364491</v>
      </c>
      <c r="P34" s="3362">
        <f>SUM(T34:T35)</f>
        <v>582080000</v>
      </c>
      <c r="Q34" s="3324" t="s">
        <v>829</v>
      </c>
      <c r="R34" s="3318" t="s">
        <v>830</v>
      </c>
      <c r="S34" s="1572" t="s">
        <v>831</v>
      </c>
      <c r="T34" s="1569">
        <v>412080000</v>
      </c>
      <c r="U34" s="1569">
        <v>232026666</v>
      </c>
      <c r="V34" s="1569">
        <v>73400000</v>
      </c>
      <c r="W34" s="1153">
        <v>52</v>
      </c>
      <c r="X34" s="1153" t="s">
        <v>821</v>
      </c>
      <c r="Y34" s="3318">
        <v>6041</v>
      </c>
      <c r="Z34" s="3318">
        <v>890</v>
      </c>
      <c r="AA34" s="3318">
        <v>6016</v>
      </c>
      <c r="AB34" s="3318">
        <v>880</v>
      </c>
      <c r="AC34" s="3318"/>
      <c r="AD34" s="3318"/>
      <c r="AE34" s="3318"/>
      <c r="AF34" s="3318"/>
      <c r="AG34" s="3318">
        <v>12058</v>
      </c>
      <c r="AH34" s="3318"/>
      <c r="AI34" s="3318"/>
      <c r="AJ34" s="3318"/>
      <c r="AK34" s="3318"/>
      <c r="AL34" s="3318"/>
      <c r="AM34" s="3318"/>
      <c r="AN34" s="3318"/>
      <c r="AO34" s="3318"/>
      <c r="AP34" s="3318"/>
      <c r="AQ34" s="3318"/>
      <c r="AR34" s="3318"/>
      <c r="AS34" s="3318"/>
      <c r="AT34" s="3318"/>
      <c r="AU34" s="3318"/>
      <c r="AV34" s="3318"/>
      <c r="AW34" s="3318"/>
      <c r="AX34" s="3318"/>
      <c r="AY34" s="3318"/>
      <c r="AZ34" s="3318"/>
      <c r="BA34" s="3318"/>
      <c r="BB34" s="3318"/>
      <c r="BC34" s="3318">
        <v>12058</v>
      </c>
      <c r="BD34" s="3318">
        <v>1770</v>
      </c>
      <c r="BE34" s="3318">
        <v>3</v>
      </c>
      <c r="BF34" s="3362">
        <f>SUM(U34:U35)</f>
        <v>232026666</v>
      </c>
      <c r="BG34" s="3362">
        <f>SUM(V34:V35)</f>
        <v>73400000</v>
      </c>
      <c r="BH34" s="3340">
        <f>BG34/BF34</f>
        <v>0.31634294999523893</v>
      </c>
      <c r="BI34" s="3318">
        <v>52</v>
      </c>
      <c r="BJ34" s="3318" t="s">
        <v>832</v>
      </c>
      <c r="BK34" s="3343">
        <v>43832</v>
      </c>
      <c r="BL34" s="3343">
        <v>43880</v>
      </c>
      <c r="BM34" s="3343">
        <v>44196</v>
      </c>
      <c r="BN34" s="3343">
        <v>43999</v>
      </c>
      <c r="BO34" s="3318" t="s">
        <v>776</v>
      </c>
    </row>
    <row r="35" spans="1:67" s="1565" customFormat="1" ht="88.5" customHeight="1" thickBot="1" x14ac:dyDescent="0.25">
      <c r="A35" s="3319"/>
      <c r="B35" s="3322"/>
      <c r="C35" s="3323"/>
      <c r="D35" s="3319"/>
      <c r="E35" s="3325"/>
      <c r="F35" s="3319"/>
      <c r="G35" s="3322"/>
      <c r="H35" s="3323"/>
      <c r="I35" s="3319"/>
      <c r="J35" s="3319"/>
      <c r="K35" s="3319"/>
      <c r="L35" s="3319"/>
      <c r="M35" s="3319"/>
      <c r="N35" s="3325"/>
      <c r="O35" s="1571">
        <f>T35/P34</f>
        <v>0.29205607476635514</v>
      </c>
      <c r="P35" s="3319"/>
      <c r="Q35" s="3325"/>
      <c r="R35" s="3319"/>
      <c r="S35" s="1582" t="s">
        <v>833</v>
      </c>
      <c r="T35" s="1583">
        <v>170000000</v>
      </c>
      <c r="U35" s="1569">
        <v>0</v>
      </c>
      <c r="V35" s="1569">
        <v>0</v>
      </c>
      <c r="W35" s="1153">
        <v>52</v>
      </c>
      <c r="X35" s="1584" t="s">
        <v>821</v>
      </c>
      <c r="Y35" s="3319"/>
      <c r="Z35" s="3319"/>
      <c r="AA35" s="3319"/>
      <c r="AB35" s="3319"/>
      <c r="AC35" s="3319"/>
      <c r="AD35" s="3319"/>
      <c r="AE35" s="3319"/>
      <c r="AF35" s="3319"/>
      <c r="AG35" s="3319"/>
      <c r="AH35" s="3319"/>
      <c r="AI35" s="3319"/>
      <c r="AJ35" s="3319"/>
      <c r="AK35" s="3319"/>
      <c r="AL35" s="3319"/>
      <c r="AM35" s="3319"/>
      <c r="AN35" s="3319"/>
      <c r="AO35" s="3319"/>
      <c r="AP35" s="3319"/>
      <c r="AQ35" s="3319"/>
      <c r="AR35" s="3319"/>
      <c r="AS35" s="3319"/>
      <c r="AT35" s="3319"/>
      <c r="AU35" s="3319"/>
      <c r="AV35" s="3319"/>
      <c r="AW35" s="3319"/>
      <c r="AX35" s="3319"/>
      <c r="AY35" s="3319"/>
      <c r="AZ35" s="3319"/>
      <c r="BA35" s="3319"/>
      <c r="BB35" s="3319"/>
      <c r="BC35" s="3319"/>
      <c r="BD35" s="3319"/>
      <c r="BE35" s="3319"/>
      <c r="BF35" s="3372"/>
      <c r="BG35" s="3372"/>
      <c r="BH35" s="3373"/>
      <c r="BI35" s="3319"/>
      <c r="BJ35" s="3374"/>
      <c r="BK35" s="3368"/>
      <c r="BL35" s="3368"/>
      <c r="BM35" s="3368"/>
      <c r="BN35" s="3368"/>
      <c r="BO35" s="3319"/>
    </row>
    <row r="36" spans="1:67" s="1595" customFormat="1" ht="22.5" customHeight="1" thickBot="1" x14ac:dyDescent="0.3">
      <c r="A36" s="1585"/>
      <c r="B36" s="358"/>
      <c r="C36" s="358"/>
      <c r="D36" s="358"/>
      <c r="E36" s="400"/>
      <c r="F36" s="3369" t="s">
        <v>93</v>
      </c>
      <c r="G36" s="3370"/>
      <c r="H36" s="3370"/>
      <c r="I36" s="3370"/>
      <c r="J36" s="3370"/>
      <c r="K36" s="3370"/>
      <c r="L36" s="3370"/>
      <c r="M36" s="3370"/>
      <c r="N36" s="3370"/>
      <c r="O36" s="3371"/>
      <c r="P36" s="843">
        <f>SUM(P19,P24,P29,P32,P34)</f>
        <v>1842250000</v>
      </c>
      <c r="Q36" s="1586"/>
      <c r="R36" s="1587"/>
      <c r="S36" s="1588"/>
      <c r="T36" s="843">
        <f>SUM(T19:T22,T24:T27,T29:T30,T32,T34:T35)</f>
        <v>1842250000</v>
      </c>
      <c r="U36" s="843">
        <f>SUM(U19:U22,U24:U27,U29:U30,U32,U34:U35)</f>
        <v>402279998</v>
      </c>
      <c r="V36" s="843">
        <f>SUM(V19:V22,V24:V27,V29:V30,V32,V34:V35)</f>
        <v>147800000</v>
      </c>
      <c r="W36" s="405"/>
      <c r="X36" s="1589"/>
      <c r="Y36" s="1589"/>
      <c r="Z36" s="1589"/>
      <c r="AA36" s="1589"/>
      <c r="AB36" s="1589"/>
      <c r="AC36" s="1589"/>
      <c r="AD36" s="1589"/>
      <c r="AE36" s="1589"/>
      <c r="AF36" s="1589"/>
      <c r="AG36" s="1589"/>
      <c r="AH36" s="1589"/>
      <c r="AI36" s="1589"/>
      <c r="AJ36" s="1589"/>
      <c r="AK36" s="1589"/>
      <c r="AL36" s="1589"/>
      <c r="AM36" s="1589"/>
      <c r="AN36" s="1589"/>
      <c r="AO36" s="1589"/>
      <c r="AP36" s="1589"/>
      <c r="AQ36" s="1589"/>
      <c r="AR36" s="1589"/>
      <c r="AS36" s="1589"/>
      <c r="AT36" s="1589"/>
      <c r="AU36" s="1589"/>
      <c r="AV36" s="1589"/>
      <c r="AW36" s="1589"/>
      <c r="AX36" s="1589"/>
      <c r="AY36" s="1589"/>
      <c r="AZ36" s="1589"/>
      <c r="BA36" s="1589"/>
      <c r="BB36" s="1589"/>
      <c r="BC36" s="1589"/>
      <c r="BD36" s="1589"/>
      <c r="BE36" s="358"/>
      <c r="BF36" s="1590">
        <f>SUM(BF19,BF24,BF29,BF32,BF34)</f>
        <v>402279998</v>
      </c>
      <c r="BG36" s="1590">
        <f>SUM(BG19,BG24,BG29,BG32,BG34)</f>
        <v>147800000</v>
      </c>
      <c r="BH36" s="1591"/>
      <c r="BI36" s="358"/>
      <c r="BJ36" s="1585"/>
      <c r="BK36" s="1592"/>
      <c r="BL36" s="1592"/>
      <c r="BM36" s="1593"/>
      <c r="BN36" s="1593"/>
      <c r="BO36" s="1594"/>
    </row>
    <row r="37" spans="1:67" ht="14.25" customHeight="1" x14ac:dyDescent="0.2">
      <c r="P37" s="1596"/>
      <c r="Q37" s="1565"/>
      <c r="R37" s="1565"/>
      <c r="S37" s="1565"/>
      <c r="T37" s="1565"/>
      <c r="U37" s="1565"/>
      <c r="V37" s="1565"/>
      <c r="W37" s="1565"/>
    </row>
    <row r="38" spans="1:67" ht="27" customHeight="1" x14ac:dyDescent="0.25">
      <c r="P38" s="1597"/>
      <c r="T38" s="1598"/>
      <c r="U38" s="1599"/>
    </row>
    <row r="39" spans="1:67" ht="54" customHeight="1" x14ac:dyDescent="0.2">
      <c r="T39" s="1597"/>
    </row>
    <row r="40" spans="1:67" ht="93" customHeight="1" x14ac:dyDescent="0.2"/>
    <row r="42" spans="1:67" ht="14.25" customHeight="1" x14ac:dyDescent="0.25">
      <c r="L42" s="1600"/>
      <c r="M42" s="1600"/>
    </row>
    <row r="43" spans="1:67" ht="14.25" customHeight="1" x14ac:dyDescent="0.25">
      <c r="L43" s="1111"/>
    </row>
  </sheetData>
  <sheetProtection algorithmName="SHA-512" hashValue="NQn5BeJC/rHG5r/ViWnPySg/aiRJARs5U+tFWJaHwNiPRIKUIWGGX3yxU7iwE9wxnCvDvBXlSoW+opwm0PraYw==" saltValue="kakNHXqrr1CqS0yUW7rPug==" spinCount="100000" sheet="1" objects="1" scenarios="1"/>
  <mergeCells count="298">
    <mergeCell ref="BL34:BL35"/>
    <mergeCell ref="BM34:BM35"/>
    <mergeCell ref="BN34:BN35"/>
    <mergeCell ref="BO34:BO35"/>
    <mergeCell ref="F36:O36"/>
    <mergeCell ref="BF34:BF35"/>
    <mergeCell ref="BG34:BG35"/>
    <mergeCell ref="BH34:BH35"/>
    <mergeCell ref="BI34:BI35"/>
    <mergeCell ref="BJ34:BJ35"/>
    <mergeCell ref="BK34:BK35"/>
    <mergeCell ref="AZ34:AZ35"/>
    <mergeCell ref="BA34:BA35"/>
    <mergeCell ref="BB34:BB35"/>
    <mergeCell ref="BC34:BC35"/>
    <mergeCell ref="BD34:BD35"/>
    <mergeCell ref="BE34:BE35"/>
    <mergeCell ref="AT34:AT35"/>
    <mergeCell ref="AU34:AU35"/>
    <mergeCell ref="AV34:AV35"/>
    <mergeCell ref="AW34:AW35"/>
    <mergeCell ref="AX34:AX35"/>
    <mergeCell ref="AY34:AY35"/>
    <mergeCell ref="AN34:AN35"/>
    <mergeCell ref="Y34:Y35"/>
    <mergeCell ref="Z34:Z35"/>
    <mergeCell ref="AA34:AA35"/>
    <mergeCell ref="AO34:AO35"/>
    <mergeCell ref="AP34:AP35"/>
    <mergeCell ref="AQ34:AQ35"/>
    <mergeCell ref="AR34:AR35"/>
    <mergeCell ref="AS34:AS35"/>
    <mergeCell ref="AH34:AH35"/>
    <mergeCell ref="AI34:AI35"/>
    <mergeCell ref="AJ34:AJ35"/>
    <mergeCell ref="AK34:AK35"/>
    <mergeCell ref="AL34:AL35"/>
    <mergeCell ref="AM34:AM35"/>
    <mergeCell ref="J34:J35"/>
    <mergeCell ref="K34:K35"/>
    <mergeCell ref="L34:L35"/>
    <mergeCell ref="M34:M35"/>
    <mergeCell ref="N34:N35"/>
    <mergeCell ref="P34:P35"/>
    <mergeCell ref="B32:C32"/>
    <mergeCell ref="G32:H32"/>
    <mergeCell ref="A33:BO33"/>
    <mergeCell ref="A34:A35"/>
    <mergeCell ref="B34:C35"/>
    <mergeCell ref="D34:D35"/>
    <mergeCell ref="E34:E35"/>
    <mergeCell ref="F34:F35"/>
    <mergeCell ref="G34:H35"/>
    <mergeCell ref="I34:I35"/>
    <mergeCell ref="AB34:AB35"/>
    <mergeCell ref="AC34:AC35"/>
    <mergeCell ref="AD34:AD35"/>
    <mergeCell ref="AE34:AE35"/>
    <mergeCell ref="AF34:AF35"/>
    <mergeCell ref="AG34:AG35"/>
    <mergeCell ref="Q34:Q35"/>
    <mergeCell ref="R34:R35"/>
    <mergeCell ref="BK29:BK30"/>
    <mergeCell ref="BL29:BL30"/>
    <mergeCell ref="BM29:BM30"/>
    <mergeCell ref="BN29:BN30"/>
    <mergeCell ref="BO29:BO30"/>
    <mergeCell ref="A31:BO31"/>
    <mergeCell ref="BE29:BE30"/>
    <mergeCell ref="BF29:BF30"/>
    <mergeCell ref="BG29:BG30"/>
    <mergeCell ref="BH29:BH30"/>
    <mergeCell ref="BI29:BI30"/>
    <mergeCell ref="BJ29:BJ30"/>
    <mergeCell ref="AY29:AY30"/>
    <mergeCell ref="AZ29:AZ30"/>
    <mergeCell ref="BA29:BA30"/>
    <mergeCell ref="BB29:BB30"/>
    <mergeCell ref="BC29:BC30"/>
    <mergeCell ref="BD29:BD30"/>
    <mergeCell ref="AS29:AS30"/>
    <mergeCell ref="AT29:AT30"/>
    <mergeCell ref="AU29:AU30"/>
    <mergeCell ref="AV29:AV30"/>
    <mergeCell ref="AW29:AW30"/>
    <mergeCell ref="AX29:AX30"/>
    <mergeCell ref="AM29:AM30"/>
    <mergeCell ref="AN29:AN30"/>
    <mergeCell ref="AO29:AO30"/>
    <mergeCell ref="AP29:AP30"/>
    <mergeCell ref="AQ29:AQ30"/>
    <mergeCell ref="AR29:AR30"/>
    <mergeCell ref="AG29:AG30"/>
    <mergeCell ref="AH29:AH30"/>
    <mergeCell ref="AI29:AI30"/>
    <mergeCell ref="AJ29:AJ30"/>
    <mergeCell ref="AK29:AK30"/>
    <mergeCell ref="AL29:AL30"/>
    <mergeCell ref="AA29:AA30"/>
    <mergeCell ref="AB29:AB30"/>
    <mergeCell ref="AC29:AC30"/>
    <mergeCell ref="AD29:AD30"/>
    <mergeCell ref="AE29:AE30"/>
    <mergeCell ref="AF29:AF30"/>
    <mergeCell ref="M29:M30"/>
    <mergeCell ref="N29:N30"/>
    <mergeCell ref="P29:P30"/>
    <mergeCell ref="Q29:Q30"/>
    <mergeCell ref="Y29:Y30"/>
    <mergeCell ref="Z29:Z30"/>
    <mergeCell ref="BN24:BN27"/>
    <mergeCell ref="BO24:BO27"/>
    <mergeCell ref="A28:BO28"/>
    <mergeCell ref="A29:A30"/>
    <mergeCell ref="B29:C30"/>
    <mergeCell ref="D29:D30"/>
    <mergeCell ref="E29:E30"/>
    <mergeCell ref="F29:F30"/>
    <mergeCell ref="G29:H30"/>
    <mergeCell ref="L29:L30"/>
    <mergeCell ref="BH24:BH27"/>
    <mergeCell ref="BI24:BI27"/>
    <mergeCell ref="BJ24:BJ27"/>
    <mergeCell ref="BK24:BK27"/>
    <mergeCell ref="BL24:BL27"/>
    <mergeCell ref="BM24:BM27"/>
    <mergeCell ref="BB24:BB27"/>
    <mergeCell ref="BC24:BC27"/>
    <mergeCell ref="BD24:BD27"/>
    <mergeCell ref="BE24:BE27"/>
    <mergeCell ref="BF24:BF27"/>
    <mergeCell ref="BG24:BG27"/>
    <mergeCell ref="AV24:AV27"/>
    <mergeCell ref="AW24:AW27"/>
    <mergeCell ref="AX24:AX27"/>
    <mergeCell ref="AY24:AY27"/>
    <mergeCell ref="AZ24:AZ27"/>
    <mergeCell ref="BA24:BA27"/>
    <mergeCell ref="AP24:AP27"/>
    <mergeCell ref="AQ24:AQ27"/>
    <mergeCell ref="AR24:AR27"/>
    <mergeCell ref="AS24:AS27"/>
    <mergeCell ref="AT24:AT27"/>
    <mergeCell ref="AU24:AU27"/>
    <mergeCell ref="AK24:AK27"/>
    <mergeCell ref="AL24:AL27"/>
    <mergeCell ref="AM24:AM27"/>
    <mergeCell ref="AN24:AN27"/>
    <mergeCell ref="AO24:AO27"/>
    <mergeCell ref="AD24:AD27"/>
    <mergeCell ref="AE24:AE27"/>
    <mergeCell ref="AF24:AF27"/>
    <mergeCell ref="AG24:AG27"/>
    <mergeCell ref="AH24:AH27"/>
    <mergeCell ref="AI24:AI27"/>
    <mergeCell ref="AL19:AL22"/>
    <mergeCell ref="A23:BO23"/>
    <mergeCell ref="A24:A27"/>
    <mergeCell ref="B24:C27"/>
    <mergeCell ref="D24:D27"/>
    <mergeCell ref="E24:E27"/>
    <mergeCell ref="F24:F27"/>
    <mergeCell ref="G24:H27"/>
    <mergeCell ref="I24:I25"/>
    <mergeCell ref="J24:J25"/>
    <mergeCell ref="K24:K25"/>
    <mergeCell ref="R24:R27"/>
    <mergeCell ref="Y24:Y27"/>
    <mergeCell ref="Z24:Z27"/>
    <mergeCell ref="AA24:AA27"/>
    <mergeCell ref="AB24:AB27"/>
    <mergeCell ref="AC24:AC27"/>
    <mergeCell ref="L24:L27"/>
    <mergeCell ref="M24:M27"/>
    <mergeCell ref="N24:N27"/>
    <mergeCell ref="O24:O25"/>
    <mergeCell ref="P24:P27"/>
    <mergeCell ref="Q24:Q27"/>
    <mergeCell ref="AJ24:AJ27"/>
    <mergeCell ref="BM19:BM22"/>
    <mergeCell ref="BN19:BN22"/>
    <mergeCell ref="BO19:BO22"/>
    <mergeCell ref="A17:F17"/>
    <mergeCell ref="A18:H18"/>
    <mergeCell ref="A19:A22"/>
    <mergeCell ref="B19:C22"/>
    <mergeCell ref="D19:D22"/>
    <mergeCell ref="E19:E22"/>
    <mergeCell ref="F19:F22"/>
    <mergeCell ref="G19:H22"/>
    <mergeCell ref="O19:O22"/>
    <mergeCell ref="P19:P22"/>
    <mergeCell ref="Q19:Q22"/>
    <mergeCell ref="R19:R22"/>
    <mergeCell ref="Y19:Y22"/>
    <mergeCell ref="Z19:Z22"/>
    <mergeCell ref="I21:I22"/>
    <mergeCell ref="J21:J22"/>
    <mergeCell ref="K21:K22"/>
    <mergeCell ref="BE19:BE22"/>
    <mergeCell ref="BF19:BF22"/>
    <mergeCell ref="BG19:BG22"/>
    <mergeCell ref="BH19:BH22"/>
    <mergeCell ref="AA19:AA22"/>
    <mergeCell ref="AB19:AB22"/>
    <mergeCell ref="AC19:AC22"/>
    <mergeCell ref="AD19:AD22"/>
    <mergeCell ref="AE19:AE22"/>
    <mergeCell ref="AF19:AF22"/>
    <mergeCell ref="AM19:AM22"/>
    <mergeCell ref="BK19:BK22"/>
    <mergeCell ref="BL19:BL22"/>
    <mergeCell ref="BI19:BI22"/>
    <mergeCell ref="BJ19:BJ22"/>
    <mergeCell ref="AY19:AY22"/>
    <mergeCell ref="AZ19:AZ22"/>
    <mergeCell ref="BA19:BA22"/>
    <mergeCell ref="BB19:BB22"/>
    <mergeCell ref="BC19:BC22"/>
    <mergeCell ref="BD19:BD22"/>
    <mergeCell ref="AS19:AS22"/>
    <mergeCell ref="AT19:AT22"/>
    <mergeCell ref="AU19:AU22"/>
    <mergeCell ref="AV19:AV22"/>
    <mergeCell ref="AI19:AI22"/>
    <mergeCell ref="AJ19:AJ22"/>
    <mergeCell ref="AK19:AK22"/>
    <mergeCell ref="BK7:BL8"/>
    <mergeCell ref="BM7:BN8"/>
    <mergeCell ref="I19:I20"/>
    <mergeCell ref="J19:J20"/>
    <mergeCell ref="K19:K20"/>
    <mergeCell ref="L19:L22"/>
    <mergeCell ref="M19:M22"/>
    <mergeCell ref="N19:N22"/>
    <mergeCell ref="BI8:BI9"/>
    <mergeCell ref="BJ8:BJ9"/>
    <mergeCell ref="AU8:AV8"/>
    <mergeCell ref="AW8:AX8"/>
    <mergeCell ref="AY8:AZ8"/>
    <mergeCell ref="BA8:BB8"/>
    <mergeCell ref="BC8:BD8"/>
    <mergeCell ref="AW19:AW22"/>
    <mergeCell ref="AX19:AX22"/>
    <mergeCell ref="AN19:AN22"/>
    <mergeCell ref="AO19:AO22"/>
    <mergeCell ref="AP19:AP22"/>
    <mergeCell ref="AQ19:AQ22"/>
    <mergeCell ref="AR19:AR22"/>
    <mergeCell ref="AG19:AG22"/>
    <mergeCell ref="AH19:AH22"/>
    <mergeCell ref="BF8:BF9"/>
    <mergeCell ref="BG8:BG9"/>
    <mergeCell ref="BH8:BH9"/>
    <mergeCell ref="T7:V8"/>
    <mergeCell ref="W7:W9"/>
    <mergeCell ref="X7:X15"/>
    <mergeCell ref="Y7:AB7"/>
    <mergeCell ref="AC7:AJ7"/>
    <mergeCell ref="AK7:AV7"/>
    <mergeCell ref="Y8:Z8"/>
    <mergeCell ref="AA8:AB8"/>
    <mergeCell ref="AC8:AD8"/>
    <mergeCell ref="AE8:AF8"/>
    <mergeCell ref="AK8:AL8"/>
    <mergeCell ref="AM8:AN8"/>
    <mergeCell ref="AO8:AP8"/>
    <mergeCell ref="AQ8:AR8"/>
    <mergeCell ref="AW7:BB7"/>
    <mergeCell ref="BC7:BD7"/>
    <mergeCell ref="BE7:BJ7"/>
    <mergeCell ref="AS8:AT8"/>
    <mergeCell ref="AG8:AH8"/>
    <mergeCell ref="AI8:AJ8"/>
    <mergeCell ref="A1:BK4"/>
    <mergeCell ref="A5:K6"/>
    <mergeCell ref="N5:BO5"/>
    <mergeCell ref="N6:X6"/>
    <mergeCell ref="BK6:BO6"/>
    <mergeCell ref="A7:A15"/>
    <mergeCell ref="B7:C15"/>
    <mergeCell ref="D7:D15"/>
    <mergeCell ref="E7:E15"/>
    <mergeCell ref="F7:F15"/>
    <mergeCell ref="N7:N15"/>
    <mergeCell ref="O7:O15"/>
    <mergeCell ref="P7:P15"/>
    <mergeCell ref="Q7:Q15"/>
    <mergeCell ref="R7:R15"/>
    <mergeCell ref="S7:S15"/>
    <mergeCell ref="G7:H15"/>
    <mergeCell ref="I7:I15"/>
    <mergeCell ref="J7:J15"/>
    <mergeCell ref="K7:K15"/>
    <mergeCell ref="L7:L15"/>
    <mergeCell ref="M7:M9"/>
    <mergeCell ref="BO7:BO15"/>
    <mergeCell ref="BE8:BE9"/>
  </mergeCells>
  <pageMargins left="1.1023622047244095" right="0" top="0.74803149606299213" bottom="0.74803149606299213" header="0.31496062992125984" footer="0.31496062992125984"/>
  <pageSetup paperSize="258" scale="5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50"/>
  <sheetViews>
    <sheetView showGridLines="0" zoomScale="60" zoomScaleNormal="60" workbookViewId="0">
      <selection activeCell="M13" sqref="M13:M16"/>
    </sheetView>
  </sheetViews>
  <sheetFormatPr baseColWidth="10" defaultColWidth="11.42578125" defaultRowHeight="14.25" x14ac:dyDescent="0.2"/>
  <cols>
    <col min="1" max="1" width="15.85546875" style="2" customWidth="1"/>
    <col min="2" max="2" width="8.42578125" style="2" customWidth="1"/>
    <col min="3" max="3" width="15.42578125" style="2" customWidth="1"/>
    <col min="4" max="4" width="16.42578125" style="2" customWidth="1"/>
    <col min="5" max="5" width="18.28515625" style="2" customWidth="1"/>
    <col min="6" max="6" width="13.5703125" style="2" customWidth="1"/>
    <col min="7" max="7" width="30.28515625" style="2" customWidth="1"/>
    <col min="8" max="8" width="18.28515625" style="2" customWidth="1"/>
    <col min="9" max="9" width="40" style="86" customWidth="1"/>
    <col min="10" max="10" width="37" style="86" customWidth="1"/>
    <col min="11" max="12" width="11.85546875" style="2" hidden="1" customWidth="1"/>
    <col min="13" max="13" width="33.42578125" style="2" customWidth="1"/>
    <col min="14" max="14" width="23.85546875" style="2" customWidth="1"/>
    <col min="15" max="15" width="32.28515625" style="86" customWidth="1"/>
    <col min="16" max="16" width="17" style="89" customWidth="1"/>
    <col min="17" max="17" width="26" style="89" customWidth="1"/>
    <col min="18" max="18" width="41.5703125" style="86" customWidth="1"/>
    <col min="19" max="19" width="33.85546875" style="86" customWidth="1"/>
    <col min="20" max="20" width="38.7109375" style="86" customWidth="1"/>
    <col min="21" max="21" width="23.85546875" style="89" customWidth="1"/>
    <col min="22" max="23" width="23.85546875" style="1544" customWidth="1"/>
    <col min="24" max="24" width="10.7109375" style="2" customWidth="1"/>
    <col min="25" max="25" width="14.85546875" style="2" customWidth="1"/>
    <col min="26" max="27" width="10.5703125" style="2" bestFit="1" customWidth="1"/>
    <col min="28" max="28" width="13.85546875" style="2" customWidth="1"/>
    <col min="29" max="29" width="9.42578125" style="2" customWidth="1"/>
    <col min="30" max="30" width="10.5703125" style="2" bestFit="1" customWidth="1"/>
    <col min="31" max="33" width="9.42578125" style="2" customWidth="1"/>
    <col min="34" max="34" width="13.85546875" style="2" customWidth="1"/>
    <col min="35" max="35" width="9.42578125" style="2" customWidth="1"/>
    <col min="36" max="36" width="13.85546875" style="2" customWidth="1"/>
    <col min="37" max="55" width="9.42578125" style="2" customWidth="1"/>
    <col min="56" max="56" width="12.85546875" style="2" customWidth="1"/>
    <col min="57" max="57" width="12.7109375" style="2" customWidth="1"/>
    <col min="58" max="60" width="25.28515625" style="1545" customWidth="1"/>
    <col min="61" max="61" width="25.28515625" style="1546" customWidth="1"/>
    <col min="62" max="62" width="25.28515625" style="1545" customWidth="1"/>
    <col min="63" max="63" width="25.28515625" style="1428" customWidth="1"/>
    <col min="64" max="67" width="14.42578125" style="1404" customWidth="1"/>
    <col min="68" max="68" width="19.85546875" style="2" customWidth="1"/>
    <col min="69" max="16384" width="11.42578125" style="2"/>
  </cols>
  <sheetData>
    <row r="1" spans="1:68" ht="15" customHeight="1" x14ac:dyDescent="0.25">
      <c r="A1" s="3483" t="s">
        <v>2121</v>
      </c>
      <c r="B1" s="3483"/>
      <c r="C1" s="3483"/>
      <c r="D1" s="3483"/>
      <c r="E1" s="3483"/>
      <c r="F1" s="3483"/>
      <c r="G1" s="3483"/>
      <c r="H1" s="3483"/>
      <c r="I1" s="3483"/>
      <c r="J1" s="3483"/>
      <c r="K1" s="3483"/>
      <c r="L1" s="3483"/>
      <c r="M1" s="3483"/>
      <c r="N1" s="3483"/>
      <c r="O1" s="3483"/>
      <c r="P1" s="3483"/>
      <c r="Q1" s="3483"/>
      <c r="R1" s="3483"/>
      <c r="S1" s="3483"/>
      <c r="T1" s="3483"/>
      <c r="U1" s="3483"/>
      <c r="V1" s="3483"/>
      <c r="W1" s="3483"/>
      <c r="X1" s="3483"/>
      <c r="Y1" s="3483"/>
      <c r="Z1" s="3483"/>
      <c r="AA1" s="3483"/>
      <c r="AB1" s="3483"/>
      <c r="AC1" s="3483"/>
      <c r="AD1" s="3483"/>
      <c r="AE1" s="3483"/>
      <c r="AF1" s="3483"/>
      <c r="AG1" s="3483"/>
      <c r="AH1" s="3483"/>
      <c r="AI1" s="3483"/>
      <c r="AJ1" s="3483"/>
      <c r="AK1" s="3483"/>
      <c r="AL1" s="3483"/>
      <c r="AM1" s="3483"/>
      <c r="AN1" s="3483"/>
      <c r="AO1" s="3483"/>
      <c r="AP1" s="3483"/>
      <c r="AQ1" s="3483"/>
      <c r="AR1" s="3483"/>
      <c r="AS1" s="3483"/>
      <c r="AT1" s="3483"/>
      <c r="AU1" s="3483"/>
      <c r="AV1" s="3483"/>
      <c r="AW1" s="3483"/>
      <c r="AX1" s="3483"/>
      <c r="AY1" s="3483"/>
      <c r="AZ1" s="3483"/>
      <c r="BA1" s="3483"/>
      <c r="BB1" s="3483"/>
      <c r="BC1" s="3483"/>
      <c r="BD1" s="3483"/>
      <c r="BE1" s="3483"/>
      <c r="BF1" s="3483"/>
      <c r="BG1" s="3483"/>
      <c r="BH1" s="3483"/>
      <c r="BI1" s="3483"/>
      <c r="BJ1" s="3483"/>
      <c r="BK1" s="3483"/>
      <c r="BL1" s="3483"/>
      <c r="BM1" s="1403"/>
      <c r="BO1" s="1405" t="s">
        <v>0</v>
      </c>
      <c r="BP1" s="3" t="s">
        <v>1</v>
      </c>
    </row>
    <row r="2" spans="1:68" ht="15" x14ac:dyDescent="0.25">
      <c r="A2" s="3483"/>
      <c r="B2" s="3483"/>
      <c r="C2" s="3483"/>
      <c r="D2" s="3483"/>
      <c r="E2" s="3483"/>
      <c r="F2" s="3483"/>
      <c r="G2" s="3483"/>
      <c r="H2" s="3483"/>
      <c r="I2" s="3483"/>
      <c r="J2" s="3483"/>
      <c r="K2" s="3483"/>
      <c r="L2" s="3483"/>
      <c r="M2" s="3483"/>
      <c r="N2" s="3483"/>
      <c r="O2" s="3483"/>
      <c r="P2" s="3483"/>
      <c r="Q2" s="3483"/>
      <c r="R2" s="3483"/>
      <c r="S2" s="3483"/>
      <c r="T2" s="3483"/>
      <c r="U2" s="3483"/>
      <c r="V2" s="3483"/>
      <c r="W2" s="3483"/>
      <c r="X2" s="3483"/>
      <c r="Y2" s="3483"/>
      <c r="Z2" s="3483"/>
      <c r="AA2" s="3483"/>
      <c r="AB2" s="3483"/>
      <c r="AC2" s="3483"/>
      <c r="AD2" s="3483"/>
      <c r="AE2" s="3483"/>
      <c r="AF2" s="3483"/>
      <c r="AG2" s="3483"/>
      <c r="AH2" s="3483"/>
      <c r="AI2" s="3483"/>
      <c r="AJ2" s="3483"/>
      <c r="AK2" s="3483"/>
      <c r="AL2" s="3483"/>
      <c r="AM2" s="3483"/>
      <c r="AN2" s="3483"/>
      <c r="AO2" s="3483"/>
      <c r="AP2" s="3483"/>
      <c r="AQ2" s="3483"/>
      <c r="AR2" s="3483"/>
      <c r="AS2" s="3483"/>
      <c r="AT2" s="3483"/>
      <c r="AU2" s="3483"/>
      <c r="AV2" s="3483"/>
      <c r="AW2" s="3483"/>
      <c r="AX2" s="3483"/>
      <c r="AY2" s="3483"/>
      <c r="AZ2" s="3483"/>
      <c r="BA2" s="3483"/>
      <c r="BB2" s="3483"/>
      <c r="BC2" s="3483"/>
      <c r="BD2" s="3483"/>
      <c r="BE2" s="3483"/>
      <c r="BF2" s="3483"/>
      <c r="BG2" s="3483"/>
      <c r="BH2" s="3483"/>
      <c r="BI2" s="3483"/>
      <c r="BJ2" s="3483"/>
      <c r="BK2" s="3483"/>
      <c r="BL2" s="3483"/>
      <c r="BM2" s="1403"/>
      <c r="BO2" s="1406" t="s">
        <v>2</v>
      </c>
      <c r="BP2" s="5">
        <v>6</v>
      </c>
    </row>
    <row r="3" spans="1:68" ht="15" x14ac:dyDescent="0.25">
      <c r="A3" s="3483"/>
      <c r="B3" s="3483"/>
      <c r="C3" s="3483"/>
      <c r="D3" s="3483"/>
      <c r="E3" s="3483"/>
      <c r="F3" s="3483"/>
      <c r="G3" s="3483"/>
      <c r="H3" s="3483"/>
      <c r="I3" s="3483"/>
      <c r="J3" s="3483"/>
      <c r="K3" s="3483"/>
      <c r="L3" s="3483"/>
      <c r="M3" s="3483"/>
      <c r="N3" s="3483"/>
      <c r="O3" s="3483"/>
      <c r="P3" s="3483"/>
      <c r="Q3" s="3483"/>
      <c r="R3" s="3483"/>
      <c r="S3" s="3483"/>
      <c r="T3" s="3483"/>
      <c r="U3" s="3483"/>
      <c r="V3" s="3483"/>
      <c r="W3" s="3483"/>
      <c r="X3" s="3483"/>
      <c r="Y3" s="3483"/>
      <c r="Z3" s="3483"/>
      <c r="AA3" s="3483"/>
      <c r="AB3" s="3483"/>
      <c r="AC3" s="3483"/>
      <c r="AD3" s="3483"/>
      <c r="AE3" s="3483"/>
      <c r="AF3" s="3483"/>
      <c r="AG3" s="3483"/>
      <c r="AH3" s="3483"/>
      <c r="AI3" s="3483"/>
      <c r="AJ3" s="3483"/>
      <c r="AK3" s="3483"/>
      <c r="AL3" s="3483"/>
      <c r="AM3" s="3483"/>
      <c r="AN3" s="3483"/>
      <c r="AO3" s="3483"/>
      <c r="AP3" s="3483"/>
      <c r="AQ3" s="3483"/>
      <c r="AR3" s="3483"/>
      <c r="AS3" s="3483"/>
      <c r="AT3" s="3483"/>
      <c r="AU3" s="3483"/>
      <c r="AV3" s="3483"/>
      <c r="AW3" s="3483"/>
      <c r="AX3" s="3483"/>
      <c r="AY3" s="3483"/>
      <c r="AZ3" s="3483"/>
      <c r="BA3" s="3483"/>
      <c r="BB3" s="3483"/>
      <c r="BC3" s="3483"/>
      <c r="BD3" s="3483"/>
      <c r="BE3" s="3483"/>
      <c r="BF3" s="3483"/>
      <c r="BG3" s="3483"/>
      <c r="BH3" s="3483"/>
      <c r="BI3" s="3483"/>
      <c r="BJ3" s="3483"/>
      <c r="BK3" s="3483"/>
      <c r="BL3" s="3483"/>
      <c r="BM3" s="1403"/>
      <c r="BO3" s="1405" t="s">
        <v>3</v>
      </c>
      <c r="BP3" s="6" t="s">
        <v>4</v>
      </c>
    </row>
    <row r="4" spans="1:68" s="8" customFormat="1" ht="21" customHeight="1" x14ac:dyDescent="0.2">
      <c r="A4" s="2566"/>
      <c r="B4" s="2566"/>
      <c r="C4" s="2566"/>
      <c r="D4" s="2566"/>
      <c r="E4" s="2566"/>
      <c r="F4" s="2566"/>
      <c r="G4" s="2566"/>
      <c r="H4" s="2566"/>
      <c r="I4" s="2566"/>
      <c r="J4" s="2566"/>
      <c r="K4" s="2566"/>
      <c r="L4" s="2566"/>
      <c r="M4" s="2566"/>
      <c r="N4" s="2566"/>
      <c r="O4" s="2566"/>
      <c r="P4" s="2566"/>
      <c r="Q4" s="2566"/>
      <c r="R4" s="2566"/>
      <c r="S4" s="2566"/>
      <c r="T4" s="2566"/>
      <c r="U4" s="2566"/>
      <c r="V4" s="2566"/>
      <c r="W4" s="2566"/>
      <c r="X4" s="2566"/>
      <c r="Y4" s="2566"/>
      <c r="Z4" s="2566"/>
      <c r="AA4" s="2566"/>
      <c r="AB4" s="2566"/>
      <c r="AC4" s="2566"/>
      <c r="AD4" s="2566"/>
      <c r="AE4" s="2566"/>
      <c r="AF4" s="2566"/>
      <c r="AG4" s="2566"/>
      <c r="AH4" s="2566"/>
      <c r="AI4" s="2566"/>
      <c r="AJ4" s="2566"/>
      <c r="AK4" s="2566"/>
      <c r="AL4" s="2566"/>
      <c r="AM4" s="2566"/>
      <c r="AN4" s="2566"/>
      <c r="AO4" s="2566"/>
      <c r="AP4" s="2566"/>
      <c r="AQ4" s="2566"/>
      <c r="AR4" s="2566"/>
      <c r="AS4" s="2566"/>
      <c r="AT4" s="2566"/>
      <c r="AU4" s="2566"/>
      <c r="AV4" s="2566"/>
      <c r="AW4" s="2566"/>
      <c r="AX4" s="2566"/>
      <c r="AY4" s="2566"/>
      <c r="AZ4" s="2566"/>
      <c r="BA4" s="2566"/>
      <c r="BB4" s="2566"/>
      <c r="BC4" s="2566"/>
      <c r="BD4" s="2566"/>
      <c r="BE4" s="2566"/>
      <c r="BF4" s="2566"/>
      <c r="BG4" s="2566"/>
      <c r="BH4" s="2566"/>
      <c r="BI4" s="2566"/>
      <c r="BJ4" s="2566"/>
      <c r="BK4" s="2566"/>
      <c r="BL4" s="2566"/>
      <c r="BM4" s="1407"/>
      <c r="BN4" s="1408"/>
      <c r="BO4" s="1409" t="s">
        <v>5</v>
      </c>
      <c r="BP4" s="10" t="s">
        <v>6</v>
      </c>
    </row>
    <row r="5" spans="1:68" ht="15" x14ac:dyDescent="0.2">
      <c r="A5" s="2571" t="s">
        <v>7</v>
      </c>
      <c r="B5" s="2571"/>
      <c r="C5" s="2571"/>
      <c r="D5" s="2571"/>
      <c r="E5" s="2571"/>
      <c r="F5" s="2571"/>
      <c r="G5" s="2571"/>
      <c r="H5" s="2571"/>
      <c r="I5" s="2571"/>
      <c r="J5" s="2571"/>
      <c r="K5" s="2571"/>
      <c r="L5" s="1144"/>
      <c r="M5" s="1144"/>
      <c r="N5" s="1144"/>
      <c r="O5" s="2571" t="s">
        <v>8</v>
      </c>
      <c r="P5" s="2571"/>
      <c r="Q5" s="2571"/>
      <c r="R5" s="2571"/>
      <c r="S5" s="2571"/>
      <c r="T5" s="2571"/>
      <c r="U5" s="2571"/>
      <c r="V5" s="2571"/>
      <c r="W5" s="2571"/>
      <c r="X5" s="2571"/>
      <c r="Y5" s="2571"/>
      <c r="Z5" s="2571"/>
      <c r="AA5" s="2571"/>
      <c r="AB5" s="2571"/>
      <c r="AC5" s="2571"/>
      <c r="AD5" s="2571"/>
      <c r="AE5" s="2571"/>
      <c r="AF5" s="2571"/>
      <c r="AG5" s="2571"/>
      <c r="AH5" s="2571"/>
      <c r="AI5" s="2571"/>
      <c r="AJ5" s="2571"/>
      <c r="AK5" s="2571"/>
      <c r="AL5" s="2571"/>
      <c r="AM5" s="2571"/>
      <c r="AN5" s="2571"/>
      <c r="AO5" s="2571"/>
      <c r="AP5" s="2571"/>
      <c r="AQ5" s="2571"/>
      <c r="AR5" s="2571"/>
      <c r="AS5" s="2571"/>
      <c r="AT5" s="2571"/>
      <c r="AU5" s="2571"/>
      <c r="AV5" s="2571"/>
      <c r="AW5" s="2571"/>
      <c r="AX5" s="2571"/>
      <c r="AY5" s="2571"/>
      <c r="AZ5" s="2571"/>
      <c r="BA5" s="2571"/>
      <c r="BB5" s="2571"/>
      <c r="BC5" s="2571"/>
      <c r="BD5" s="2571"/>
      <c r="BE5" s="2571"/>
      <c r="BF5" s="2571"/>
      <c r="BG5" s="2571"/>
      <c r="BH5" s="2571"/>
      <c r="BI5" s="2571"/>
      <c r="BJ5" s="2571"/>
      <c r="BK5" s="2571"/>
      <c r="BL5" s="2571"/>
      <c r="BM5" s="2571"/>
      <c r="BN5" s="2571"/>
      <c r="BO5" s="2571"/>
      <c r="BP5" s="2571"/>
    </row>
    <row r="6" spans="1:68" ht="14.45" customHeight="1" x14ac:dyDescent="0.2">
      <c r="A6" s="3453"/>
      <c r="B6" s="3453"/>
      <c r="C6" s="3453"/>
      <c r="D6" s="3453"/>
      <c r="E6" s="3453"/>
      <c r="F6" s="3453"/>
      <c r="G6" s="3453"/>
      <c r="H6" s="3453"/>
      <c r="I6" s="3453"/>
      <c r="J6" s="3453"/>
      <c r="K6" s="3453"/>
      <c r="L6" s="1410"/>
      <c r="M6" s="1410"/>
      <c r="N6" s="1411"/>
      <c r="O6" s="3484"/>
      <c r="P6" s="3485"/>
      <c r="Q6" s="3485"/>
      <c r="R6" s="3485"/>
      <c r="S6" s="3485"/>
      <c r="T6" s="3485"/>
      <c r="U6" s="3485"/>
      <c r="V6" s="3485"/>
      <c r="W6" s="3485"/>
      <c r="X6" s="3485"/>
      <c r="Y6" s="3452"/>
      <c r="Z6" s="1412"/>
      <c r="AA6" s="1412"/>
      <c r="AB6" s="1412"/>
      <c r="AC6" s="1412"/>
      <c r="AD6" s="1412"/>
      <c r="AE6" s="1412"/>
      <c r="AF6" s="1412"/>
      <c r="AG6" s="1412"/>
      <c r="AH6" s="1412"/>
      <c r="AI6" s="1412"/>
      <c r="AJ6" s="1412"/>
      <c r="AK6" s="1412"/>
      <c r="AL6" s="1412"/>
      <c r="AM6" s="1412"/>
      <c r="AN6" s="1412"/>
      <c r="AO6" s="1412"/>
      <c r="AP6" s="1412"/>
      <c r="AQ6" s="1412"/>
      <c r="AR6" s="1412"/>
      <c r="AS6" s="1412"/>
      <c r="AT6" s="1412"/>
      <c r="AU6" s="1412"/>
      <c r="AV6" s="1412"/>
      <c r="AW6" s="1412"/>
      <c r="AX6" s="1412"/>
      <c r="AY6" s="1412"/>
      <c r="AZ6" s="1412"/>
      <c r="BA6" s="1412"/>
      <c r="BB6" s="1412"/>
      <c r="BC6" s="1412"/>
      <c r="BD6" s="1412"/>
      <c r="BE6" s="1412"/>
      <c r="BF6" s="1412"/>
      <c r="BG6" s="1412"/>
      <c r="BH6" s="1412"/>
      <c r="BI6" s="1413"/>
      <c r="BJ6" s="1412"/>
      <c r="BK6" s="1414"/>
      <c r="BL6" s="3484"/>
      <c r="BM6" s="3485"/>
      <c r="BN6" s="3485"/>
      <c r="BO6" s="3485"/>
      <c r="BP6" s="3452"/>
    </row>
    <row r="7" spans="1:68" s="14" customFormat="1" ht="22.5" customHeight="1" x14ac:dyDescent="0.2">
      <c r="A7" s="2568" t="s">
        <v>9</v>
      </c>
      <c r="B7" s="2568" t="s">
        <v>10</v>
      </c>
      <c r="C7" s="2568"/>
      <c r="D7" s="2568" t="s">
        <v>9</v>
      </c>
      <c r="E7" s="2568" t="s">
        <v>11</v>
      </c>
      <c r="F7" s="2568" t="s">
        <v>9</v>
      </c>
      <c r="G7" s="2568" t="s">
        <v>12</v>
      </c>
      <c r="H7" s="2568" t="s">
        <v>9</v>
      </c>
      <c r="I7" s="3473" t="s">
        <v>13</v>
      </c>
      <c r="J7" s="2568" t="s">
        <v>14</v>
      </c>
      <c r="K7" s="2569" t="s">
        <v>15</v>
      </c>
      <c r="L7" s="2569"/>
      <c r="M7" s="2568" t="s">
        <v>16</v>
      </c>
      <c r="N7" s="2589" t="s">
        <v>17</v>
      </c>
      <c r="O7" s="3473" t="s">
        <v>8</v>
      </c>
      <c r="P7" s="2568" t="s">
        <v>18</v>
      </c>
      <c r="Q7" s="2568" t="s">
        <v>19</v>
      </c>
      <c r="R7" s="3473" t="s">
        <v>20</v>
      </c>
      <c r="S7" s="3473" t="s">
        <v>21</v>
      </c>
      <c r="T7" s="3473" t="s">
        <v>22</v>
      </c>
      <c r="U7" s="2569" t="s">
        <v>19</v>
      </c>
      <c r="V7" s="2569"/>
      <c r="W7" s="2569"/>
      <c r="X7" s="2589" t="s">
        <v>9</v>
      </c>
      <c r="Y7" s="2568" t="s">
        <v>23</v>
      </c>
      <c r="Z7" s="2594" t="s">
        <v>24</v>
      </c>
      <c r="AA7" s="2594"/>
      <c r="AB7" s="2594"/>
      <c r="AC7" s="2594"/>
      <c r="AD7" s="2577" t="s">
        <v>25</v>
      </c>
      <c r="AE7" s="2577"/>
      <c r="AF7" s="2577"/>
      <c r="AG7" s="2577"/>
      <c r="AH7" s="2577"/>
      <c r="AI7" s="2577"/>
      <c r="AJ7" s="2577"/>
      <c r="AK7" s="2577"/>
      <c r="AL7" s="2576" t="s">
        <v>26</v>
      </c>
      <c r="AM7" s="2576"/>
      <c r="AN7" s="2576"/>
      <c r="AO7" s="2576"/>
      <c r="AP7" s="2576"/>
      <c r="AQ7" s="2576"/>
      <c r="AR7" s="2576"/>
      <c r="AS7" s="2576"/>
      <c r="AT7" s="2576"/>
      <c r="AU7" s="2576"/>
      <c r="AV7" s="2576"/>
      <c r="AW7" s="2576"/>
      <c r="AX7" s="2577" t="s">
        <v>27</v>
      </c>
      <c r="AY7" s="2577"/>
      <c r="AZ7" s="2577"/>
      <c r="BA7" s="2577"/>
      <c r="BB7" s="2577"/>
      <c r="BC7" s="2577"/>
      <c r="BD7" s="2577" t="s">
        <v>28</v>
      </c>
      <c r="BE7" s="2577"/>
      <c r="BF7" s="3482" t="s">
        <v>29</v>
      </c>
      <c r="BG7" s="3482"/>
      <c r="BH7" s="3482"/>
      <c r="BI7" s="3482"/>
      <c r="BJ7" s="3482"/>
      <c r="BK7" s="3482"/>
      <c r="BL7" s="3477" t="s">
        <v>30</v>
      </c>
      <c r="BM7" s="3477"/>
      <c r="BN7" s="3477" t="s">
        <v>31</v>
      </c>
      <c r="BO7" s="3477"/>
      <c r="BP7" s="2573" t="s">
        <v>32</v>
      </c>
    </row>
    <row r="8" spans="1:68" s="14" customFormat="1" ht="134.25" customHeight="1" x14ac:dyDescent="0.2">
      <c r="A8" s="2568"/>
      <c r="B8" s="2568"/>
      <c r="C8" s="2568"/>
      <c r="D8" s="2568"/>
      <c r="E8" s="2568"/>
      <c r="F8" s="2568"/>
      <c r="G8" s="2568"/>
      <c r="H8" s="2568"/>
      <c r="I8" s="3473"/>
      <c r="J8" s="2568"/>
      <c r="K8" s="2569"/>
      <c r="L8" s="2569"/>
      <c r="M8" s="2568"/>
      <c r="N8" s="2589"/>
      <c r="O8" s="3473"/>
      <c r="P8" s="2568"/>
      <c r="Q8" s="2568"/>
      <c r="R8" s="3473"/>
      <c r="S8" s="3473"/>
      <c r="T8" s="3473"/>
      <c r="U8" s="2569"/>
      <c r="V8" s="2569"/>
      <c r="W8" s="2569"/>
      <c r="X8" s="2589"/>
      <c r="Y8" s="2568"/>
      <c r="Z8" s="2574" t="s">
        <v>33</v>
      </c>
      <c r="AA8" s="2574"/>
      <c r="AB8" s="2575" t="s">
        <v>34</v>
      </c>
      <c r="AC8" s="2575"/>
      <c r="AD8" s="2574" t="s">
        <v>35</v>
      </c>
      <c r="AE8" s="2574"/>
      <c r="AF8" s="2574" t="s">
        <v>36</v>
      </c>
      <c r="AG8" s="2574"/>
      <c r="AH8" s="2574" t="s">
        <v>37</v>
      </c>
      <c r="AI8" s="2574"/>
      <c r="AJ8" s="2574" t="s">
        <v>38</v>
      </c>
      <c r="AK8" s="2574"/>
      <c r="AL8" s="2574" t="s">
        <v>39</v>
      </c>
      <c r="AM8" s="2574"/>
      <c r="AN8" s="2574" t="s">
        <v>40</v>
      </c>
      <c r="AO8" s="2574"/>
      <c r="AP8" s="2574" t="s">
        <v>41</v>
      </c>
      <c r="AQ8" s="2574"/>
      <c r="AR8" s="2574" t="s">
        <v>42</v>
      </c>
      <c r="AS8" s="2574"/>
      <c r="AT8" s="2574" t="s">
        <v>43</v>
      </c>
      <c r="AU8" s="2574"/>
      <c r="AV8" s="2574" t="s">
        <v>44</v>
      </c>
      <c r="AW8" s="2574"/>
      <c r="AX8" s="2574" t="s">
        <v>45</v>
      </c>
      <c r="AY8" s="2574"/>
      <c r="AZ8" s="2574" t="s">
        <v>46</v>
      </c>
      <c r="BA8" s="2574"/>
      <c r="BB8" s="2574" t="s">
        <v>47</v>
      </c>
      <c r="BC8" s="2574"/>
      <c r="BD8" s="2574" t="s">
        <v>28</v>
      </c>
      <c r="BE8" s="2574"/>
      <c r="BF8" s="3479" t="s">
        <v>48</v>
      </c>
      <c r="BG8" s="3481" t="s">
        <v>49</v>
      </c>
      <c r="BH8" s="3479" t="s">
        <v>50</v>
      </c>
      <c r="BI8" s="3478" t="s">
        <v>51</v>
      </c>
      <c r="BJ8" s="3479" t="s">
        <v>52</v>
      </c>
      <c r="BK8" s="3480" t="s">
        <v>53</v>
      </c>
      <c r="BL8" s="3477"/>
      <c r="BM8" s="3477"/>
      <c r="BN8" s="3477"/>
      <c r="BO8" s="3477"/>
      <c r="BP8" s="2573"/>
    </row>
    <row r="9" spans="1:68" s="19" customFormat="1" ht="36" customHeight="1" x14ac:dyDescent="0.2">
      <c r="A9" s="2568"/>
      <c r="B9" s="2568"/>
      <c r="C9" s="2568"/>
      <c r="D9" s="2568"/>
      <c r="E9" s="2568"/>
      <c r="F9" s="2568"/>
      <c r="G9" s="2568"/>
      <c r="H9" s="2568"/>
      <c r="I9" s="3473"/>
      <c r="J9" s="2568"/>
      <c r="K9" s="1147" t="s">
        <v>54</v>
      </c>
      <c r="L9" s="16" t="s">
        <v>55</v>
      </c>
      <c r="M9" s="2568"/>
      <c r="N9" s="2589"/>
      <c r="O9" s="3473"/>
      <c r="P9" s="2568"/>
      <c r="Q9" s="2568"/>
      <c r="R9" s="3473"/>
      <c r="S9" s="3473"/>
      <c r="T9" s="3473"/>
      <c r="U9" s="1415" t="s">
        <v>56</v>
      </c>
      <c r="V9" s="1416" t="s">
        <v>57</v>
      </c>
      <c r="W9" s="1416" t="s">
        <v>58</v>
      </c>
      <c r="X9" s="2589"/>
      <c r="Y9" s="2568"/>
      <c r="Z9" s="1147" t="s">
        <v>54</v>
      </c>
      <c r="AA9" s="16" t="s">
        <v>55</v>
      </c>
      <c r="AB9" s="1147" t="s">
        <v>54</v>
      </c>
      <c r="AC9" s="16" t="s">
        <v>55</v>
      </c>
      <c r="AD9" s="1147" t="s">
        <v>54</v>
      </c>
      <c r="AE9" s="16" t="s">
        <v>55</v>
      </c>
      <c r="AF9" s="1147" t="s">
        <v>54</v>
      </c>
      <c r="AG9" s="16" t="s">
        <v>55</v>
      </c>
      <c r="AH9" s="1147" t="s">
        <v>54</v>
      </c>
      <c r="AI9" s="16" t="s">
        <v>55</v>
      </c>
      <c r="AJ9" s="1147" t="s">
        <v>54</v>
      </c>
      <c r="AK9" s="16" t="s">
        <v>55</v>
      </c>
      <c r="AL9" s="1147" t="s">
        <v>54</v>
      </c>
      <c r="AM9" s="16" t="s">
        <v>55</v>
      </c>
      <c r="AN9" s="1147" t="s">
        <v>54</v>
      </c>
      <c r="AO9" s="16" t="s">
        <v>55</v>
      </c>
      <c r="AP9" s="1147" t="s">
        <v>54</v>
      </c>
      <c r="AQ9" s="16" t="s">
        <v>55</v>
      </c>
      <c r="AR9" s="1147" t="s">
        <v>54</v>
      </c>
      <c r="AS9" s="16" t="s">
        <v>55</v>
      </c>
      <c r="AT9" s="1147" t="s">
        <v>54</v>
      </c>
      <c r="AU9" s="16" t="s">
        <v>55</v>
      </c>
      <c r="AV9" s="1147" t="s">
        <v>54</v>
      </c>
      <c r="AW9" s="16" t="s">
        <v>55</v>
      </c>
      <c r="AX9" s="1147" t="s">
        <v>54</v>
      </c>
      <c r="AY9" s="16" t="s">
        <v>55</v>
      </c>
      <c r="AZ9" s="1147" t="s">
        <v>54</v>
      </c>
      <c r="BA9" s="16" t="s">
        <v>55</v>
      </c>
      <c r="BB9" s="1147" t="s">
        <v>54</v>
      </c>
      <c r="BC9" s="16" t="s">
        <v>55</v>
      </c>
      <c r="BD9" s="1147" t="s">
        <v>54</v>
      </c>
      <c r="BE9" s="16" t="s">
        <v>55</v>
      </c>
      <c r="BF9" s="3479"/>
      <c r="BG9" s="3481"/>
      <c r="BH9" s="3479"/>
      <c r="BI9" s="3478"/>
      <c r="BJ9" s="3479"/>
      <c r="BK9" s="3480"/>
      <c r="BL9" s="1417" t="s">
        <v>54</v>
      </c>
      <c r="BM9" s="1418" t="s">
        <v>55</v>
      </c>
      <c r="BN9" s="1417" t="s">
        <v>54</v>
      </c>
      <c r="BO9" s="1418" t="s">
        <v>55</v>
      </c>
      <c r="BP9" s="2573"/>
    </row>
    <row r="10" spans="1:68" s="1428" customFormat="1" ht="33.75" customHeight="1" x14ac:dyDescent="0.25">
      <c r="A10" s="223">
        <v>1</v>
      </c>
      <c r="B10" s="3469" t="s">
        <v>274</v>
      </c>
      <c r="C10" s="3469"/>
      <c r="D10" s="3469"/>
      <c r="E10" s="1419"/>
      <c r="F10" s="1419"/>
      <c r="G10" s="678"/>
      <c r="H10" s="1419"/>
      <c r="I10" s="1420"/>
      <c r="J10" s="1420"/>
      <c r="K10" s="1421"/>
      <c r="L10" s="1421"/>
      <c r="M10" s="1422"/>
      <c r="N10" s="1421"/>
      <c r="O10" s="1420"/>
      <c r="P10" s="223"/>
      <c r="Q10" s="223"/>
      <c r="R10" s="1420"/>
      <c r="S10" s="1420"/>
      <c r="T10" s="1420"/>
      <c r="U10" s="1423"/>
      <c r="V10" s="1424"/>
      <c r="W10" s="1424"/>
      <c r="X10" s="1421"/>
      <c r="Y10" s="1421"/>
      <c r="Z10" s="1421"/>
      <c r="AA10" s="1421"/>
      <c r="AB10" s="1421"/>
      <c r="AC10" s="1421"/>
      <c r="AD10" s="1421"/>
      <c r="AE10" s="1421"/>
      <c r="AF10" s="1421"/>
      <c r="AG10" s="1421"/>
      <c r="AH10" s="1421"/>
      <c r="AI10" s="1421"/>
      <c r="AJ10" s="1421"/>
      <c r="AK10" s="1421"/>
      <c r="AL10" s="1421"/>
      <c r="AM10" s="1425"/>
      <c r="AN10" s="1425"/>
      <c r="AO10" s="1425"/>
      <c r="AP10" s="1421"/>
      <c r="AQ10" s="1421"/>
      <c r="AR10" s="1421"/>
      <c r="AS10" s="1421"/>
      <c r="AT10" s="1421"/>
      <c r="AU10" s="1421"/>
      <c r="AV10" s="1421"/>
      <c r="AW10" s="1421"/>
      <c r="AX10" s="1421"/>
      <c r="AY10" s="1421"/>
      <c r="AZ10" s="1421"/>
      <c r="BA10" s="1421"/>
      <c r="BB10" s="1425"/>
      <c r="BC10" s="1425"/>
      <c r="BD10" s="1425"/>
      <c r="BE10" s="1421"/>
      <c r="BF10" s="1421"/>
      <c r="BG10" s="1421"/>
      <c r="BH10" s="1421"/>
      <c r="BI10" s="1426"/>
      <c r="BJ10" s="1421"/>
      <c r="BK10" s="1421"/>
      <c r="BL10" s="1427"/>
      <c r="BM10" s="1427"/>
      <c r="BN10" s="1427"/>
      <c r="BO10" s="1427"/>
      <c r="BP10" s="1421"/>
    </row>
    <row r="11" spans="1:68" ht="38.25" customHeight="1" x14ac:dyDescent="0.2">
      <c r="A11" s="3470"/>
      <c r="B11" s="3471"/>
      <c r="C11" s="3472"/>
      <c r="D11" s="1429">
        <v>1</v>
      </c>
      <c r="E11" s="681" t="s">
        <v>1154</v>
      </c>
      <c r="F11" s="681"/>
      <c r="G11" s="1430"/>
      <c r="H11" s="1430"/>
      <c r="I11" s="1431"/>
      <c r="J11" s="1431"/>
      <c r="K11" s="1430"/>
      <c r="L11" s="1430"/>
      <c r="M11" s="1430"/>
      <c r="N11" s="1430"/>
      <c r="O11" s="1431"/>
      <c r="P11" s="520"/>
      <c r="Q11" s="520"/>
      <c r="R11" s="1431"/>
      <c r="S11" s="1431"/>
      <c r="T11" s="1431"/>
      <c r="U11" s="1432"/>
      <c r="V11" s="1433"/>
      <c r="W11" s="1433"/>
      <c r="X11" s="1430"/>
      <c r="Y11" s="1430"/>
      <c r="Z11" s="1430"/>
      <c r="AA11" s="1430"/>
      <c r="AB11" s="1430"/>
      <c r="AC11" s="1430"/>
      <c r="AD11" s="1430"/>
      <c r="AE11" s="1430"/>
      <c r="AF11" s="1430"/>
      <c r="AG11" s="1430"/>
      <c r="AH11" s="1430"/>
      <c r="AI11" s="1430"/>
      <c r="AJ11" s="1430"/>
      <c r="AK11" s="1430"/>
      <c r="AL11" s="1430"/>
      <c r="AM11" s="1430"/>
      <c r="AN11" s="1430"/>
      <c r="AO11" s="1430"/>
      <c r="AP11" s="1430"/>
      <c r="AQ11" s="1430"/>
      <c r="AR11" s="1430"/>
      <c r="AS11" s="1430"/>
      <c r="AT11" s="1430"/>
      <c r="AU11" s="1430"/>
      <c r="AV11" s="1430"/>
      <c r="AW11" s="1430"/>
      <c r="AX11" s="1430"/>
      <c r="AY11" s="1430"/>
      <c r="AZ11" s="1430"/>
      <c r="BA11" s="1430"/>
      <c r="BB11" s="1430"/>
      <c r="BC11" s="1430"/>
      <c r="BD11" s="1430"/>
      <c r="BE11" s="1430"/>
      <c r="BF11" s="1430"/>
      <c r="BG11" s="1430"/>
      <c r="BH11" s="1430"/>
      <c r="BI11" s="1434"/>
      <c r="BJ11" s="1430"/>
      <c r="BK11" s="1430"/>
      <c r="BL11" s="1435"/>
      <c r="BM11" s="1435"/>
      <c r="BN11" s="1435"/>
      <c r="BO11" s="1435"/>
      <c r="BP11" s="1430"/>
    </row>
    <row r="12" spans="1:68" ht="25.5" customHeight="1" x14ac:dyDescent="0.2">
      <c r="A12" s="2585"/>
      <c r="B12" s="3446"/>
      <c r="C12" s="2586"/>
      <c r="D12" s="3470"/>
      <c r="E12" s="3472"/>
      <c r="F12" s="239">
        <v>1</v>
      </c>
      <c r="G12" s="1436" t="s">
        <v>1155</v>
      </c>
      <c r="H12" s="1437"/>
      <c r="I12" s="1438"/>
      <c r="J12" s="1438"/>
      <c r="K12" s="1437"/>
      <c r="L12" s="1437"/>
      <c r="M12" s="1437"/>
      <c r="N12" s="1437"/>
      <c r="O12" s="1438"/>
      <c r="P12" s="1439"/>
      <c r="Q12" s="1439"/>
      <c r="R12" s="1438"/>
      <c r="S12" s="1438"/>
      <c r="T12" s="1438"/>
      <c r="U12" s="1440"/>
      <c r="V12" s="1441"/>
      <c r="W12" s="1441"/>
      <c r="X12" s="1437"/>
      <c r="Y12" s="1437"/>
      <c r="Z12" s="1437"/>
      <c r="AA12" s="1437"/>
      <c r="AB12" s="1437"/>
      <c r="AC12" s="1437"/>
      <c r="AD12" s="1437"/>
      <c r="AE12" s="1437"/>
      <c r="AF12" s="1437"/>
      <c r="AG12" s="1437"/>
      <c r="AH12" s="1437"/>
      <c r="AI12" s="1437"/>
      <c r="AJ12" s="1437"/>
      <c r="AK12" s="1437"/>
      <c r="AL12" s="1437"/>
      <c r="AM12" s="1437"/>
      <c r="AN12" s="1437"/>
      <c r="AO12" s="1437"/>
      <c r="AP12" s="1437"/>
      <c r="AQ12" s="1437"/>
      <c r="AR12" s="1437"/>
      <c r="AS12" s="1437"/>
      <c r="AT12" s="1437"/>
      <c r="AU12" s="1437"/>
      <c r="AV12" s="1437"/>
      <c r="AW12" s="1437"/>
      <c r="AX12" s="1437"/>
      <c r="AY12" s="1437"/>
      <c r="AZ12" s="1437"/>
      <c r="BA12" s="1437"/>
      <c r="BB12" s="1437"/>
      <c r="BC12" s="1437"/>
      <c r="BD12" s="1437"/>
      <c r="BE12" s="1437"/>
      <c r="BF12" s="1437"/>
      <c r="BG12" s="1437"/>
      <c r="BH12" s="1437"/>
      <c r="BI12" s="1442"/>
      <c r="BJ12" s="1437"/>
      <c r="BK12" s="1437"/>
      <c r="BL12" s="1443"/>
      <c r="BM12" s="1443"/>
      <c r="BN12" s="1443"/>
      <c r="BO12" s="1443"/>
      <c r="BP12" s="1437"/>
    </row>
    <row r="13" spans="1:68" s="51" customFormat="1" ht="75" customHeight="1" x14ac:dyDescent="0.2">
      <c r="A13" s="2585"/>
      <c r="B13" s="3446"/>
      <c r="C13" s="2586"/>
      <c r="D13" s="2585"/>
      <c r="E13" s="2586"/>
      <c r="F13" s="3470"/>
      <c r="G13" s="3472"/>
      <c r="H13" s="2599">
        <v>1</v>
      </c>
      <c r="I13" s="3468" t="s">
        <v>1156</v>
      </c>
      <c r="J13" s="3468" t="s">
        <v>1157</v>
      </c>
      <c r="K13" s="2599"/>
      <c r="L13" s="2436"/>
      <c r="M13" s="2599" t="s">
        <v>1158</v>
      </c>
      <c r="N13" s="3474" t="s">
        <v>1159</v>
      </c>
      <c r="O13" s="3468" t="s">
        <v>1160</v>
      </c>
      <c r="P13" s="3475">
        <f>+(U13+U14)/Q13</f>
        <v>0.17241379310344829</v>
      </c>
      <c r="Q13" s="3476">
        <f>SUM(U13:U16)</f>
        <v>116000000</v>
      </c>
      <c r="R13" s="3468" t="s">
        <v>1161</v>
      </c>
      <c r="S13" s="3386" t="s">
        <v>1162</v>
      </c>
      <c r="T13" s="3463" t="s">
        <v>1163</v>
      </c>
      <c r="U13" s="3464">
        <v>20000000</v>
      </c>
      <c r="V13" s="3465"/>
      <c r="W13" s="3465"/>
      <c r="X13" s="3467">
        <v>20</v>
      </c>
      <c r="Y13" s="2436" t="s">
        <v>90</v>
      </c>
      <c r="Z13" s="3462">
        <v>35373</v>
      </c>
      <c r="AA13" s="3462"/>
      <c r="AB13" s="3462">
        <v>33985</v>
      </c>
      <c r="AC13" s="3462"/>
      <c r="AD13" s="3462">
        <v>16632</v>
      </c>
      <c r="AE13" s="3462"/>
      <c r="AF13" s="3462">
        <v>3361</v>
      </c>
      <c r="AG13" s="3462"/>
      <c r="AH13" s="3462">
        <v>39432</v>
      </c>
      <c r="AI13" s="3462"/>
      <c r="AJ13" s="3462">
        <v>9933</v>
      </c>
      <c r="AK13" s="3462"/>
      <c r="AL13" s="3462">
        <v>0</v>
      </c>
      <c r="AM13" s="3462"/>
      <c r="AN13" s="3462">
        <v>0</v>
      </c>
      <c r="AO13" s="3462"/>
      <c r="AP13" s="3462">
        <v>0</v>
      </c>
      <c r="AQ13" s="3454"/>
      <c r="AR13" s="3454">
        <v>0</v>
      </c>
      <c r="AS13" s="3454"/>
      <c r="AT13" s="3454"/>
      <c r="AU13" s="3454"/>
      <c r="AV13" s="3454"/>
      <c r="AW13" s="3454"/>
      <c r="AX13" s="3454"/>
      <c r="AY13" s="3454"/>
      <c r="AZ13" s="3454"/>
      <c r="BA13" s="3454"/>
      <c r="BB13" s="3454"/>
      <c r="BC13" s="3454"/>
      <c r="BD13" s="2856">
        <v>69358</v>
      </c>
      <c r="BE13" s="3454">
        <v>0</v>
      </c>
      <c r="BF13" s="3455">
        <v>0</v>
      </c>
      <c r="BG13" s="3458">
        <v>0</v>
      </c>
      <c r="BH13" s="3439">
        <v>0</v>
      </c>
      <c r="BI13" s="3441">
        <v>0</v>
      </c>
      <c r="BJ13" s="3378"/>
      <c r="BK13" s="3378"/>
      <c r="BL13" s="3436">
        <v>43832</v>
      </c>
      <c r="BM13" s="3436" t="s">
        <v>1164</v>
      </c>
      <c r="BN13" s="3436">
        <v>44196</v>
      </c>
      <c r="BO13" s="3436" t="s">
        <v>1164</v>
      </c>
      <c r="BP13" s="2701" t="s">
        <v>1165</v>
      </c>
    </row>
    <row r="14" spans="1:68" s="51" customFormat="1" ht="75" customHeight="1" x14ac:dyDescent="0.2">
      <c r="A14" s="2585"/>
      <c r="B14" s="3446"/>
      <c r="C14" s="2586"/>
      <c r="D14" s="2585"/>
      <c r="E14" s="2586"/>
      <c r="F14" s="2585"/>
      <c r="G14" s="2586"/>
      <c r="H14" s="2599"/>
      <c r="I14" s="3468"/>
      <c r="J14" s="3468"/>
      <c r="K14" s="2599"/>
      <c r="L14" s="2436"/>
      <c r="M14" s="2599"/>
      <c r="N14" s="3474"/>
      <c r="O14" s="3468"/>
      <c r="P14" s="3475"/>
      <c r="Q14" s="3476"/>
      <c r="R14" s="3468"/>
      <c r="S14" s="3419"/>
      <c r="T14" s="3463"/>
      <c r="U14" s="3464"/>
      <c r="V14" s="3466"/>
      <c r="W14" s="3466"/>
      <c r="X14" s="3467"/>
      <c r="Y14" s="2436"/>
      <c r="Z14" s="3462"/>
      <c r="AA14" s="3462">
        <v>0</v>
      </c>
      <c r="AB14" s="3462"/>
      <c r="AC14" s="3462">
        <v>0</v>
      </c>
      <c r="AD14" s="3462"/>
      <c r="AE14" s="3462">
        <v>0</v>
      </c>
      <c r="AF14" s="3462"/>
      <c r="AG14" s="3462">
        <v>0</v>
      </c>
      <c r="AH14" s="3462"/>
      <c r="AI14" s="3462">
        <v>0</v>
      </c>
      <c r="AJ14" s="3462"/>
      <c r="AK14" s="3462">
        <v>0</v>
      </c>
      <c r="AL14" s="3462">
        <v>30825</v>
      </c>
      <c r="AM14" s="3462">
        <v>0</v>
      </c>
      <c r="AN14" s="3462">
        <f>+Z14+AD14</f>
        <v>0</v>
      </c>
      <c r="AO14" s="3462">
        <v>0</v>
      </c>
      <c r="AP14" s="3462">
        <v>0</v>
      </c>
      <c r="AQ14" s="3454">
        <v>0</v>
      </c>
      <c r="AR14" s="3454">
        <v>0</v>
      </c>
      <c r="AS14" s="3454">
        <v>0</v>
      </c>
      <c r="AT14" s="3454">
        <v>0</v>
      </c>
      <c r="AU14" s="3454">
        <v>0</v>
      </c>
      <c r="AV14" s="3454">
        <v>0</v>
      </c>
      <c r="AW14" s="3454">
        <v>0</v>
      </c>
      <c r="AX14" s="3454">
        <v>0</v>
      </c>
      <c r="AY14" s="3454">
        <v>0</v>
      </c>
      <c r="AZ14" s="3454">
        <v>0</v>
      </c>
      <c r="BA14" s="3454">
        <v>0</v>
      </c>
      <c r="BB14" s="3454">
        <v>0</v>
      </c>
      <c r="BC14" s="3454">
        <v>0</v>
      </c>
      <c r="BD14" s="2856"/>
      <c r="BE14" s="3454"/>
      <c r="BF14" s="3456"/>
      <c r="BG14" s="3459"/>
      <c r="BH14" s="3461"/>
      <c r="BI14" s="2694"/>
      <c r="BJ14" s="2581"/>
      <c r="BK14" s="2581"/>
      <c r="BL14" s="3436"/>
      <c r="BM14" s="3436"/>
      <c r="BN14" s="3436"/>
      <c r="BO14" s="3436"/>
      <c r="BP14" s="2701"/>
    </row>
    <row r="15" spans="1:68" s="51" customFormat="1" ht="93.6" customHeight="1" x14ac:dyDescent="0.2">
      <c r="A15" s="1145"/>
      <c r="B15" s="3446"/>
      <c r="C15" s="2586"/>
      <c r="D15" s="1145"/>
      <c r="E15" s="1146"/>
      <c r="F15" s="1145"/>
      <c r="G15" s="1146"/>
      <c r="H15" s="1148">
        <v>4</v>
      </c>
      <c r="I15" s="1161" t="s">
        <v>1166</v>
      </c>
      <c r="J15" s="1161" t="s">
        <v>1167</v>
      </c>
      <c r="K15" s="1444"/>
      <c r="L15" s="1138"/>
      <c r="M15" s="2599"/>
      <c r="N15" s="3474"/>
      <c r="O15" s="3468"/>
      <c r="P15" s="1164">
        <f>+(U15)/Q13</f>
        <v>0.65517241379310343</v>
      </c>
      <c r="Q15" s="3476"/>
      <c r="R15" s="3468"/>
      <c r="S15" s="3419"/>
      <c r="T15" s="1445" t="s">
        <v>1168</v>
      </c>
      <c r="U15" s="1446">
        <v>76000000</v>
      </c>
      <c r="V15" s="1447"/>
      <c r="W15" s="1447"/>
      <c r="X15" s="62">
        <v>20</v>
      </c>
      <c r="Y15" s="1138">
        <v>0</v>
      </c>
      <c r="Z15" s="3462"/>
      <c r="AA15" s="3462">
        <v>0</v>
      </c>
      <c r="AB15" s="3462"/>
      <c r="AC15" s="3462">
        <v>0</v>
      </c>
      <c r="AD15" s="3462"/>
      <c r="AE15" s="3462">
        <v>0</v>
      </c>
      <c r="AF15" s="3462"/>
      <c r="AG15" s="3462">
        <v>0</v>
      </c>
      <c r="AH15" s="3462"/>
      <c r="AI15" s="3462">
        <v>0</v>
      </c>
      <c r="AJ15" s="3462"/>
      <c r="AK15" s="3462">
        <v>0</v>
      </c>
      <c r="AL15" s="3462">
        <v>0</v>
      </c>
      <c r="AM15" s="3462">
        <v>0</v>
      </c>
      <c r="AN15" s="3462">
        <v>0</v>
      </c>
      <c r="AO15" s="3462">
        <v>0</v>
      </c>
      <c r="AP15" s="3462">
        <v>0</v>
      </c>
      <c r="AQ15" s="3454">
        <v>0</v>
      </c>
      <c r="AR15" s="3454">
        <v>0</v>
      </c>
      <c r="AS15" s="3454">
        <v>0</v>
      </c>
      <c r="AT15" s="3454">
        <v>0</v>
      </c>
      <c r="AU15" s="3454">
        <v>0</v>
      </c>
      <c r="AV15" s="3454">
        <v>0</v>
      </c>
      <c r="AW15" s="3454">
        <v>0</v>
      </c>
      <c r="AX15" s="3454">
        <v>0</v>
      </c>
      <c r="AY15" s="3454">
        <v>0</v>
      </c>
      <c r="AZ15" s="3454">
        <v>0</v>
      </c>
      <c r="BA15" s="3454">
        <v>0</v>
      </c>
      <c r="BB15" s="3454">
        <v>0</v>
      </c>
      <c r="BC15" s="3454">
        <v>0</v>
      </c>
      <c r="BD15" s="2856"/>
      <c r="BE15" s="3454"/>
      <c r="BF15" s="3456"/>
      <c r="BG15" s="3459"/>
      <c r="BH15" s="3461"/>
      <c r="BI15" s="2694"/>
      <c r="BJ15" s="2581"/>
      <c r="BK15" s="2581"/>
      <c r="BL15" s="3436"/>
      <c r="BM15" s="3436"/>
      <c r="BN15" s="3436"/>
      <c r="BO15" s="3436"/>
      <c r="BP15" s="2701"/>
    </row>
    <row r="16" spans="1:68" s="51" customFormat="1" ht="105" customHeight="1" x14ac:dyDescent="0.2">
      <c r="A16" s="1145"/>
      <c r="B16" s="3446"/>
      <c r="C16" s="2586"/>
      <c r="D16" s="1145"/>
      <c r="E16" s="1146"/>
      <c r="F16" s="1162"/>
      <c r="G16" s="1163"/>
      <c r="H16" s="1148">
        <v>6</v>
      </c>
      <c r="I16" s="1161" t="s">
        <v>1169</v>
      </c>
      <c r="J16" s="1161" t="s">
        <v>1170</v>
      </c>
      <c r="K16" s="1444"/>
      <c r="L16" s="1138"/>
      <c r="M16" s="2599"/>
      <c r="N16" s="3474"/>
      <c r="O16" s="3468"/>
      <c r="P16" s="1164">
        <f>+U16/Q13</f>
        <v>0.17241379310344829</v>
      </c>
      <c r="Q16" s="3476"/>
      <c r="R16" s="3468"/>
      <c r="S16" s="3387"/>
      <c r="T16" s="1445" t="s">
        <v>1171</v>
      </c>
      <c r="U16" s="1446">
        <v>20000000</v>
      </c>
      <c r="V16" s="1447"/>
      <c r="W16" s="1447"/>
      <c r="X16" s="62">
        <v>20</v>
      </c>
      <c r="Y16" s="1138" t="s">
        <v>90</v>
      </c>
      <c r="Z16" s="3462"/>
      <c r="AA16" s="3462">
        <v>0</v>
      </c>
      <c r="AB16" s="3462"/>
      <c r="AC16" s="3462">
        <v>0</v>
      </c>
      <c r="AD16" s="3462"/>
      <c r="AE16" s="3462">
        <v>0</v>
      </c>
      <c r="AF16" s="3462"/>
      <c r="AG16" s="3462">
        <v>0</v>
      </c>
      <c r="AH16" s="3462"/>
      <c r="AI16" s="3462">
        <v>0</v>
      </c>
      <c r="AJ16" s="3462"/>
      <c r="AK16" s="3462">
        <v>0</v>
      </c>
      <c r="AL16" s="3462">
        <v>0</v>
      </c>
      <c r="AM16" s="3462">
        <v>0</v>
      </c>
      <c r="AN16" s="3462">
        <v>0</v>
      </c>
      <c r="AO16" s="3462">
        <v>0</v>
      </c>
      <c r="AP16" s="3462">
        <v>0</v>
      </c>
      <c r="AQ16" s="3454">
        <v>0</v>
      </c>
      <c r="AR16" s="3454">
        <v>0</v>
      </c>
      <c r="AS16" s="3454">
        <v>0</v>
      </c>
      <c r="AT16" s="3454">
        <v>0</v>
      </c>
      <c r="AU16" s="3454">
        <v>0</v>
      </c>
      <c r="AV16" s="3454">
        <v>0</v>
      </c>
      <c r="AW16" s="3454">
        <v>0</v>
      </c>
      <c r="AX16" s="3454">
        <v>0</v>
      </c>
      <c r="AY16" s="3454">
        <v>0</v>
      </c>
      <c r="AZ16" s="3454">
        <v>0</v>
      </c>
      <c r="BA16" s="3454">
        <v>0</v>
      </c>
      <c r="BB16" s="3454">
        <v>0</v>
      </c>
      <c r="BC16" s="3454">
        <v>0</v>
      </c>
      <c r="BD16" s="2856"/>
      <c r="BE16" s="3454"/>
      <c r="BF16" s="3457"/>
      <c r="BG16" s="3460"/>
      <c r="BH16" s="3440"/>
      <c r="BI16" s="3442"/>
      <c r="BJ16" s="3379"/>
      <c r="BK16" s="3379"/>
      <c r="BL16" s="3449"/>
      <c r="BM16" s="3449"/>
      <c r="BN16" s="3449"/>
      <c r="BO16" s="3449"/>
      <c r="BP16" s="2701"/>
    </row>
    <row r="17" spans="1:68" s="1472" customFormat="1" ht="24.75" customHeight="1" x14ac:dyDescent="0.25">
      <c r="A17" s="1145"/>
      <c r="B17" s="53"/>
      <c r="C17" s="1146"/>
      <c r="D17" s="1145"/>
      <c r="E17" s="1448"/>
      <c r="F17" s="1449">
        <v>2</v>
      </c>
      <c r="G17" s="1450" t="s">
        <v>1172</v>
      </c>
      <c r="H17" s="1450"/>
      <c r="I17" s="688"/>
      <c r="J17" s="1451"/>
      <c r="K17" s="1452"/>
      <c r="L17" s="1452"/>
      <c r="M17" s="1453"/>
      <c r="N17" s="1454"/>
      <c r="O17" s="1455"/>
      <c r="P17" s="1159"/>
      <c r="Q17" s="1159"/>
      <c r="R17" s="1456"/>
      <c r="S17" s="1456"/>
      <c r="T17" s="1456"/>
      <c r="U17" s="1457"/>
      <c r="V17" s="1458"/>
      <c r="W17" s="1459"/>
      <c r="X17" s="1460"/>
      <c r="Y17" s="1460"/>
      <c r="Z17" s="1460"/>
      <c r="AA17" s="1460"/>
      <c r="AB17" s="1460"/>
      <c r="AC17" s="1461"/>
      <c r="AD17" s="1461"/>
      <c r="AE17" s="1461"/>
      <c r="AF17" s="1462"/>
      <c r="AG17" s="1462"/>
      <c r="AH17" s="1462"/>
      <c r="AI17" s="1461"/>
      <c r="AJ17" s="1461"/>
      <c r="AK17" s="1460"/>
      <c r="AL17" s="1463"/>
      <c r="AM17" s="1464"/>
      <c r="AN17" s="1464"/>
      <c r="AO17" s="1465"/>
      <c r="AP17" s="1466"/>
      <c r="AQ17" s="1466"/>
      <c r="AR17" s="1466"/>
      <c r="AS17" s="1467"/>
      <c r="AT17" s="1159"/>
      <c r="AU17" s="1468"/>
      <c r="AV17" s="1460"/>
      <c r="AW17" s="1460"/>
      <c r="AX17" s="1460"/>
      <c r="AY17" s="1460"/>
      <c r="AZ17" s="1460"/>
      <c r="BA17" s="1461"/>
      <c r="BB17" s="1461"/>
      <c r="BC17" s="1461"/>
      <c r="BD17" s="1462"/>
      <c r="BE17" s="1462"/>
      <c r="BF17" s="1462"/>
      <c r="BG17" s="1466"/>
      <c r="BH17" s="1466"/>
      <c r="BI17" s="1469"/>
      <c r="BJ17" s="1159"/>
      <c r="BK17" s="1452"/>
      <c r="BL17" s="1470"/>
      <c r="BM17" s="1471"/>
      <c r="BN17" s="1471"/>
      <c r="BO17" s="1471"/>
      <c r="BP17" s="1460"/>
    </row>
    <row r="18" spans="1:68" s="51" customFormat="1" ht="102" customHeight="1" x14ac:dyDescent="0.2">
      <c r="A18" s="1145"/>
      <c r="B18" s="3446"/>
      <c r="C18" s="2586"/>
      <c r="D18" s="1145"/>
      <c r="E18" s="1146"/>
      <c r="F18" s="1473"/>
      <c r="G18" s="1474"/>
      <c r="H18" s="1148">
        <v>7</v>
      </c>
      <c r="I18" s="1161" t="s">
        <v>1173</v>
      </c>
      <c r="J18" s="1161" t="s">
        <v>1174</v>
      </c>
      <c r="K18" s="1138"/>
      <c r="L18" s="1138"/>
      <c r="M18" s="1148" t="s">
        <v>1175</v>
      </c>
      <c r="N18" s="1148" t="s">
        <v>1176</v>
      </c>
      <c r="O18" s="1161" t="s">
        <v>1177</v>
      </c>
      <c r="P18" s="1164">
        <f>+U18/Q18</f>
        <v>1</v>
      </c>
      <c r="Q18" s="1475">
        <f>U18</f>
        <v>130000000</v>
      </c>
      <c r="R18" s="565" t="s">
        <v>1178</v>
      </c>
      <c r="S18" s="565" t="s">
        <v>1179</v>
      </c>
      <c r="T18" s="565" t="s">
        <v>1180</v>
      </c>
      <c r="U18" s="1446">
        <v>130000000</v>
      </c>
      <c r="V18" s="1476">
        <v>29533333</v>
      </c>
      <c r="W18" s="1447">
        <v>10000000</v>
      </c>
      <c r="X18" s="62">
        <v>20</v>
      </c>
      <c r="Y18" s="1138" t="s">
        <v>90</v>
      </c>
      <c r="Z18" s="1477">
        <v>252568</v>
      </c>
      <c r="AA18" s="1138"/>
      <c r="AB18" s="1477">
        <v>243650</v>
      </c>
      <c r="AC18" s="1138"/>
      <c r="AD18" s="1157">
        <v>97896</v>
      </c>
      <c r="AE18" s="1138"/>
      <c r="AF18" s="1477">
        <v>53351</v>
      </c>
      <c r="AG18" s="1138"/>
      <c r="AH18" s="1477">
        <v>140316</v>
      </c>
      <c r="AI18" s="1138"/>
      <c r="AJ18" s="1477">
        <v>30825</v>
      </c>
      <c r="AK18" s="1138"/>
      <c r="AL18" s="1138">
        <v>0</v>
      </c>
      <c r="AM18" s="1138"/>
      <c r="AN18" s="1138">
        <v>0</v>
      </c>
      <c r="AO18" s="1138">
        <v>0</v>
      </c>
      <c r="AP18" s="1138">
        <v>0</v>
      </c>
      <c r="AQ18" s="1138">
        <v>0</v>
      </c>
      <c r="AR18" s="1138">
        <v>0</v>
      </c>
      <c r="AS18" s="1138">
        <v>0</v>
      </c>
      <c r="AT18" s="1138">
        <v>0</v>
      </c>
      <c r="AU18" s="1138">
        <v>0</v>
      </c>
      <c r="AV18" s="1138">
        <v>0</v>
      </c>
      <c r="AW18" s="1138">
        <v>0</v>
      </c>
      <c r="AX18" s="1138"/>
      <c r="AY18" s="1138"/>
      <c r="AZ18" s="1138">
        <v>0</v>
      </c>
      <c r="BA18" s="1138">
        <v>0</v>
      </c>
      <c r="BB18" s="1138">
        <v>0</v>
      </c>
      <c r="BC18" s="1138">
        <v>0</v>
      </c>
      <c r="BD18" s="1478">
        <v>496218</v>
      </c>
      <c r="BE18" s="1138">
        <v>0</v>
      </c>
      <c r="BF18" s="1148">
        <v>2</v>
      </c>
      <c r="BG18" s="1479">
        <v>29533333</v>
      </c>
      <c r="BH18" s="1479">
        <v>10000000</v>
      </c>
      <c r="BI18" s="1149">
        <f>+BH18/BG18</f>
        <v>0.33860045528894417</v>
      </c>
      <c r="BJ18" s="1148" t="s">
        <v>90</v>
      </c>
      <c r="BK18" s="1160" t="s">
        <v>1181</v>
      </c>
      <c r="BL18" s="842">
        <v>43832</v>
      </c>
      <c r="BM18" s="842">
        <v>43857</v>
      </c>
      <c r="BN18" s="842">
        <v>44196</v>
      </c>
      <c r="BO18" s="842">
        <v>44038</v>
      </c>
      <c r="BP18" s="1155" t="s">
        <v>1165</v>
      </c>
    </row>
    <row r="19" spans="1:68" s="51" customFormat="1" ht="28.5" customHeight="1" x14ac:dyDescent="0.2">
      <c r="A19" s="1145"/>
      <c r="B19" s="53"/>
      <c r="C19" s="1146"/>
      <c r="D19" s="1145"/>
      <c r="E19" s="1146"/>
      <c r="F19" s="1449">
        <v>3</v>
      </c>
      <c r="G19" s="1450" t="s">
        <v>1182</v>
      </c>
      <c r="H19" s="1450"/>
      <c r="I19" s="688"/>
      <c r="J19" s="1451"/>
      <c r="K19" s="1452"/>
      <c r="L19" s="1452"/>
      <c r="M19" s="1453"/>
      <c r="N19" s="1454"/>
      <c r="O19" s="1455"/>
      <c r="P19" s="1159"/>
      <c r="Q19" s="1159"/>
      <c r="R19" s="1456"/>
      <c r="S19" s="1456"/>
      <c r="T19" s="1456"/>
      <c r="U19" s="1457"/>
      <c r="V19" s="1458"/>
      <c r="W19" s="1459"/>
      <c r="X19" s="1460"/>
      <c r="Y19" s="1460"/>
      <c r="Z19" s="1460"/>
      <c r="AA19" s="1460"/>
      <c r="AB19" s="1460"/>
      <c r="AC19" s="1461"/>
      <c r="AD19" s="1461"/>
      <c r="AE19" s="1461"/>
      <c r="AF19" s="1462"/>
      <c r="AG19" s="1462"/>
      <c r="AH19" s="1462"/>
      <c r="AI19" s="1461"/>
      <c r="AJ19" s="1461"/>
      <c r="AK19" s="1460"/>
      <c r="AL19" s="1463"/>
      <c r="AM19" s="1464"/>
      <c r="AN19" s="1464"/>
      <c r="AO19" s="1465"/>
      <c r="AP19" s="1466"/>
      <c r="AQ19" s="1466"/>
      <c r="AR19" s="1466"/>
      <c r="AS19" s="1467"/>
      <c r="AT19" s="1159"/>
      <c r="AU19" s="1468"/>
      <c r="AV19" s="1460"/>
      <c r="AW19" s="1460"/>
      <c r="AX19" s="1460"/>
      <c r="AY19" s="1460"/>
      <c r="AZ19" s="1460"/>
      <c r="BA19" s="1461"/>
      <c r="BB19" s="1461"/>
      <c r="BC19" s="1461"/>
      <c r="BD19" s="1462"/>
      <c r="BE19" s="1462"/>
      <c r="BF19" s="1462"/>
      <c r="BG19" s="1466"/>
      <c r="BH19" s="1466"/>
      <c r="BI19" s="1469"/>
      <c r="BJ19" s="1480"/>
      <c r="BK19" s="1452"/>
      <c r="BL19" s="1470"/>
      <c r="BM19" s="1471"/>
      <c r="BN19" s="1471"/>
      <c r="BO19" s="1471"/>
      <c r="BP19" s="1460"/>
    </row>
    <row r="20" spans="1:68" s="51" customFormat="1" ht="98.45" customHeight="1" x14ac:dyDescent="0.2">
      <c r="A20" s="1145"/>
      <c r="B20" s="3446"/>
      <c r="C20" s="2586"/>
      <c r="D20" s="1145"/>
      <c r="E20" s="1146"/>
      <c r="F20" s="3451"/>
      <c r="G20" s="2571"/>
      <c r="H20" s="1165">
        <v>14</v>
      </c>
      <c r="I20" s="1140" t="s">
        <v>1183</v>
      </c>
      <c r="J20" s="1140" t="s">
        <v>1184</v>
      </c>
      <c r="K20" s="1444"/>
      <c r="L20" s="1481"/>
      <c r="M20" s="3426" t="s">
        <v>1185</v>
      </c>
      <c r="N20" s="3426" t="s">
        <v>1186</v>
      </c>
      <c r="O20" s="3420" t="s">
        <v>1187</v>
      </c>
      <c r="P20" s="1168">
        <f>+(U20)/Q20</f>
        <v>0.13543679911434089</v>
      </c>
      <c r="Q20" s="3380">
        <f>SUM(U20:U21)</f>
        <v>949978151</v>
      </c>
      <c r="R20" s="3420" t="s">
        <v>1188</v>
      </c>
      <c r="S20" s="3420" t="s">
        <v>1162</v>
      </c>
      <c r="T20" s="166" t="s">
        <v>1189</v>
      </c>
      <c r="U20" s="1482">
        <v>128662000</v>
      </c>
      <c r="V20" s="1447">
        <v>34266666</v>
      </c>
      <c r="W20" s="1447">
        <v>11350000</v>
      </c>
      <c r="X20" s="62">
        <v>20</v>
      </c>
      <c r="Y20" s="1138" t="s">
        <v>90</v>
      </c>
      <c r="Z20" s="3443">
        <v>35373</v>
      </c>
      <c r="AA20" s="3443"/>
      <c r="AB20" s="3443">
        <v>33985</v>
      </c>
      <c r="AC20" s="3443"/>
      <c r="AD20" s="3443">
        <v>16632</v>
      </c>
      <c r="AE20" s="3443"/>
      <c r="AF20" s="3443">
        <v>3361</v>
      </c>
      <c r="AG20" s="3443"/>
      <c r="AH20" s="3443">
        <v>39432</v>
      </c>
      <c r="AI20" s="3443"/>
      <c r="AJ20" s="3443">
        <v>9933</v>
      </c>
      <c r="AK20" s="3443"/>
      <c r="AL20" s="3443">
        <v>0</v>
      </c>
      <c r="AM20" s="3443"/>
      <c r="AN20" s="3443">
        <v>0</v>
      </c>
      <c r="AO20" s="3443">
        <v>0</v>
      </c>
      <c r="AP20" s="3443">
        <v>0</v>
      </c>
      <c r="AQ20" s="3443">
        <v>0</v>
      </c>
      <c r="AR20" s="3443">
        <v>0</v>
      </c>
      <c r="AS20" s="3443">
        <v>0</v>
      </c>
      <c r="AT20" s="3443">
        <v>0</v>
      </c>
      <c r="AU20" s="3443">
        <v>0</v>
      </c>
      <c r="AV20" s="3443">
        <v>0</v>
      </c>
      <c r="AW20" s="3443">
        <v>0</v>
      </c>
      <c r="AX20" s="3443"/>
      <c r="AY20" s="3443"/>
      <c r="AZ20" s="3443">
        <v>0</v>
      </c>
      <c r="BA20" s="3443">
        <v>0</v>
      </c>
      <c r="BB20" s="3443">
        <v>0</v>
      </c>
      <c r="BC20" s="3443">
        <v>0</v>
      </c>
      <c r="BD20" s="3443">
        <v>69358</v>
      </c>
      <c r="BE20" s="3443">
        <v>0</v>
      </c>
      <c r="BF20" s="3378">
        <v>4</v>
      </c>
      <c r="BG20" s="3439">
        <v>34266666</v>
      </c>
      <c r="BH20" s="3439">
        <v>11350000</v>
      </c>
      <c r="BI20" s="3441">
        <f>+BH20/BG20</f>
        <v>0.33122568737793168</v>
      </c>
      <c r="BJ20" s="1139" t="s">
        <v>90</v>
      </c>
      <c r="BK20" s="3375" t="s">
        <v>1190</v>
      </c>
      <c r="BL20" s="3449">
        <v>43832</v>
      </c>
      <c r="BM20" s="3436">
        <v>43885</v>
      </c>
      <c r="BN20" s="3436">
        <v>44196</v>
      </c>
      <c r="BO20" s="3436">
        <v>44005</v>
      </c>
      <c r="BP20" s="2701" t="s">
        <v>1165</v>
      </c>
    </row>
    <row r="21" spans="1:68" s="51" customFormat="1" ht="99.6" customHeight="1" x14ac:dyDescent="0.2">
      <c r="A21" s="1145"/>
      <c r="B21" s="3446"/>
      <c r="C21" s="2586"/>
      <c r="D21" s="1145"/>
      <c r="E21" s="1146"/>
      <c r="F21" s="3451"/>
      <c r="G21" s="2571"/>
      <c r="H21" s="1165">
        <v>17</v>
      </c>
      <c r="I21" s="1140" t="s">
        <v>1191</v>
      </c>
      <c r="J21" s="1161" t="s">
        <v>1192</v>
      </c>
      <c r="K21" s="1444"/>
      <c r="L21" s="1481"/>
      <c r="M21" s="3428"/>
      <c r="N21" s="3428"/>
      <c r="O21" s="3421"/>
      <c r="P21" s="1168">
        <f>U21/Q20</f>
        <v>0.86456320088565908</v>
      </c>
      <c r="Q21" s="3381"/>
      <c r="R21" s="3421"/>
      <c r="S21" s="3421"/>
      <c r="T21" s="166" t="s">
        <v>1193</v>
      </c>
      <c r="U21" s="1482">
        <v>821316151</v>
      </c>
      <c r="V21" s="1447"/>
      <c r="W21" s="1447"/>
      <c r="X21" s="62">
        <v>20</v>
      </c>
      <c r="Y21" s="1138" t="s">
        <v>90</v>
      </c>
      <c r="Z21" s="3444"/>
      <c r="AA21" s="3444"/>
      <c r="AB21" s="3444"/>
      <c r="AC21" s="3444"/>
      <c r="AD21" s="3444"/>
      <c r="AE21" s="3444"/>
      <c r="AF21" s="3444"/>
      <c r="AG21" s="3444"/>
      <c r="AH21" s="3444"/>
      <c r="AI21" s="3444"/>
      <c r="AJ21" s="3444"/>
      <c r="AK21" s="3444"/>
      <c r="AL21" s="3444">
        <v>0</v>
      </c>
      <c r="AM21" s="3444"/>
      <c r="AN21" s="3444">
        <v>0</v>
      </c>
      <c r="AO21" s="3444">
        <v>0</v>
      </c>
      <c r="AP21" s="3444">
        <v>0</v>
      </c>
      <c r="AQ21" s="3444">
        <v>0</v>
      </c>
      <c r="AR21" s="3444">
        <v>0</v>
      </c>
      <c r="AS21" s="3444">
        <v>0</v>
      </c>
      <c r="AT21" s="3444">
        <v>0</v>
      </c>
      <c r="AU21" s="3444">
        <v>0</v>
      </c>
      <c r="AV21" s="3444">
        <v>0</v>
      </c>
      <c r="AW21" s="3444">
        <v>0</v>
      </c>
      <c r="AX21" s="3444"/>
      <c r="AY21" s="3444"/>
      <c r="AZ21" s="3444">
        <v>0</v>
      </c>
      <c r="BA21" s="3444">
        <v>0</v>
      </c>
      <c r="BB21" s="3444">
        <v>0</v>
      </c>
      <c r="BC21" s="3444">
        <v>0</v>
      </c>
      <c r="BD21" s="3444"/>
      <c r="BE21" s="3444">
        <v>0</v>
      </c>
      <c r="BF21" s="3379"/>
      <c r="BG21" s="3440"/>
      <c r="BH21" s="3440"/>
      <c r="BI21" s="3442"/>
      <c r="BJ21" s="1139" t="s">
        <v>90</v>
      </c>
      <c r="BK21" s="3375"/>
      <c r="BL21" s="3450"/>
      <c r="BM21" s="3436"/>
      <c r="BN21" s="3436"/>
      <c r="BO21" s="3436"/>
      <c r="BP21" s="2701"/>
    </row>
    <row r="22" spans="1:68" s="51" customFormat="1" ht="100.9" customHeight="1" x14ac:dyDescent="0.2">
      <c r="A22" s="1145"/>
      <c r="B22" s="3446"/>
      <c r="C22" s="2586"/>
      <c r="D22" s="1145"/>
      <c r="E22" s="1146"/>
      <c r="F22" s="3451"/>
      <c r="G22" s="2571"/>
      <c r="H22" s="1165">
        <v>18</v>
      </c>
      <c r="I22" s="1166" t="s">
        <v>1194</v>
      </c>
      <c r="J22" s="1161" t="s">
        <v>1195</v>
      </c>
      <c r="K22" s="1483"/>
      <c r="L22" s="1481"/>
      <c r="M22" s="3378" t="s">
        <v>1196</v>
      </c>
      <c r="N22" s="3378" t="s">
        <v>1197</v>
      </c>
      <c r="O22" s="3386" t="s">
        <v>1198</v>
      </c>
      <c r="P22" s="1484">
        <f>U22/Q22</f>
        <v>0.55555555555555558</v>
      </c>
      <c r="Q22" s="3447">
        <f>SUM(U22:U23)</f>
        <v>90000000</v>
      </c>
      <c r="R22" s="3386" t="s">
        <v>1199</v>
      </c>
      <c r="S22" s="3386" t="s">
        <v>1200</v>
      </c>
      <c r="T22" s="1485" t="s">
        <v>1201</v>
      </c>
      <c r="U22" s="1486">
        <v>50000000</v>
      </c>
      <c r="V22" s="1447"/>
      <c r="W22" s="1447"/>
      <c r="X22" s="62">
        <v>20</v>
      </c>
      <c r="Y22" s="1138" t="s">
        <v>90</v>
      </c>
      <c r="Z22" s="3437">
        <v>40906</v>
      </c>
      <c r="AA22" s="3437"/>
      <c r="AB22" s="3437">
        <v>37728</v>
      </c>
      <c r="AC22" s="3437"/>
      <c r="AD22" s="3058">
        <v>16790</v>
      </c>
      <c r="AE22" s="3437"/>
      <c r="AF22" s="3437">
        <v>8871</v>
      </c>
      <c r="AG22" s="3437"/>
      <c r="AH22" s="3437">
        <v>46240</v>
      </c>
      <c r="AI22" s="3437"/>
      <c r="AJ22" s="3437">
        <v>10814</v>
      </c>
      <c r="AK22" s="3437"/>
      <c r="AL22" s="3437"/>
      <c r="AM22" s="3437"/>
      <c r="AN22" s="3437"/>
      <c r="AO22" s="3437"/>
      <c r="AP22" s="3437"/>
      <c r="AQ22" s="3437"/>
      <c r="AR22" s="3437"/>
      <c r="AS22" s="3437">
        <v>0</v>
      </c>
      <c r="AT22" s="3437">
        <v>0</v>
      </c>
      <c r="AU22" s="3437">
        <v>0</v>
      </c>
      <c r="AV22" s="3437">
        <v>0</v>
      </c>
      <c r="AW22" s="3443">
        <v>0</v>
      </c>
      <c r="AX22" s="3437"/>
      <c r="AY22" s="3437"/>
      <c r="AZ22" s="3437"/>
      <c r="BA22" s="3437">
        <v>0</v>
      </c>
      <c r="BB22" s="3437"/>
      <c r="BC22" s="3437"/>
      <c r="BD22" s="2863">
        <v>78634</v>
      </c>
      <c r="BE22" s="3437"/>
      <c r="BF22" s="3378">
        <v>2</v>
      </c>
      <c r="BG22" s="3439">
        <v>20500000</v>
      </c>
      <c r="BH22" s="3439">
        <v>9000000</v>
      </c>
      <c r="BI22" s="3441">
        <f>+BH22/BG22</f>
        <v>0.43902439024390244</v>
      </c>
      <c r="BJ22" s="1148" t="s">
        <v>90</v>
      </c>
      <c r="BK22" s="3375" t="s">
        <v>1202</v>
      </c>
      <c r="BL22" s="3436">
        <v>43832</v>
      </c>
      <c r="BM22" s="3436">
        <v>43864</v>
      </c>
      <c r="BN22" s="3436">
        <v>44196</v>
      </c>
      <c r="BO22" s="3436">
        <v>43984</v>
      </c>
      <c r="BP22" s="2701" t="s">
        <v>1165</v>
      </c>
    </row>
    <row r="23" spans="1:68" s="51" customFormat="1" ht="98.25" customHeight="1" x14ac:dyDescent="0.2">
      <c r="A23" s="1162"/>
      <c r="B23" s="3434"/>
      <c r="C23" s="3435"/>
      <c r="D23" s="1162"/>
      <c r="E23" s="1163"/>
      <c r="F23" s="3452"/>
      <c r="G23" s="3453"/>
      <c r="H23" s="1487">
        <v>19</v>
      </c>
      <c r="I23" s="1488" t="s">
        <v>1203</v>
      </c>
      <c r="J23" s="1161" t="s">
        <v>1204</v>
      </c>
      <c r="K23" s="1483"/>
      <c r="L23" s="1481"/>
      <c r="M23" s="3379"/>
      <c r="N23" s="3379"/>
      <c r="O23" s="3387"/>
      <c r="P23" s="1484">
        <f>U23/Q22</f>
        <v>0.44444444444444442</v>
      </c>
      <c r="Q23" s="3448"/>
      <c r="R23" s="3387"/>
      <c r="S23" s="3387"/>
      <c r="T23" s="535" t="s">
        <v>1205</v>
      </c>
      <c r="U23" s="1486">
        <v>40000000</v>
      </c>
      <c r="V23" s="1447">
        <v>20500000</v>
      </c>
      <c r="W23" s="1447">
        <v>9000000</v>
      </c>
      <c r="X23" s="62">
        <v>20</v>
      </c>
      <c r="Y23" s="1138" t="s">
        <v>90</v>
      </c>
      <c r="Z23" s="3438"/>
      <c r="AA23" s="3438"/>
      <c r="AB23" s="3438"/>
      <c r="AC23" s="3438"/>
      <c r="AD23" s="3445"/>
      <c r="AE23" s="3438"/>
      <c r="AF23" s="3438"/>
      <c r="AG23" s="3438"/>
      <c r="AH23" s="3438"/>
      <c r="AI23" s="3438"/>
      <c r="AJ23" s="3438"/>
      <c r="AK23" s="3438"/>
      <c r="AL23" s="3438"/>
      <c r="AM23" s="3438"/>
      <c r="AN23" s="3438"/>
      <c r="AO23" s="3438"/>
      <c r="AP23" s="3438"/>
      <c r="AQ23" s="3438"/>
      <c r="AR23" s="3438"/>
      <c r="AS23" s="3438"/>
      <c r="AT23" s="3438"/>
      <c r="AU23" s="3438"/>
      <c r="AV23" s="3438"/>
      <c r="AW23" s="3444"/>
      <c r="AX23" s="3438"/>
      <c r="AY23" s="3438"/>
      <c r="AZ23" s="3438"/>
      <c r="BA23" s="3438"/>
      <c r="BB23" s="3438"/>
      <c r="BC23" s="3438"/>
      <c r="BD23" s="2859"/>
      <c r="BE23" s="3438"/>
      <c r="BF23" s="3379"/>
      <c r="BG23" s="3440"/>
      <c r="BH23" s="3440"/>
      <c r="BI23" s="3442"/>
      <c r="BJ23" s="1148" t="s">
        <v>90</v>
      </c>
      <c r="BK23" s="3375"/>
      <c r="BL23" s="3436"/>
      <c r="BM23" s="3436"/>
      <c r="BN23" s="3436"/>
      <c r="BO23" s="3436"/>
      <c r="BP23" s="2701"/>
    </row>
    <row r="24" spans="1:68" s="1428" customFormat="1" ht="33.75" customHeight="1" x14ac:dyDescent="0.25">
      <c r="A24" s="678">
        <v>2</v>
      </c>
      <c r="B24" s="672" t="s">
        <v>434</v>
      </c>
      <c r="C24" s="1489"/>
      <c r="D24" s="1489"/>
      <c r="E24" s="1419"/>
      <c r="F24" s="1419"/>
      <c r="G24" s="678"/>
      <c r="H24" s="1419"/>
      <c r="I24" s="1420"/>
      <c r="J24" s="1420"/>
      <c r="K24" s="1421"/>
      <c r="L24" s="1421"/>
      <c r="M24" s="1422"/>
      <c r="N24" s="1421"/>
      <c r="O24" s="1420"/>
      <c r="P24" s="223"/>
      <c r="Q24" s="223"/>
      <c r="R24" s="1420"/>
      <c r="S24" s="1420"/>
      <c r="T24" s="1420"/>
      <c r="U24" s="1423"/>
      <c r="V24" s="1424"/>
      <c r="W24" s="1424"/>
      <c r="X24" s="1421"/>
      <c r="Y24" s="1421"/>
      <c r="Z24" s="1421"/>
      <c r="AA24" s="1421"/>
      <c r="AB24" s="1421"/>
      <c r="AC24" s="1421"/>
      <c r="AD24" s="1421"/>
      <c r="AE24" s="1421"/>
      <c r="AF24" s="1421"/>
      <c r="AG24" s="1421"/>
      <c r="AH24" s="1421"/>
      <c r="AI24" s="1421"/>
      <c r="AJ24" s="1421"/>
      <c r="AK24" s="1421"/>
      <c r="AL24" s="1421"/>
      <c r="AM24" s="1425"/>
      <c r="AN24" s="1425"/>
      <c r="AO24" s="1425"/>
      <c r="AP24" s="1421"/>
      <c r="AQ24" s="1421"/>
      <c r="AR24" s="1421"/>
      <c r="AS24" s="1421"/>
      <c r="AT24" s="1421"/>
      <c r="AU24" s="1421"/>
      <c r="AV24" s="1421"/>
      <c r="AW24" s="1421"/>
      <c r="AX24" s="1421"/>
      <c r="AY24" s="1421"/>
      <c r="AZ24" s="1421"/>
      <c r="BA24" s="1421"/>
      <c r="BB24" s="1425"/>
      <c r="BC24" s="1425"/>
      <c r="BD24" s="1425"/>
      <c r="BE24" s="1421"/>
      <c r="BF24" s="223"/>
      <c r="BG24" s="1490"/>
      <c r="BH24" s="1490"/>
      <c r="BI24" s="1426"/>
      <c r="BJ24" s="1491"/>
      <c r="BK24" s="1421"/>
      <c r="BL24" s="1427"/>
      <c r="BM24" s="1427"/>
      <c r="BN24" s="1427"/>
      <c r="BO24" s="1427"/>
      <c r="BP24" s="1421"/>
    </row>
    <row r="25" spans="1:68" ht="38.25" customHeight="1" x14ac:dyDescent="0.2">
      <c r="A25" s="1492"/>
      <c r="B25" s="1493"/>
      <c r="C25" s="1494"/>
      <c r="D25" s="234">
        <v>2</v>
      </c>
      <c r="E25" s="681" t="s">
        <v>765</v>
      </c>
      <c r="F25" s="681"/>
      <c r="G25" s="1495"/>
      <c r="H25" s="1496"/>
      <c r="I25" s="1497"/>
      <c r="J25" s="1431"/>
      <c r="K25" s="1430"/>
      <c r="L25" s="1430"/>
      <c r="M25" s="1430"/>
      <c r="N25" s="1430"/>
      <c r="O25" s="1431"/>
      <c r="P25" s="520"/>
      <c r="Q25" s="520"/>
      <c r="R25" s="1431"/>
      <c r="S25" s="1431"/>
      <c r="T25" s="1431"/>
      <c r="U25" s="1432"/>
      <c r="V25" s="1433"/>
      <c r="W25" s="1433"/>
      <c r="X25" s="1430"/>
      <c r="Y25" s="1430"/>
      <c r="Z25" s="1430"/>
      <c r="AA25" s="1430"/>
      <c r="AB25" s="1430"/>
      <c r="AC25" s="1430"/>
      <c r="AD25" s="1430"/>
      <c r="AE25" s="1430"/>
      <c r="AF25" s="1430"/>
      <c r="AG25" s="1430"/>
      <c r="AH25" s="1430"/>
      <c r="AI25" s="1430"/>
      <c r="AJ25" s="1430"/>
      <c r="AK25" s="1430"/>
      <c r="AL25" s="1430"/>
      <c r="AM25" s="1430"/>
      <c r="AN25" s="1430"/>
      <c r="AO25" s="1430"/>
      <c r="AP25" s="1430"/>
      <c r="AQ25" s="1430"/>
      <c r="AR25" s="1430"/>
      <c r="AS25" s="1430"/>
      <c r="AT25" s="1430"/>
      <c r="AU25" s="1430"/>
      <c r="AV25" s="1430"/>
      <c r="AW25" s="1430"/>
      <c r="AX25" s="1430"/>
      <c r="AY25" s="1430"/>
      <c r="AZ25" s="1430"/>
      <c r="BA25" s="1430"/>
      <c r="BB25" s="1430"/>
      <c r="BC25" s="1430"/>
      <c r="BD25" s="1430"/>
      <c r="BE25" s="1430"/>
      <c r="BF25" s="520"/>
      <c r="BG25" s="1498"/>
      <c r="BH25" s="1498"/>
      <c r="BI25" s="1434"/>
      <c r="BJ25" s="1499"/>
      <c r="BK25" s="1430"/>
      <c r="BL25" s="1435"/>
      <c r="BM25" s="1435"/>
      <c r="BN25" s="1435"/>
      <c r="BO25" s="1435"/>
      <c r="BP25" s="1430"/>
    </row>
    <row r="26" spans="1:68" ht="27" customHeight="1" x14ac:dyDescent="0.2">
      <c r="A26" s="754"/>
      <c r="B26" s="755"/>
      <c r="C26" s="669"/>
      <c r="D26" s="1492"/>
      <c r="E26" s="1500"/>
      <c r="F26" s="1501">
        <v>4</v>
      </c>
      <c r="G26" s="1450" t="s">
        <v>1206</v>
      </c>
      <c r="H26" s="1450"/>
      <c r="I26" s="1451"/>
      <c r="J26" s="1455"/>
      <c r="K26" s="1452"/>
      <c r="L26" s="1453"/>
      <c r="M26" s="1454"/>
      <c r="N26" s="1452"/>
      <c r="O26" s="1455"/>
      <c r="P26" s="1159"/>
      <c r="Q26" s="1466"/>
      <c r="R26" s="1456"/>
      <c r="S26" s="1456"/>
      <c r="T26" s="1502"/>
      <c r="U26" s="1503"/>
      <c r="V26" s="1459"/>
      <c r="W26" s="1504"/>
      <c r="X26" s="1460"/>
      <c r="Y26" s="1460"/>
      <c r="Z26" s="1460"/>
      <c r="AA26" s="1460"/>
      <c r="AB26" s="1461"/>
      <c r="AC26" s="1461"/>
      <c r="AD26" s="1461"/>
      <c r="AE26" s="1462"/>
      <c r="AF26" s="1462"/>
      <c r="AG26" s="1462"/>
      <c r="AH26" s="1461"/>
      <c r="AI26" s="1461"/>
      <c r="AJ26" s="1460"/>
      <c r="AK26" s="1463"/>
      <c r="AL26" s="1464"/>
      <c r="AM26" s="1464"/>
      <c r="AN26" s="1465"/>
      <c r="AO26" s="1466"/>
      <c r="AP26" s="1466"/>
      <c r="AQ26" s="1466"/>
      <c r="AR26" s="1467"/>
      <c r="AS26" s="1159"/>
      <c r="AT26" s="1468"/>
      <c r="AU26" s="1460"/>
      <c r="AV26" s="1460"/>
      <c r="AW26" s="1460"/>
      <c r="AX26" s="1460"/>
      <c r="AY26" s="1460"/>
      <c r="AZ26" s="1461"/>
      <c r="BA26" s="1461"/>
      <c r="BB26" s="1461"/>
      <c r="BC26" s="1462"/>
      <c r="BD26" s="1462"/>
      <c r="BE26" s="1462"/>
      <c r="BF26" s="1466"/>
      <c r="BG26" s="1466"/>
      <c r="BH26" s="1466"/>
      <c r="BI26" s="1469"/>
      <c r="BJ26" s="1480"/>
      <c r="BK26" s="1468"/>
      <c r="BL26" s="1471"/>
      <c r="BM26" s="1471"/>
      <c r="BN26" s="1471"/>
      <c r="BO26" s="1471"/>
      <c r="BP26" s="1460"/>
    </row>
    <row r="27" spans="1:68" ht="60.75" customHeight="1" x14ac:dyDescent="0.2">
      <c r="A27" s="754"/>
      <c r="B27" s="755"/>
      <c r="C27" s="669"/>
      <c r="D27" s="754"/>
      <c r="E27" s="669"/>
      <c r="F27" s="3391"/>
      <c r="G27" s="3377"/>
      <c r="H27" s="3377">
        <v>21</v>
      </c>
      <c r="I27" s="3386" t="s">
        <v>1207</v>
      </c>
      <c r="J27" s="3420" t="s">
        <v>1208</v>
      </c>
      <c r="K27" s="2857"/>
      <c r="L27" s="3417"/>
      <c r="M27" s="3426" t="s">
        <v>1209</v>
      </c>
      <c r="N27" s="3426" t="s">
        <v>1210</v>
      </c>
      <c r="O27" s="3420" t="s">
        <v>1211</v>
      </c>
      <c r="P27" s="3432">
        <f>+(U27+U28)/Q27</f>
        <v>0.17808219178082191</v>
      </c>
      <c r="Q27" s="3380">
        <f>SUM(U27:U32)</f>
        <v>365000000</v>
      </c>
      <c r="R27" s="3429" t="s">
        <v>1212</v>
      </c>
      <c r="S27" s="3420" t="s">
        <v>1213</v>
      </c>
      <c r="T27" s="1505" t="s">
        <v>1214</v>
      </c>
      <c r="U27" s="1506">
        <v>53000000</v>
      </c>
      <c r="V27" s="1506"/>
      <c r="W27" s="1506"/>
      <c r="X27" s="1507">
        <v>20</v>
      </c>
      <c r="Y27" s="1139" t="s">
        <v>90</v>
      </c>
      <c r="Z27" s="3393">
        <v>40</v>
      </c>
      <c r="AA27" s="3393"/>
      <c r="AB27" s="3393">
        <v>60</v>
      </c>
      <c r="AC27" s="3393"/>
      <c r="AD27" s="3393">
        <v>10</v>
      </c>
      <c r="AE27" s="3393"/>
      <c r="AF27" s="3393">
        <v>20</v>
      </c>
      <c r="AG27" s="3393"/>
      <c r="AH27" s="3393">
        <v>30</v>
      </c>
      <c r="AI27" s="3393"/>
      <c r="AJ27" s="3393">
        <v>40</v>
      </c>
      <c r="AK27" s="3393"/>
      <c r="AL27" s="3393">
        <v>5</v>
      </c>
      <c r="AM27" s="3393"/>
      <c r="AN27" s="3393">
        <v>0</v>
      </c>
      <c r="AO27" s="3393"/>
      <c r="AP27" s="3393">
        <v>0</v>
      </c>
      <c r="AQ27" s="3393"/>
      <c r="AR27" s="3393">
        <v>0</v>
      </c>
      <c r="AS27" s="3393"/>
      <c r="AT27" s="3393">
        <v>0</v>
      </c>
      <c r="AU27" s="3393"/>
      <c r="AV27" s="3393">
        <v>0</v>
      </c>
      <c r="AW27" s="3393"/>
      <c r="AX27" s="3393">
        <v>5</v>
      </c>
      <c r="AY27" s="3393"/>
      <c r="AZ27" s="3393">
        <v>0</v>
      </c>
      <c r="BA27" s="3393"/>
      <c r="BB27" s="3393">
        <v>0</v>
      </c>
      <c r="BC27" s="3393"/>
      <c r="BD27" s="3393">
        <v>100</v>
      </c>
      <c r="BE27" s="3393"/>
      <c r="BF27" s="3393">
        <v>0</v>
      </c>
      <c r="BG27" s="3380">
        <v>0</v>
      </c>
      <c r="BH27" s="3380">
        <v>0</v>
      </c>
      <c r="BI27" s="3382">
        <v>0</v>
      </c>
      <c r="BJ27" s="3426"/>
      <c r="BK27" s="3375"/>
      <c r="BL27" s="3376">
        <v>43832</v>
      </c>
      <c r="BM27" s="3376" t="s">
        <v>1164</v>
      </c>
      <c r="BN27" s="3376">
        <v>44196</v>
      </c>
      <c r="BO27" s="3376" t="s">
        <v>1164</v>
      </c>
      <c r="BP27" s="2447" t="s">
        <v>1165</v>
      </c>
    </row>
    <row r="28" spans="1:68" ht="93" customHeight="1" x14ac:dyDescent="0.2">
      <c r="A28" s="754"/>
      <c r="B28" s="755"/>
      <c r="C28" s="669"/>
      <c r="D28" s="754"/>
      <c r="E28" s="669"/>
      <c r="F28" s="3391"/>
      <c r="G28" s="3377"/>
      <c r="H28" s="3377"/>
      <c r="I28" s="3387"/>
      <c r="J28" s="3421"/>
      <c r="K28" s="2897"/>
      <c r="L28" s="3418"/>
      <c r="M28" s="3427"/>
      <c r="N28" s="3427"/>
      <c r="O28" s="2497"/>
      <c r="P28" s="3433"/>
      <c r="Q28" s="3404"/>
      <c r="R28" s="3430"/>
      <c r="S28" s="3421"/>
      <c r="T28" s="168" t="s">
        <v>1215</v>
      </c>
      <c r="U28" s="1486">
        <v>12000000</v>
      </c>
      <c r="V28" s="1506"/>
      <c r="W28" s="1506"/>
      <c r="X28" s="1508">
        <v>20</v>
      </c>
      <c r="Y28" s="1148" t="s">
        <v>90</v>
      </c>
      <c r="Z28" s="3409"/>
      <c r="AA28" s="3409"/>
      <c r="AB28" s="3409"/>
      <c r="AC28" s="3409"/>
      <c r="AD28" s="3409"/>
      <c r="AE28" s="3409"/>
      <c r="AF28" s="3409"/>
      <c r="AG28" s="3409"/>
      <c r="AH28" s="3409"/>
      <c r="AI28" s="3409"/>
      <c r="AJ28" s="3409"/>
      <c r="AK28" s="3409"/>
      <c r="AL28" s="3409"/>
      <c r="AM28" s="3409"/>
      <c r="AN28" s="3409"/>
      <c r="AO28" s="3409"/>
      <c r="AP28" s="3409"/>
      <c r="AQ28" s="3409"/>
      <c r="AR28" s="3409"/>
      <c r="AS28" s="3409"/>
      <c r="AT28" s="3409"/>
      <c r="AU28" s="3409"/>
      <c r="AV28" s="3409"/>
      <c r="AW28" s="3409"/>
      <c r="AX28" s="3409"/>
      <c r="AY28" s="3409"/>
      <c r="AZ28" s="3409"/>
      <c r="BA28" s="3409"/>
      <c r="BB28" s="3409"/>
      <c r="BC28" s="3409"/>
      <c r="BD28" s="3409"/>
      <c r="BE28" s="3409"/>
      <c r="BF28" s="3409"/>
      <c r="BG28" s="3404"/>
      <c r="BH28" s="3404"/>
      <c r="BI28" s="2508"/>
      <c r="BJ28" s="3427"/>
      <c r="BK28" s="3375"/>
      <c r="BL28" s="3376"/>
      <c r="BM28" s="3376"/>
      <c r="BN28" s="3376"/>
      <c r="BO28" s="3376"/>
      <c r="BP28" s="2447"/>
    </row>
    <row r="29" spans="1:68" ht="99.75" customHeight="1" x14ac:dyDescent="0.2">
      <c r="A29" s="754"/>
      <c r="B29" s="755"/>
      <c r="C29" s="669"/>
      <c r="D29" s="754"/>
      <c r="E29" s="669"/>
      <c r="F29" s="3391"/>
      <c r="G29" s="3377"/>
      <c r="H29" s="3377">
        <v>23</v>
      </c>
      <c r="I29" s="3386" t="s">
        <v>1216</v>
      </c>
      <c r="J29" s="3420" t="s">
        <v>1217</v>
      </c>
      <c r="K29" s="2857"/>
      <c r="L29" s="3417"/>
      <c r="M29" s="3427"/>
      <c r="N29" s="3427"/>
      <c r="O29" s="2497"/>
      <c r="P29" s="3423">
        <f>+(U29+U30+U31)/Q27</f>
        <v>0.17808219178082191</v>
      </c>
      <c r="Q29" s="3404"/>
      <c r="R29" s="3430"/>
      <c r="S29" s="3425" t="s">
        <v>1218</v>
      </c>
      <c r="T29" s="168" t="s">
        <v>1219</v>
      </c>
      <c r="U29" s="1486">
        <v>13000000</v>
      </c>
      <c r="V29" s="1506"/>
      <c r="W29" s="1506"/>
      <c r="X29" s="1508">
        <v>20</v>
      </c>
      <c r="Y29" s="1148" t="s">
        <v>90</v>
      </c>
      <c r="Z29" s="3409"/>
      <c r="AA29" s="3409"/>
      <c r="AB29" s="3409"/>
      <c r="AC29" s="3409"/>
      <c r="AD29" s="3409"/>
      <c r="AE29" s="3409"/>
      <c r="AF29" s="3409"/>
      <c r="AG29" s="3409"/>
      <c r="AH29" s="3409"/>
      <c r="AI29" s="3409"/>
      <c r="AJ29" s="3409"/>
      <c r="AK29" s="3409"/>
      <c r="AL29" s="3409"/>
      <c r="AM29" s="3409"/>
      <c r="AN29" s="3409"/>
      <c r="AO29" s="3409"/>
      <c r="AP29" s="3409"/>
      <c r="AQ29" s="3409"/>
      <c r="AR29" s="3409"/>
      <c r="AS29" s="3409"/>
      <c r="AT29" s="3409"/>
      <c r="AU29" s="3409"/>
      <c r="AV29" s="3409"/>
      <c r="AW29" s="3409"/>
      <c r="AX29" s="3409"/>
      <c r="AY29" s="3409"/>
      <c r="AZ29" s="3409"/>
      <c r="BA29" s="3409"/>
      <c r="BB29" s="3409"/>
      <c r="BC29" s="3409"/>
      <c r="BD29" s="3409"/>
      <c r="BE29" s="3409"/>
      <c r="BF29" s="3409"/>
      <c r="BG29" s="3404"/>
      <c r="BH29" s="3404"/>
      <c r="BI29" s="2508"/>
      <c r="BJ29" s="3427"/>
      <c r="BK29" s="3375"/>
      <c r="BL29" s="3376"/>
      <c r="BM29" s="3376"/>
      <c r="BN29" s="3376"/>
      <c r="BO29" s="3376"/>
      <c r="BP29" s="2447"/>
    </row>
    <row r="30" spans="1:68" ht="49.5" customHeight="1" x14ac:dyDescent="0.2">
      <c r="A30" s="754"/>
      <c r="B30" s="755"/>
      <c r="C30" s="669"/>
      <c r="D30" s="754"/>
      <c r="E30" s="669"/>
      <c r="F30" s="3391"/>
      <c r="G30" s="3377"/>
      <c r="H30" s="3377"/>
      <c r="I30" s="3419"/>
      <c r="J30" s="2497"/>
      <c r="K30" s="2896"/>
      <c r="L30" s="3422"/>
      <c r="M30" s="3427"/>
      <c r="N30" s="3427"/>
      <c r="O30" s="2497"/>
      <c r="P30" s="3424"/>
      <c r="Q30" s="3404"/>
      <c r="R30" s="3430"/>
      <c r="S30" s="2690"/>
      <c r="T30" s="168" t="s">
        <v>1220</v>
      </c>
      <c r="U30" s="1486">
        <v>12000000</v>
      </c>
      <c r="V30" s="1506"/>
      <c r="W30" s="1506"/>
      <c r="X30" s="1508">
        <v>20</v>
      </c>
      <c r="Y30" s="1148" t="s">
        <v>90</v>
      </c>
      <c r="Z30" s="3409"/>
      <c r="AA30" s="3409"/>
      <c r="AB30" s="3409"/>
      <c r="AC30" s="3409"/>
      <c r="AD30" s="3409"/>
      <c r="AE30" s="3409"/>
      <c r="AF30" s="3409"/>
      <c r="AG30" s="3409"/>
      <c r="AH30" s="3409"/>
      <c r="AI30" s="3409"/>
      <c r="AJ30" s="3409"/>
      <c r="AK30" s="3409"/>
      <c r="AL30" s="3409"/>
      <c r="AM30" s="3409"/>
      <c r="AN30" s="3409"/>
      <c r="AO30" s="3409"/>
      <c r="AP30" s="3409"/>
      <c r="AQ30" s="3409"/>
      <c r="AR30" s="3409"/>
      <c r="AS30" s="3409"/>
      <c r="AT30" s="3409"/>
      <c r="AU30" s="3409"/>
      <c r="AV30" s="3409"/>
      <c r="AW30" s="3409"/>
      <c r="AX30" s="3409"/>
      <c r="AY30" s="3409"/>
      <c r="AZ30" s="3409"/>
      <c r="BA30" s="3409"/>
      <c r="BB30" s="3409"/>
      <c r="BC30" s="3409"/>
      <c r="BD30" s="3409"/>
      <c r="BE30" s="3409"/>
      <c r="BF30" s="3409"/>
      <c r="BG30" s="3404"/>
      <c r="BH30" s="3404"/>
      <c r="BI30" s="2508"/>
      <c r="BJ30" s="3427"/>
      <c r="BK30" s="3375"/>
      <c r="BL30" s="3376"/>
      <c r="BM30" s="3376"/>
      <c r="BN30" s="3376"/>
      <c r="BO30" s="3376"/>
      <c r="BP30" s="2447"/>
    </row>
    <row r="31" spans="1:68" ht="47.25" customHeight="1" x14ac:dyDescent="0.2">
      <c r="A31" s="754"/>
      <c r="B31" s="755"/>
      <c r="C31" s="669"/>
      <c r="D31" s="754"/>
      <c r="E31" s="669"/>
      <c r="F31" s="3391"/>
      <c r="G31" s="3377"/>
      <c r="H31" s="3377"/>
      <c r="I31" s="3387"/>
      <c r="J31" s="3421"/>
      <c r="K31" s="2897"/>
      <c r="L31" s="3418"/>
      <c r="M31" s="3427"/>
      <c r="N31" s="3427"/>
      <c r="O31" s="2497"/>
      <c r="P31" s="3423">
        <f>U32/Q27</f>
        <v>0.64383561643835618</v>
      </c>
      <c r="Q31" s="3404"/>
      <c r="R31" s="3430"/>
      <c r="S31" s="2690"/>
      <c r="T31" s="168" t="s">
        <v>1221</v>
      </c>
      <c r="U31" s="1486">
        <v>40000000</v>
      </c>
      <c r="V31" s="1506"/>
      <c r="W31" s="1506"/>
      <c r="X31" s="1508">
        <v>20</v>
      </c>
      <c r="Y31" s="1148" t="s">
        <v>90</v>
      </c>
      <c r="Z31" s="3409"/>
      <c r="AA31" s="3409"/>
      <c r="AB31" s="3409"/>
      <c r="AC31" s="3409"/>
      <c r="AD31" s="3409"/>
      <c r="AE31" s="3409"/>
      <c r="AF31" s="3409"/>
      <c r="AG31" s="3409"/>
      <c r="AH31" s="3409"/>
      <c r="AI31" s="3409"/>
      <c r="AJ31" s="3409"/>
      <c r="AK31" s="3409"/>
      <c r="AL31" s="3409"/>
      <c r="AM31" s="3409"/>
      <c r="AN31" s="3409"/>
      <c r="AO31" s="3409"/>
      <c r="AP31" s="3409"/>
      <c r="AQ31" s="3409"/>
      <c r="AR31" s="3409"/>
      <c r="AS31" s="3409"/>
      <c r="AT31" s="3409"/>
      <c r="AU31" s="3409"/>
      <c r="AV31" s="3409"/>
      <c r="AW31" s="3409"/>
      <c r="AX31" s="3409"/>
      <c r="AY31" s="3409"/>
      <c r="AZ31" s="3409"/>
      <c r="BA31" s="3409"/>
      <c r="BB31" s="3409"/>
      <c r="BC31" s="3409"/>
      <c r="BD31" s="3409"/>
      <c r="BE31" s="3409"/>
      <c r="BF31" s="3409"/>
      <c r="BG31" s="3404"/>
      <c r="BH31" s="3404"/>
      <c r="BI31" s="2508"/>
      <c r="BJ31" s="3427"/>
      <c r="BK31" s="3375"/>
      <c r="BL31" s="3376"/>
      <c r="BM31" s="3376"/>
      <c r="BN31" s="3376"/>
      <c r="BO31" s="3376"/>
      <c r="BP31" s="2447"/>
    </row>
    <row r="32" spans="1:68" ht="57" x14ac:dyDescent="0.2">
      <c r="A32" s="754"/>
      <c r="B32" s="755"/>
      <c r="C32" s="669"/>
      <c r="D32" s="754"/>
      <c r="E32" s="669"/>
      <c r="F32" s="3391"/>
      <c r="G32" s="3377"/>
      <c r="H32" s="1165">
        <v>24</v>
      </c>
      <c r="I32" s="1161" t="s">
        <v>1222</v>
      </c>
      <c r="J32" s="1161" t="s">
        <v>1223</v>
      </c>
      <c r="K32" s="1483"/>
      <c r="L32" s="1509"/>
      <c r="M32" s="3428"/>
      <c r="N32" s="3428"/>
      <c r="O32" s="3421"/>
      <c r="P32" s="3424"/>
      <c r="Q32" s="3381"/>
      <c r="R32" s="3431"/>
      <c r="S32" s="3361"/>
      <c r="T32" s="168" t="s">
        <v>1224</v>
      </c>
      <c r="U32" s="1486">
        <v>235000000</v>
      </c>
      <c r="V32" s="1506"/>
      <c r="W32" s="1506"/>
      <c r="X32" s="1508">
        <v>20</v>
      </c>
      <c r="Y32" s="1148" t="s">
        <v>90</v>
      </c>
      <c r="Z32" s="3394"/>
      <c r="AA32" s="3394"/>
      <c r="AB32" s="3394"/>
      <c r="AC32" s="3394"/>
      <c r="AD32" s="3394"/>
      <c r="AE32" s="3394"/>
      <c r="AF32" s="3394"/>
      <c r="AG32" s="3394"/>
      <c r="AH32" s="3394"/>
      <c r="AI32" s="3394"/>
      <c r="AJ32" s="3394"/>
      <c r="AK32" s="3394"/>
      <c r="AL32" s="3394"/>
      <c r="AM32" s="3394"/>
      <c r="AN32" s="3394"/>
      <c r="AO32" s="3394"/>
      <c r="AP32" s="3394"/>
      <c r="AQ32" s="3394"/>
      <c r="AR32" s="3394"/>
      <c r="AS32" s="3394"/>
      <c r="AT32" s="3394"/>
      <c r="AU32" s="3394"/>
      <c r="AV32" s="3394"/>
      <c r="AW32" s="3394"/>
      <c r="AX32" s="3394"/>
      <c r="AY32" s="3394"/>
      <c r="AZ32" s="3394"/>
      <c r="BA32" s="3394"/>
      <c r="BB32" s="3394"/>
      <c r="BC32" s="3394"/>
      <c r="BD32" s="3394"/>
      <c r="BE32" s="3394"/>
      <c r="BF32" s="3394"/>
      <c r="BG32" s="3381"/>
      <c r="BH32" s="3381"/>
      <c r="BI32" s="3383"/>
      <c r="BJ32" s="3428"/>
      <c r="BK32" s="3375"/>
      <c r="BL32" s="3376"/>
      <c r="BM32" s="3376"/>
      <c r="BN32" s="3376"/>
      <c r="BO32" s="3376"/>
      <c r="BP32" s="2447"/>
    </row>
    <row r="33" spans="1:68" ht="51.75" customHeight="1" x14ac:dyDescent="0.2">
      <c r="A33" s="754"/>
      <c r="B33" s="755"/>
      <c r="C33" s="669"/>
      <c r="D33" s="754"/>
      <c r="E33" s="1510"/>
      <c r="F33" s="1511">
        <v>5</v>
      </c>
      <c r="G33" s="686" t="s">
        <v>1225</v>
      </c>
      <c r="H33" s="686"/>
      <c r="I33" s="1512"/>
      <c r="J33" s="1455"/>
      <c r="K33" s="1453"/>
      <c r="L33" s="1454"/>
      <c r="M33" s="1452"/>
      <c r="N33" s="1452"/>
      <c r="O33" s="1455"/>
      <c r="P33" s="1466"/>
      <c r="Q33" s="1466"/>
      <c r="R33" s="1456"/>
      <c r="S33" s="1502"/>
      <c r="T33" s="1455"/>
      <c r="U33" s="1513"/>
      <c r="V33" s="1504"/>
      <c r="W33" s="1504"/>
      <c r="X33" s="1460"/>
      <c r="Y33" s="1460"/>
      <c r="Z33" s="1460"/>
      <c r="AA33" s="1461"/>
      <c r="AB33" s="1461"/>
      <c r="AC33" s="1461"/>
      <c r="AD33" s="1462"/>
      <c r="AE33" s="1462"/>
      <c r="AF33" s="1462"/>
      <c r="AG33" s="1461"/>
      <c r="AH33" s="1461"/>
      <c r="AI33" s="1460"/>
      <c r="AJ33" s="1463"/>
      <c r="AK33" s="1464"/>
      <c r="AL33" s="1464"/>
      <c r="AM33" s="1465"/>
      <c r="AN33" s="1466"/>
      <c r="AO33" s="1466"/>
      <c r="AP33" s="1466"/>
      <c r="AQ33" s="1467"/>
      <c r="AR33" s="1159"/>
      <c r="AS33" s="1468"/>
      <c r="AT33" s="1460"/>
      <c r="AU33" s="1460"/>
      <c r="AV33" s="1460"/>
      <c r="AW33" s="1460"/>
      <c r="AX33" s="1460"/>
      <c r="AY33" s="1461"/>
      <c r="AZ33" s="1461"/>
      <c r="BA33" s="1461"/>
      <c r="BB33" s="1462"/>
      <c r="BC33" s="1462"/>
      <c r="BD33" s="1462"/>
      <c r="BE33" s="1466"/>
      <c r="BF33" s="1466"/>
      <c r="BG33" s="1466"/>
      <c r="BH33" s="1466"/>
      <c r="BI33" s="1469"/>
      <c r="BJ33" s="1480"/>
      <c r="BK33" s="1460"/>
      <c r="BL33" s="1471"/>
      <c r="BM33" s="1471"/>
      <c r="BN33" s="1471"/>
      <c r="BO33" s="1471"/>
      <c r="BP33" s="1460"/>
    </row>
    <row r="34" spans="1:68" ht="81" customHeight="1" x14ac:dyDescent="0.2">
      <c r="A34" s="754"/>
      <c r="B34" s="755"/>
      <c r="C34" s="669"/>
      <c r="D34" s="754"/>
      <c r="E34" s="669"/>
      <c r="F34" s="3391"/>
      <c r="G34" s="3377"/>
      <c r="H34" s="3405">
        <v>25</v>
      </c>
      <c r="I34" s="3410" t="s">
        <v>1226</v>
      </c>
      <c r="J34" s="3410" t="s">
        <v>1227</v>
      </c>
      <c r="K34" s="3415"/>
      <c r="L34" s="3417"/>
      <c r="M34" s="3005" t="s">
        <v>1228</v>
      </c>
      <c r="N34" s="3005" t="s">
        <v>1229</v>
      </c>
      <c r="O34" s="3410" t="s">
        <v>1230</v>
      </c>
      <c r="P34" s="3412">
        <f>+(U34+U35)/Q34</f>
        <v>0.41535776614310643</v>
      </c>
      <c r="Q34" s="3401">
        <f>SUM(U34:U37)</f>
        <v>573000000</v>
      </c>
      <c r="R34" s="3410" t="s">
        <v>1231</v>
      </c>
      <c r="S34" s="3410" t="s">
        <v>1232</v>
      </c>
      <c r="T34" s="796" t="s">
        <v>1233</v>
      </c>
      <c r="U34" s="1514">
        <v>148000000</v>
      </c>
      <c r="V34" s="1506"/>
      <c r="W34" s="1506"/>
      <c r="X34" s="178">
        <v>20</v>
      </c>
      <c r="Y34" s="3005" t="s">
        <v>90</v>
      </c>
      <c r="Z34" s="3406">
        <v>600</v>
      </c>
      <c r="AA34" s="3406"/>
      <c r="AB34" s="3406">
        <v>600</v>
      </c>
      <c r="AC34" s="3406"/>
      <c r="AD34" s="3406">
        <v>125</v>
      </c>
      <c r="AE34" s="3406"/>
      <c r="AF34" s="3406">
        <v>75</v>
      </c>
      <c r="AG34" s="3406"/>
      <c r="AH34" s="3406">
        <v>300</v>
      </c>
      <c r="AI34" s="3406"/>
      <c r="AJ34" s="3406">
        <v>700</v>
      </c>
      <c r="AK34" s="3406"/>
      <c r="AL34" s="3406">
        <v>50</v>
      </c>
      <c r="AM34" s="3406"/>
      <c r="AN34" s="3406">
        <v>30</v>
      </c>
      <c r="AO34" s="3406"/>
      <c r="AP34" s="3406">
        <v>0</v>
      </c>
      <c r="AQ34" s="3406"/>
      <c r="AR34" s="3406">
        <v>0</v>
      </c>
      <c r="AS34" s="3406"/>
      <c r="AT34" s="3406">
        <v>0</v>
      </c>
      <c r="AU34" s="3406"/>
      <c r="AV34" s="3406">
        <v>0</v>
      </c>
      <c r="AW34" s="3406"/>
      <c r="AX34" s="3406">
        <v>0</v>
      </c>
      <c r="AY34" s="3406"/>
      <c r="AZ34" s="3406">
        <v>10</v>
      </c>
      <c r="BA34" s="3406"/>
      <c r="BB34" s="3406">
        <v>10</v>
      </c>
      <c r="BC34" s="3406"/>
      <c r="BD34" s="3406">
        <v>1200</v>
      </c>
      <c r="BE34" s="3406"/>
      <c r="BF34" s="3393">
        <v>0</v>
      </c>
      <c r="BG34" s="3380">
        <v>0</v>
      </c>
      <c r="BH34" s="3380">
        <v>0</v>
      </c>
      <c r="BI34" s="3382">
        <v>0</v>
      </c>
      <c r="BJ34" s="3405"/>
      <c r="BK34" s="3375"/>
      <c r="BL34" s="3376">
        <v>43832</v>
      </c>
      <c r="BM34" s="3376" t="s">
        <v>1164</v>
      </c>
      <c r="BN34" s="3376">
        <v>44196</v>
      </c>
      <c r="BO34" s="3376" t="s">
        <v>1164</v>
      </c>
      <c r="BP34" s="2701" t="s">
        <v>1234</v>
      </c>
    </row>
    <row r="35" spans="1:68" ht="48.75" customHeight="1" x14ac:dyDescent="0.2">
      <c r="A35" s="754"/>
      <c r="B35" s="755"/>
      <c r="C35" s="669"/>
      <c r="D35" s="754"/>
      <c r="E35" s="669"/>
      <c r="F35" s="3391"/>
      <c r="G35" s="3377"/>
      <c r="H35" s="3405"/>
      <c r="I35" s="3411"/>
      <c r="J35" s="3411"/>
      <c r="K35" s="3416"/>
      <c r="L35" s="3418"/>
      <c r="M35" s="2625"/>
      <c r="N35" s="2625"/>
      <c r="O35" s="2475"/>
      <c r="P35" s="3413"/>
      <c r="Q35" s="3329"/>
      <c r="R35" s="2475"/>
      <c r="S35" s="3411"/>
      <c r="T35" s="796" t="s">
        <v>1235</v>
      </c>
      <c r="U35" s="1514">
        <v>90000000</v>
      </c>
      <c r="V35" s="1506"/>
      <c r="W35" s="1506"/>
      <c r="X35" s="178">
        <v>20</v>
      </c>
      <c r="Y35" s="2625"/>
      <c r="Z35" s="3407"/>
      <c r="AA35" s="3407"/>
      <c r="AB35" s="3407"/>
      <c r="AC35" s="3407"/>
      <c r="AD35" s="3407"/>
      <c r="AE35" s="3407"/>
      <c r="AF35" s="3407"/>
      <c r="AG35" s="3407"/>
      <c r="AH35" s="3407"/>
      <c r="AI35" s="3407"/>
      <c r="AJ35" s="3407"/>
      <c r="AK35" s="3407"/>
      <c r="AL35" s="3407"/>
      <c r="AM35" s="3407"/>
      <c r="AN35" s="3407"/>
      <c r="AO35" s="3407"/>
      <c r="AP35" s="3407"/>
      <c r="AQ35" s="3407"/>
      <c r="AR35" s="3407"/>
      <c r="AS35" s="3407"/>
      <c r="AT35" s="3407"/>
      <c r="AU35" s="3407"/>
      <c r="AV35" s="3407"/>
      <c r="AW35" s="3407"/>
      <c r="AX35" s="3407"/>
      <c r="AY35" s="3407"/>
      <c r="AZ35" s="3407"/>
      <c r="BA35" s="3407"/>
      <c r="BB35" s="3407"/>
      <c r="BC35" s="3407"/>
      <c r="BD35" s="3407"/>
      <c r="BE35" s="3407"/>
      <c r="BF35" s="3409"/>
      <c r="BG35" s="3404"/>
      <c r="BH35" s="3404"/>
      <c r="BI35" s="2508"/>
      <c r="BJ35" s="3405"/>
      <c r="BK35" s="3375"/>
      <c r="BL35" s="3376"/>
      <c r="BM35" s="3376"/>
      <c r="BN35" s="3376"/>
      <c r="BO35" s="3376"/>
      <c r="BP35" s="2701"/>
    </row>
    <row r="36" spans="1:68" ht="28.5" x14ac:dyDescent="0.2">
      <c r="A36" s="754"/>
      <c r="B36" s="755"/>
      <c r="C36" s="669"/>
      <c r="D36" s="754"/>
      <c r="E36" s="669"/>
      <c r="F36" s="3391"/>
      <c r="G36" s="3377"/>
      <c r="H36" s="1515">
        <v>27</v>
      </c>
      <c r="I36" s="796" t="s">
        <v>1236</v>
      </c>
      <c r="J36" s="1143" t="s">
        <v>1237</v>
      </c>
      <c r="K36" s="331"/>
      <c r="L36" s="1509"/>
      <c r="M36" s="2625"/>
      <c r="N36" s="2625"/>
      <c r="O36" s="2475"/>
      <c r="P36" s="1516">
        <f>U36/Q34</f>
        <v>0.52356020942408377</v>
      </c>
      <c r="Q36" s="3329"/>
      <c r="R36" s="2475"/>
      <c r="S36" s="796" t="s">
        <v>1238</v>
      </c>
      <c r="T36" s="796" t="s">
        <v>1239</v>
      </c>
      <c r="U36" s="1514">
        <v>300000000</v>
      </c>
      <c r="V36" s="1506"/>
      <c r="W36" s="1506"/>
      <c r="X36" s="178">
        <v>20</v>
      </c>
      <c r="Y36" s="2625"/>
      <c r="Z36" s="3407"/>
      <c r="AA36" s="3407"/>
      <c r="AB36" s="3407"/>
      <c r="AC36" s="3407"/>
      <c r="AD36" s="3407"/>
      <c r="AE36" s="3407"/>
      <c r="AF36" s="3407"/>
      <c r="AG36" s="3407"/>
      <c r="AH36" s="3407"/>
      <c r="AI36" s="3407"/>
      <c r="AJ36" s="3407"/>
      <c r="AK36" s="3407"/>
      <c r="AL36" s="3407"/>
      <c r="AM36" s="3407"/>
      <c r="AN36" s="3407"/>
      <c r="AO36" s="3407"/>
      <c r="AP36" s="3407"/>
      <c r="AQ36" s="3407"/>
      <c r="AR36" s="3407"/>
      <c r="AS36" s="3407"/>
      <c r="AT36" s="3407"/>
      <c r="AU36" s="3407"/>
      <c r="AV36" s="3407"/>
      <c r="AW36" s="3407"/>
      <c r="AX36" s="3407"/>
      <c r="AY36" s="3407"/>
      <c r="AZ36" s="3407"/>
      <c r="BA36" s="3407"/>
      <c r="BB36" s="3407"/>
      <c r="BC36" s="3407"/>
      <c r="BD36" s="3407"/>
      <c r="BE36" s="3407"/>
      <c r="BF36" s="3409"/>
      <c r="BG36" s="3404"/>
      <c r="BH36" s="3404"/>
      <c r="BI36" s="2508"/>
      <c r="BJ36" s="3405"/>
      <c r="BK36" s="3375"/>
      <c r="BL36" s="3376"/>
      <c r="BM36" s="3376"/>
      <c r="BN36" s="3376"/>
      <c r="BO36" s="3376"/>
      <c r="BP36" s="2701"/>
    </row>
    <row r="37" spans="1:68" ht="114" customHeight="1" x14ac:dyDescent="0.2">
      <c r="A37" s="754"/>
      <c r="B37" s="755"/>
      <c r="C37" s="669"/>
      <c r="D37" s="754"/>
      <c r="E37" s="669"/>
      <c r="F37" s="3391"/>
      <c r="G37" s="3377"/>
      <c r="H37" s="1515">
        <v>28</v>
      </c>
      <c r="I37" s="796" t="s">
        <v>1240</v>
      </c>
      <c r="J37" s="1143" t="s">
        <v>1241</v>
      </c>
      <c r="K37" s="331"/>
      <c r="L37" s="1509"/>
      <c r="M37" s="3006"/>
      <c r="N37" s="3006"/>
      <c r="O37" s="3411"/>
      <c r="P37" s="1516">
        <f>U37/Q34</f>
        <v>6.1082024432809773E-2</v>
      </c>
      <c r="Q37" s="3414"/>
      <c r="R37" s="3411"/>
      <c r="S37" s="796" t="s">
        <v>1242</v>
      </c>
      <c r="T37" s="796" t="s">
        <v>1243</v>
      </c>
      <c r="U37" s="1514">
        <v>35000000</v>
      </c>
      <c r="V37" s="1506"/>
      <c r="W37" s="1506"/>
      <c r="X37" s="178">
        <v>20</v>
      </c>
      <c r="Y37" s="3006"/>
      <c r="Z37" s="3408"/>
      <c r="AA37" s="3408"/>
      <c r="AB37" s="3408"/>
      <c r="AC37" s="3408"/>
      <c r="AD37" s="3408"/>
      <c r="AE37" s="3408"/>
      <c r="AF37" s="3408"/>
      <c r="AG37" s="3408"/>
      <c r="AH37" s="3408"/>
      <c r="AI37" s="3408"/>
      <c r="AJ37" s="3408"/>
      <c r="AK37" s="3408"/>
      <c r="AL37" s="3408"/>
      <c r="AM37" s="3408"/>
      <c r="AN37" s="3408"/>
      <c r="AO37" s="3408"/>
      <c r="AP37" s="3408"/>
      <c r="AQ37" s="3408"/>
      <c r="AR37" s="3408"/>
      <c r="AS37" s="3408"/>
      <c r="AT37" s="3408"/>
      <c r="AU37" s="3408"/>
      <c r="AV37" s="3408"/>
      <c r="AW37" s="3408"/>
      <c r="AX37" s="3408"/>
      <c r="AY37" s="3408"/>
      <c r="AZ37" s="3408"/>
      <c r="BA37" s="3408"/>
      <c r="BB37" s="3408"/>
      <c r="BC37" s="3408"/>
      <c r="BD37" s="3408"/>
      <c r="BE37" s="3408"/>
      <c r="BF37" s="3394"/>
      <c r="BG37" s="3381"/>
      <c r="BH37" s="3381"/>
      <c r="BI37" s="3383"/>
      <c r="BJ37" s="3405"/>
      <c r="BK37" s="3375"/>
      <c r="BL37" s="3376"/>
      <c r="BM37" s="3376"/>
      <c r="BN37" s="3376"/>
      <c r="BO37" s="3376"/>
      <c r="BP37" s="2701"/>
    </row>
    <row r="38" spans="1:68" ht="171" customHeight="1" x14ac:dyDescent="0.2">
      <c r="A38" s="754"/>
      <c r="B38" s="755"/>
      <c r="C38" s="669"/>
      <c r="D38" s="754"/>
      <c r="E38" s="669"/>
      <c r="F38" s="3391"/>
      <c r="G38" s="3377"/>
      <c r="H38" s="3377">
        <v>30</v>
      </c>
      <c r="I38" s="3386" t="s">
        <v>1244</v>
      </c>
      <c r="J38" s="3386" t="s">
        <v>1245</v>
      </c>
      <c r="K38" s="3378"/>
      <c r="L38" s="3378"/>
      <c r="M38" s="3378" t="s">
        <v>1246</v>
      </c>
      <c r="N38" s="3378" t="s">
        <v>1247</v>
      </c>
      <c r="O38" s="3386" t="s">
        <v>1248</v>
      </c>
      <c r="P38" s="3378">
        <f>U38/Q38</f>
        <v>1</v>
      </c>
      <c r="Q38" s="3401">
        <f>U38</f>
        <v>36364849</v>
      </c>
      <c r="R38" s="3386" t="s">
        <v>1249</v>
      </c>
      <c r="S38" s="1166" t="s">
        <v>1250</v>
      </c>
      <c r="T38" s="3386" t="s">
        <v>1251</v>
      </c>
      <c r="U38" s="3402">
        <v>36364849</v>
      </c>
      <c r="V38" s="3397"/>
      <c r="W38" s="3397"/>
      <c r="X38" s="3399">
        <v>20</v>
      </c>
      <c r="Y38" s="3378" t="s">
        <v>90</v>
      </c>
      <c r="Z38" s="3395">
        <v>8</v>
      </c>
      <c r="AA38" s="3395"/>
      <c r="AB38" s="3395">
        <v>12</v>
      </c>
      <c r="AC38" s="3395"/>
      <c r="AD38" s="3395">
        <v>0</v>
      </c>
      <c r="AE38" s="3395"/>
      <c r="AF38" s="3395">
        <v>0</v>
      </c>
      <c r="AG38" s="3395"/>
      <c r="AH38" s="3395">
        <v>0</v>
      </c>
      <c r="AI38" s="3395"/>
      <c r="AJ38" s="3395">
        <v>0</v>
      </c>
      <c r="AK38" s="3395"/>
      <c r="AL38" s="3395">
        <v>0</v>
      </c>
      <c r="AM38" s="3395"/>
      <c r="AN38" s="3395">
        <v>0</v>
      </c>
      <c r="AO38" s="3395"/>
      <c r="AP38" s="3395">
        <v>0</v>
      </c>
      <c r="AQ38" s="3395"/>
      <c r="AR38" s="3395">
        <v>0</v>
      </c>
      <c r="AS38" s="3395"/>
      <c r="AT38" s="3395">
        <v>0</v>
      </c>
      <c r="AU38" s="3395"/>
      <c r="AV38" s="3395">
        <v>0</v>
      </c>
      <c r="AW38" s="3395"/>
      <c r="AX38" s="3395">
        <v>0</v>
      </c>
      <c r="AY38" s="3395"/>
      <c r="AZ38" s="3395">
        <v>0</v>
      </c>
      <c r="BA38" s="3395"/>
      <c r="BB38" s="3395">
        <v>0</v>
      </c>
      <c r="BC38" s="3395"/>
      <c r="BD38" s="3395">
        <v>20</v>
      </c>
      <c r="BE38" s="3395"/>
      <c r="BF38" s="3393">
        <v>0</v>
      </c>
      <c r="BG38" s="3380">
        <v>0</v>
      </c>
      <c r="BH38" s="3380">
        <v>0</v>
      </c>
      <c r="BI38" s="3382">
        <v>0</v>
      </c>
      <c r="BJ38" s="2599"/>
      <c r="BK38" s="3375"/>
      <c r="BL38" s="3376">
        <v>43832</v>
      </c>
      <c r="BM38" s="3376" t="s">
        <v>1164</v>
      </c>
      <c r="BN38" s="3376">
        <v>44196</v>
      </c>
      <c r="BO38" s="3376" t="s">
        <v>1164</v>
      </c>
      <c r="BP38" s="2447" t="s">
        <v>1252</v>
      </c>
    </row>
    <row r="39" spans="1:68" ht="57" x14ac:dyDescent="0.2">
      <c r="A39" s="754"/>
      <c r="B39" s="755"/>
      <c r="C39" s="669"/>
      <c r="D39" s="754"/>
      <c r="E39" s="669"/>
      <c r="F39" s="3391"/>
      <c r="G39" s="3377"/>
      <c r="H39" s="3377"/>
      <c r="I39" s="3387"/>
      <c r="J39" s="3387"/>
      <c r="K39" s="3379"/>
      <c r="L39" s="3379"/>
      <c r="M39" s="3379"/>
      <c r="N39" s="3379"/>
      <c r="O39" s="3387"/>
      <c r="P39" s="3379"/>
      <c r="Q39" s="3329"/>
      <c r="R39" s="3387"/>
      <c r="S39" s="1166" t="s">
        <v>1253</v>
      </c>
      <c r="T39" s="3387"/>
      <c r="U39" s="3403"/>
      <c r="V39" s="3398"/>
      <c r="W39" s="3398"/>
      <c r="X39" s="3400"/>
      <c r="Y39" s="3379"/>
      <c r="Z39" s="3396"/>
      <c r="AA39" s="3396"/>
      <c r="AB39" s="3396"/>
      <c r="AC39" s="3396"/>
      <c r="AD39" s="3396"/>
      <c r="AE39" s="3396"/>
      <c r="AF39" s="3396"/>
      <c r="AG39" s="3396"/>
      <c r="AH39" s="3396"/>
      <c r="AI39" s="3396"/>
      <c r="AJ39" s="3396"/>
      <c r="AK39" s="3396"/>
      <c r="AL39" s="3396"/>
      <c r="AM39" s="3396"/>
      <c r="AN39" s="3396"/>
      <c r="AO39" s="3396"/>
      <c r="AP39" s="3396"/>
      <c r="AQ39" s="3396"/>
      <c r="AR39" s="3396"/>
      <c r="AS39" s="3396"/>
      <c r="AT39" s="3396"/>
      <c r="AU39" s="3396"/>
      <c r="AV39" s="3396"/>
      <c r="AW39" s="3396"/>
      <c r="AX39" s="3396"/>
      <c r="AY39" s="3396"/>
      <c r="AZ39" s="3396"/>
      <c r="BA39" s="3396"/>
      <c r="BB39" s="3396"/>
      <c r="BC39" s="3396"/>
      <c r="BD39" s="3396"/>
      <c r="BE39" s="3396"/>
      <c r="BF39" s="3394"/>
      <c r="BG39" s="3381"/>
      <c r="BH39" s="3381"/>
      <c r="BI39" s="3383"/>
      <c r="BJ39" s="2599"/>
      <c r="BK39" s="3375"/>
      <c r="BL39" s="3376"/>
      <c r="BM39" s="3376"/>
      <c r="BN39" s="3376"/>
      <c r="BO39" s="3376"/>
      <c r="BP39" s="2447"/>
    </row>
    <row r="40" spans="1:68" ht="51.75" customHeight="1" x14ac:dyDescent="0.2">
      <c r="A40" s="754"/>
      <c r="B40" s="755"/>
      <c r="C40" s="669"/>
      <c r="D40" s="754"/>
      <c r="E40" s="1510"/>
      <c r="F40" s="1501">
        <v>6</v>
      </c>
      <c r="G40" s="1450" t="s">
        <v>1254</v>
      </c>
      <c r="H40" s="1518"/>
      <c r="I40" s="1455"/>
      <c r="J40" s="1455"/>
      <c r="K40" s="1453"/>
      <c r="L40" s="1454"/>
      <c r="M40" s="1452"/>
      <c r="N40" s="1452"/>
      <c r="O40" s="1455"/>
      <c r="P40" s="1466"/>
      <c r="Q40" s="1466"/>
      <c r="R40" s="1456"/>
      <c r="S40" s="1502"/>
      <c r="T40" s="1455"/>
      <c r="U40" s="1513"/>
      <c r="V40" s="1504"/>
      <c r="W40" s="1504"/>
      <c r="X40" s="1460"/>
      <c r="Y40" s="1460"/>
      <c r="Z40" s="1460"/>
      <c r="AA40" s="1461"/>
      <c r="AB40" s="1461"/>
      <c r="AC40" s="1461"/>
      <c r="AD40" s="1462"/>
      <c r="AE40" s="1462"/>
      <c r="AF40" s="1462"/>
      <c r="AG40" s="1461"/>
      <c r="AH40" s="1461"/>
      <c r="AI40" s="1460"/>
      <c r="AJ40" s="1463"/>
      <c r="AK40" s="1464"/>
      <c r="AL40" s="1464"/>
      <c r="AM40" s="1465"/>
      <c r="AN40" s="1466"/>
      <c r="AO40" s="1466"/>
      <c r="AP40" s="1466"/>
      <c r="AQ40" s="1467"/>
      <c r="AR40" s="1159"/>
      <c r="AS40" s="1468"/>
      <c r="AT40" s="1460"/>
      <c r="AU40" s="1460"/>
      <c r="AV40" s="1460"/>
      <c r="AW40" s="1460"/>
      <c r="AX40" s="1460"/>
      <c r="AY40" s="1461"/>
      <c r="AZ40" s="1461"/>
      <c r="BA40" s="1461"/>
      <c r="BB40" s="1462"/>
      <c r="BC40" s="1462"/>
      <c r="BD40" s="1462"/>
      <c r="BE40" s="1466"/>
      <c r="BF40" s="1466"/>
      <c r="BG40" s="1466"/>
      <c r="BH40" s="1466"/>
      <c r="BI40" s="1469"/>
      <c r="BJ40" s="686"/>
      <c r="BK40" s="1460"/>
      <c r="BL40" s="1471"/>
      <c r="BM40" s="1471"/>
      <c r="BN40" s="1471"/>
      <c r="BO40" s="1471"/>
      <c r="BP40" s="1460"/>
    </row>
    <row r="41" spans="1:68" ht="156.75" x14ac:dyDescent="0.2">
      <c r="A41" s="754"/>
      <c r="B41" s="755"/>
      <c r="C41" s="669"/>
      <c r="D41" s="754"/>
      <c r="E41" s="669"/>
      <c r="F41" s="3390"/>
      <c r="G41" s="3391"/>
      <c r="H41" s="1165">
        <v>31</v>
      </c>
      <c r="I41" s="1166" t="s">
        <v>1255</v>
      </c>
      <c r="J41" s="1152" t="s">
        <v>1256</v>
      </c>
      <c r="K41" s="1483"/>
      <c r="L41" s="1509"/>
      <c r="M41" s="1148" t="s">
        <v>1257</v>
      </c>
      <c r="N41" s="1148" t="s">
        <v>1258</v>
      </c>
      <c r="O41" s="1161" t="s">
        <v>1259</v>
      </c>
      <c r="P41" s="1484">
        <f>U41/Q41</f>
        <v>1</v>
      </c>
      <c r="Q41" s="1519">
        <f>U41</f>
        <v>395000000</v>
      </c>
      <c r="R41" s="1161" t="s">
        <v>1260</v>
      </c>
      <c r="S41" s="1166" t="s">
        <v>1261</v>
      </c>
      <c r="T41" s="1166" t="s">
        <v>1262</v>
      </c>
      <c r="U41" s="1486">
        <v>395000000</v>
      </c>
      <c r="V41" s="1506">
        <v>145849999</v>
      </c>
      <c r="W41" s="1506">
        <v>54383333</v>
      </c>
      <c r="X41" s="1508">
        <v>20</v>
      </c>
      <c r="Y41" s="1148" t="s">
        <v>90</v>
      </c>
      <c r="Z41" s="1520">
        <v>170</v>
      </c>
      <c r="AA41" s="1165"/>
      <c r="AB41" s="1165">
        <v>200</v>
      </c>
      <c r="AC41" s="1165"/>
      <c r="AD41" s="1165">
        <v>0</v>
      </c>
      <c r="AE41" s="1165"/>
      <c r="AF41" s="1165">
        <v>0</v>
      </c>
      <c r="AG41" s="1165"/>
      <c r="AH41" s="1165">
        <v>300</v>
      </c>
      <c r="AI41" s="1165"/>
      <c r="AJ41" s="1165">
        <v>10</v>
      </c>
      <c r="AK41" s="1165"/>
      <c r="AL41" s="1165">
        <v>0</v>
      </c>
      <c r="AM41" s="1165"/>
      <c r="AN41" s="1165">
        <v>0</v>
      </c>
      <c r="AO41" s="1165"/>
      <c r="AP41" s="1165">
        <v>0</v>
      </c>
      <c r="AQ41" s="1165"/>
      <c r="AR41" s="1165">
        <v>0</v>
      </c>
      <c r="AS41" s="1165"/>
      <c r="AT41" s="1165">
        <v>0</v>
      </c>
      <c r="AU41" s="1165"/>
      <c r="AV41" s="1165">
        <v>0</v>
      </c>
      <c r="AW41" s="1165"/>
      <c r="AX41" s="1165">
        <v>0</v>
      </c>
      <c r="AY41" s="1165"/>
      <c r="AZ41" s="1165">
        <v>0</v>
      </c>
      <c r="BA41" s="1165"/>
      <c r="BB41" s="1165">
        <v>0</v>
      </c>
      <c r="BC41" s="1165"/>
      <c r="BD41" s="1165">
        <v>370</v>
      </c>
      <c r="BE41" s="1165"/>
      <c r="BF41" s="1148">
        <v>16</v>
      </c>
      <c r="BG41" s="1521">
        <v>145849999</v>
      </c>
      <c r="BH41" s="1521">
        <v>54383333</v>
      </c>
      <c r="BI41" s="1141">
        <f>+BH41/BG41</f>
        <v>0.3728716720800252</v>
      </c>
      <c r="BJ41" s="1148" t="s">
        <v>90</v>
      </c>
      <c r="BK41" s="1160" t="s">
        <v>1263</v>
      </c>
      <c r="BL41" s="1522">
        <v>43832</v>
      </c>
      <c r="BM41" s="1522">
        <v>43857</v>
      </c>
      <c r="BN41" s="1522">
        <v>44196</v>
      </c>
      <c r="BO41" s="1522">
        <v>44006</v>
      </c>
      <c r="BP41" s="2701" t="s">
        <v>1165</v>
      </c>
    </row>
    <row r="42" spans="1:68" ht="51.75" customHeight="1" x14ac:dyDescent="0.2">
      <c r="A42" s="754"/>
      <c r="B42" s="755"/>
      <c r="C42" s="669"/>
      <c r="D42" s="754"/>
      <c r="E42" s="1510"/>
      <c r="F42" s="1501">
        <v>7</v>
      </c>
      <c r="G42" s="1450" t="s">
        <v>1264</v>
      </c>
      <c r="H42" s="1518"/>
      <c r="I42" s="1455"/>
      <c r="J42" s="1455"/>
      <c r="K42" s="1453"/>
      <c r="L42" s="1454"/>
      <c r="M42" s="1452"/>
      <c r="N42" s="1452"/>
      <c r="O42" s="1455"/>
      <c r="P42" s="1466"/>
      <c r="Q42" s="1466"/>
      <c r="R42" s="1456"/>
      <c r="S42" s="1502"/>
      <c r="T42" s="1455"/>
      <c r="U42" s="1513"/>
      <c r="V42" s="1504"/>
      <c r="W42" s="1504"/>
      <c r="X42" s="1460"/>
      <c r="Y42" s="1460"/>
      <c r="Z42" s="1460"/>
      <c r="AA42" s="1461"/>
      <c r="AB42" s="1461"/>
      <c r="AC42" s="1461"/>
      <c r="AD42" s="1462"/>
      <c r="AE42" s="1462"/>
      <c r="AF42" s="1462"/>
      <c r="AG42" s="1461"/>
      <c r="AH42" s="1461"/>
      <c r="AI42" s="1460"/>
      <c r="AJ42" s="1463"/>
      <c r="AK42" s="1464"/>
      <c r="AL42" s="1464"/>
      <c r="AM42" s="1465"/>
      <c r="AN42" s="1466"/>
      <c r="AO42" s="1466"/>
      <c r="AP42" s="1466"/>
      <c r="AQ42" s="1467"/>
      <c r="AR42" s="1159"/>
      <c r="AS42" s="1468"/>
      <c r="AT42" s="1460"/>
      <c r="AU42" s="1460"/>
      <c r="AV42" s="1460"/>
      <c r="AW42" s="1460"/>
      <c r="AX42" s="1460"/>
      <c r="AY42" s="1461"/>
      <c r="AZ42" s="1461"/>
      <c r="BA42" s="1461"/>
      <c r="BB42" s="1462"/>
      <c r="BC42" s="1462"/>
      <c r="BD42" s="1462"/>
      <c r="BE42" s="1466"/>
      <c r="BF42" s="1466"/>
      <c r="BG42" s="1466"/>
      <c r="BH42" s="1466"/>
      <c r="BI42" s="1469"/>
      <c r="BJ42" s="1480"/>
      <c r="BK42" s="1460"/>
      <c r="BL42" s="1471"/>
      <c r="BM42" s="1471"/>
      <c r="BN42" s="1471"/>
      <c r="BO42" s="1471"/>
      <c r="BP42" s="2701"/>
    </row>
    <row r="43" spans="1:68" ht="85.5" customHeight="1" x14ac:dyDescent="0.2">
      <c r="A43" s="754"/>
      <c r="B43" s="755"/>
      <c r="C43" s="669"/>
      <c r="D43" s="754"/>
      <c r="E43" s="669"/>
      <c r="F43" s="3391"/>
      <c r="G43" s="3377"/>
      <c r="H43" s="1165">
        <v>35</v>
      </c>
      <c r="I43" s="1166" t="s">
        <v>1265</v>
      </c>
      <c r="J43" s="1161" t="s">
        <v>1266</v>
      </c>
      <c r="K43" s="1523"/>
      <c r="L43" s="1509"/>
      <c r="M43" s="3378" t="s">
        <v>1267</v>
      </c>
      <c r="N43" s="3378" t="s">
        <v>1268</v>
      </c>
      <c r="O43" s="3386" t="s">
        <v>1269</v>
      </c>
      <c r="P43" s="1484">
        <f>U43/Q43</f>
        <v>0.2808988764044944</v>
      </c>
      <c r="Q43" s="3388">
        <f>(U43+U44)</f>
        <v>178000000</v>
      </c>
      <c r="R43" s="3386" t="s">
        <v>1270</v>
      </c>
      <c r="S43" s="1166" t="s">
        <v>1271</v>
      </c>
      <c r="T43" s="168" t="s">
        <v>1272</v>
      </c>
      <c r="U43" s="1486">
        <v>50000000</v>
      </c>
      <c r="V43" s="1506">
        <v>7200000</v>
      </c>
      <c r="W43" s="1506">
        <v>3600000</v>
      </c>
      <c r="X43" s="1508">
        <v>20</v>
      </c>
      <c r="Y43" s="1148" t="s">
        <v>90</v>
      </c>
      <c r="Z43" s="3377">
        <v>100</v>
      </c>
      <c r="AA43" s="3377"/>
      <c r="AB43" s="3377">
        <v>60</v>
      </c>
      <c r="AC43" s="3377"/>
      <c r="AD43" s="3377">
        <v>0</v>
      </c>
      <c r="AE43" s="3377"/>
      <c r="AF43" s="3377">
        <v>0</v>
      </c>
      <c r="AG43" s="3377"/>
      <c r="AH43" s="3377">
        <v>110</v>
      </c>
      <c r="AI43" s="3377"/>
      <c r="AJ43" s="3377">
        <v>50</v>
      </c>
      <c r="AK43" s="3377"/>
      <c r="AL43" s="3377">
        <v>0</v>
      </c>
      <c r="AM43" s="3377"/>
      <c r="AN43" s="3377">
        <v>0</v>
      </c>
      <c r="AO43" s="3377"/>
      <c r="AP43" s="3377">
        <v>0</v>
      </c>
      <c r="AQ43" s="3377"/>
      <c r="AR43" s="3377">
        <v>0</v>
      </c>
      <c r="AS43" s="3377"/>
      <c r="AT43" s="3377">
        <v>0</v>
      </c>
      <c r="AU43" s="3377"/>
      <c r="AV43" s="3377">
        <v>0</v>
      </c>
      <c r="AW43" s="3377"/>
      <c r="AX43" s="3377">
        <v>0</v>
      </c>
      <c r="AY43" s="3377"/>
      <c r="AZ43" s="3377">
        <v>0</v>
      </c>
      <c r="BA43" s="3377"/>
      <c r="BB43" s="3377">
        <v>0</v>
      </c>
      <c r="BC43" s="3377"/>
      <c r="BD43" s="3377">
        <v>160</v>
      </c>
      <c r="BE43" s="3377"/>
      <c r="BF43" s="3378">
        <v>5</v>
      </c>
      <c r="BG43" s="3388">
        <v>36400000</v>
      </c>
      <c r="BH43" s="3380">
        <v>9600000</v>
      </c>
      <c r="BI43" s="3382">
        <f>+BH43/BG43</f>
        <v>0.26373626373626374</v>
      </c>
      <c r="BJ43" s="3378" t="s">
        <v>90</v>
      </c>
      <c r="BK43" s="3375" t="s">
        <v>1273</v>
      </c>
      <c r="BL43" s="3376">
        <v>43832</v>
      </c>
      <c r="BM43" s="3376">
        <v>43874</v>
      </c>
      <c r="BN43" s="3376">
        <v>44196</v>
      </c>
      <c r="BO43" s="3376">
        <v>44001</v>
      </c>
      <c r="BP43" s="2701"/>
    </row>
    <row r="44" spans="1:68" ht="99.75" customHeight="1" x14ac:dyDescent="0.2">
      <c r="A44" s="1524"/>
      <c r="B44" s="1525"/>
      <c r="C44" s="1526"/>
      <c r="D44" s="1524"/>
      <c r="E44" s="1526"/>
      <c r="F44" s="3392"/>
      <c r="G44" s="3393"/>
      <c r="H44" s="1165">
        <v>37</v>
      </c>
      <c r="I44" s="1166" t="s">
        <v>1274</v>
      </c>
      <c r="J44" s="1161" t="s">
        <v>1275</v>
      </c>
      <c r="K44" s="1523"/>
      <c r="L44" s="1509"/>
      <c r="M44" s="3379"/>
      <c r="N44" s="3379"/>
      <c r="O44" s="3387"/>
      <c r="P44" s="1484">
        <f>U44/Q43</f>
        <v>0.7191011235955056</v>
      </c>
      <c r="Q44" s="3389"/>
      <c r="R44" s="3387"/>
      <c r="S44" s="1161" t="s">
        <v>1276</v>
      </c>
      <c r="T44" s="1166" t="s">
        <v>1277</v>
      </c>
      <c r="U44" s="1486">
        <v>128000000</v>
      </c>
      <c r="V44" s="1486">
        <v>29200000</v>
      </c>
      <c r="W44" s="1506">
        <v>6000000</v>
      </c>
      <c r="X44" s="1508">
        <v>20</v>
      </c>
      <c r="Y44" s="1148" t="s">
        <v>90</v>
      </c>
      <c r="Z44" s="3377"/>
      <c r="AA44" s="3377"/>
      <c r="AB44" s="3377"/>
      <c r="AC44" s="3377"/>
      <c r="AD44" s="3377"/>
      <c r="AE44" s="3377"/>
      <c r="AF44" s="3377"/>
      <c r="AG44" s="3377"/>
      <c r="AH44" s="3377"/>
      <c r="AI44" s="3377"/>
      <c r="AJ44" s="3377"/>
      <c r="AK44" s="3377"/>
      <c r="AL44" s="3377"/>
      <c r="AM44" s="3377"/>
      <c r="AN44" s="3377"/>
      <c r="AO44" s="3377"/>
      <c r="AP44" s="3377"/>
      <c r="AQ44" s="3377"/>
      <c r="AR44" s="3377"/>
      <c r="AS44" s="3377"/>
      <c r="AT44" s="3377"/>
      <c r="AU44" s="3377"/>
      <c r="AV44" s="3377"/>
      <c r="AW44" s="3377"/>
      <c r="AX44" s="3377"/>
      <c r="AY44" s="3377"/>
      <c r="AZ44" s="3377"/>
      <c r="BA44" s="3377"/>
      <c r="BB44" s="3377"/>
      <c r="BC44" s="3377"/>
      <c r="BD44" s="3377"/>
      <c r="BE44" s="3377"/>
      <c r="BF44" s="3379"/>
      <c r="BG44" s="3389"/>
      <c r="BH44" s="3381"/>
      <c r="BI44" s="3383"/>
      <c r="BJ44" s="3379"/>
      <c r="BK44" s="3375"/>
      <c r="BL44" s="3376"/>
      <c r="BM44" s="3376"/>
      <c r="BN44" s="3376"/>
      <c r="BO44" s="3376"/>
      <c r="BP44" s="2701"/>
    </row>
    <row r="45" spans="1:68" s="1428" customFormat="1" ht="27" customHeight="1" x14ac:dyDescent="0.25">
      <c r="A45" s="678">
        <v>3</v>
      </c>
      <c r="B45" s="672" t="s">
        <v>466</v>
      </c>
      <c r="C45" s="672"/>
      <c r="D45" s="672"/>
      <c r="E45" s="1489"/>
      <c r="F45" s="1489"/>
      <c r="G45" s="678"/>
      <c r="H45" s="1419"/>
      <c r="I45" s="1420"/>
      <c r="J45" s="1420"/>
      <c r="K45" s="1421"/>
      <c r="L45" s="1421"/>
      <c r="M45" s="1422"/>
      <c r="N45" s="1421"/>
      <c r="O45" s="1420"/>
      <c r="P45" s="223"/>
      <c r="Q45" s="223"/>
      <c r="R45" s="1420"/>
      <c r="S45" s="1420"/>
      <c r="T45" s="1420"/>
      <c r="U45" s="1423"/>
      <c r="V45" s="1424"/>
      <c r="W45" s="1424"/>
      <c r="X45" s="1421"/>
      <c r="Y45" s="1421"/>
      <c r="Z45" s="1421"/>
      <c r="AA45" s="1421"/>
      <c r="AB45" s="1421"/>
      <c r="AC45" s="1421"/>
      <c r="AD45" s="1421"/>
      <c r="AE45" s="1421"/>
      <c r="AF45" s="1421"/>
      <c r="AG45" s="1421"/>
      <c r="AH45" s="1421"/>
      <c r="AI45" s="1421"/>
      <c r="AJ45" s="1421"/>
      <c r="AK45" s="1421"/>
      <c r="AL45" s="1421"/>
      <c r="AM45" s="1425"/>
      <c r="AN45" s="1425"/>
      <c r="AO45" s="1425"/>
      <c r="AP45" s="1421"/>
      <c r="AQ45" s="1421"/>
      <c r="AR45" s="1421"/>
      <c r="AS45" s="1421"/>
      <c r="AT45" s="1421"/>
      <c r="AU45" s="1421"/>
      <c r="AV45" s="1421"/>
      <c r="AW45" s="1421"/>
      <c r="AX45" s="1421"/>
      <c r="AY45" s="1421"/>
      <c r="AZ45" s="1421"/>
      <c r="BA45" s="1421"/>
      <c r="BB45" s="1425"/>
      <c r="BC45" s="1425"/>
      <c r="BD45" s="1425"/>
      <c r="BE45" s="1421"/>
      <c r="BF45" s="223"/>
      <c r="BG45" s="1490"/>
      <c r="BH45" s="1490"/>
      <c r="BI45" s="1426"/>
      <c r="BJ45" s="1491"/>
      <c r="BK45" s="1421"/>
      <c r="BL45" s="1427"/>
      <c r="BM45" s="1427"/>
      <c r="BN45" s="1427"/>
      <c r="BO45" s="1427"/>
      <c r="BP45" s="1421"/>
    </row>
    <row r="46" spans="1:68" ht="20.25" customHeight="1" x14ac:dyDescent="0.2">
      <c r="A46" s="1492"/>
      <c r="B46" s="1493"/>
      <c r="C46" s="1494"/>
      <c r="D46" s="1527">
        <v>11</v>
      </c>
      <c r="E46" s="1528" t="s">
        <v>1278</v>
      </c>
      <c r="F46" s="1529"/>
      <c r="G46" s="1528"/>
      <c r="H46" s="1430"/>
      <c r="I46" s="1431"/>
      <c r="J46" s="1431"/>
      <c r="K46" s="1430"/>
      <c r="L46" s="1430"/>
      <c r="M46" s="1430"/>
      <c r="N46" s="1430"/>
      <c r="O46" s="1431"/>
      <c r="P46" s="520"/>
      <c r="Q46" s="520"/>
      <c r="R46" s="1431"/>
      <c r="S46" s="1431"/>
      <c r="T46" s="1431"/>
      <c r="U46" s="1432"/>
      <c r="V46" s="1433"/>
      <c r="W46" s="1433"/>
      <c r="X46" s="1430"/>
      <c r="Y46" s="1430"/>
      <c r="Z46" s="1430"/>
      <c r="AA46" s="1430"/>
      <c r="AB46" s="1430"/>
      <c r="AC46" s="1430"/>
      <c r="AD46" s="1430"/>
      <c r="AE46" s="1430"/>
      <c r="AF46" s="1430"/>
      <c r="AG46" s="1430"/>
      <c r="AH46" s="1430"/>
      <c r="AI46" s="1430"/>
      <c r="AJ46" s="1430"/>
      <c r="AK46" s="1430"/>
      <c r="AL46" s="1430"/>
      <c r="AM46" s="1430"/>
      <c r="AN46" s="1430"/>
      <c r="AO46" s="1430"/>
      <c r="AP46" s="1430"/>
      <c r="AQ46" s="1430"/>
      <c r="AR46" s="1430"/>
      <c r="AS46" s="1430"/>
      <c r="AT46" s="1430"/>
      <c r="AU46" s="1430"/>
      <c r="AV46" s="1430"/>
      <c r="AW46" s="1430"/>
      <c r="AX46" s="1430"/>
      <c r="AY46" s="1430"/>
      <c r="AZ46" s="1430"/>
      <c r="BA46" s="1430"/>
      <c r="BB46" s="1430"/>
      <c r="BC46" s="1430"/>
      <c r="BD46" s="1430"/>
      <c r="BE46" s="1430"/>
      <c r="BF46" s="520"/>
      <c r="BG46" s="1498"/>
      <c r="BH46" s="1498"/>
      <c r="BI46" s="1434"/>
      <c r="BJ46" s="1530"/>
      <c r="BK46" s="1430"/>
      <c r="BL46" s="1435"/>
      <c r="BM46" s="1435"/>
      <c r="BN46" s="1435"/>
      <c r="BO46" s="1435"/>
      <c r="BP46" s="1430"/>
    </row>
    <row r="47" spans="1:68" ht="23.25" customHeight="1" x14ac:dyDescent="0.2">
      <c r="A47" s="754"/>
      <c r="B47" s="755"/>
      <c r="C47" s="669"/>
      <c r="D47" s="1492"/>
      <c r="E47" s="1531"/>
      <c r="F47" s="1501">
        <v>34</v>
      </c>
      <c r="G47" s="1450" t="s">
        <v>1279</v>
      </c>
      <c r="H47" s="1518"/>
      <c r="I47" s="1455"/>
      <c r="J47" s="1455"/>
      <c r="K47" s="1453"/>
      <c r="L47" s="1454"/>
      <c r="M47" s="1452"/>
      <c r="N47" s="1452"/>
      <c r="O47" s="1455"/>
      <c r="P47" s="1466"/>
      <c r="Q47" s="1466"/>
      <c r="R47" s="1456"/>
      <c r="S47" s="1502"/>
      <c r="T47" s="1455"/>
      <c r="U47" s="1513"/>
      <c r="V47" s="1504"/>
      <c r="W47" s="1504"/>
      <c r="X47" s="1460"/>
      <c r="Y47" s="1460"/>
      <c r="Z47" s="1460"/>
      <c r="AA47" s="1461"/>
      <c r="AB47" s="1461"/>
      <c r="AC47" s="1461"/>
      <c r="AD47" s="1462"/>
      <c r="AE47" s="1462"/>
      <c r="AF47" s="1462"/>
      <c r="AG47" s="1461"/>
      <c r="AH47" s="1461"/>
      <c r="AI47" s="1460"/>
      <c r="AJ47" s="1463"/>
      <c r="AK47" s="1464"/>
      <c r="AL47" s="1464"/>
      <c r="AM47" s="1465"/>
      <c r="AN47" s="1466"/>
      <c r="AO47" s="1466"/>
      <c r="AP47" s="1466"/>
      <c r="AQ47" s="1467"/>
      <c r="AR47" s="1159"/>
      <c r="AS47" s="1468"/>
      <c r="AT47" s="1460"/>
      <c r="AU47" s="1460"/>
      <c r="AV47" s="1460"/>
      <c r="AW47" s="1460"/>
      <c r="AX47" s="1460"/>
      <c r="AY47" s="1461"/>
      <c r="AZ47" s="1461"/>
      <c r="BA47" s="1461"/>
      <c r="BB47" s="1462"/>
      <c r="BC47" s="1462"/>
      <c r="BD47" s="1462"/>
      <c r="BE47" s="1466"/>
      <c r="BF47" s="1466"/>
      <c r="BG47" s="1466"/>
      <c r="BH47" s="1466"/>
      <c r="BI47" s="1469"/>
      <c r="BJ47" s="1480"/>
      <c r="BK47" s="1460"/>
      <c r="BL47" s="1471"/>
      <c r="BM47" s="1471"/>
      <c r="BN47" s="1471"/>
      <c r="BO47" s="1471"/>
      <c r="BP47" s="1460"/>
    </row>
    <row r="48" spans="1:68" ht="185.25" customHeight="1" x14ac:dyDescent="0.2">
      <c r="A48" s="754"/>
      <c r="B48" s="755"/>
      <c r="C48" s="669"/>
      <c r="D48" s="754"/>
      <c r="E48" s="669"/>
      <c r="F48" s="3384"/>
      <c r="G48" s="3384"/>
      <c r="H48" s="1165">
        <v>123</v>
      </c>
      <c r="I48" s="1166" t="s">
        <v>1280</v>
      </c>
      <c r="J48" s="1152" t="s">
        <v>1281</v>
      </c>
      <c r="K48" s="702"/>
      <c r="L48" s="1509"/>
      <c r="M48" s="3378" t="s">
        <v>1282</v>
      </c>
      <c r="N48" s="3378" t="s">
        <v>1283</v>
      </c>
      <c r="O48" s="3386" t="s">
        <v>1284</v>
      </c>
      <c r="P48" s="1484">
        <f>U48/Q48</f>
        <v>0.18181818181818182</v>
      </c>
      <c r="Q48" s="3388">
        <f>U48+U49</f>
        <v>110000000</v>
      </c>
      <c r="R48" s="3386" t="s">
        <v>1285</v>
      </c>
      <c r="S48" s="1161" t="s">
        <v>1286</v>
      </c>
      <c r="T48" s="1166" t="s">
        <v>1287</v>
      </c>
      <c r="U48" s="1486">
        <v>20000000</v>
      </c>
      <c r="V48" s="1506">
        <v>16200000</v>
      </c>
      <c r="W48" s="1506">
        <v>5700000</v>
      </c>
      <c r="X48" s="1508">
        <v>20</v>
      </c>
      <c r="Y48" s="1148" t="s">
        <v>90</v>
      </c>
      <c r="Z48" s="3377">
        <v>2608</v>
      </c>
      <c r="AA48" s="3377"/>
      <c r="AB48" s="3377">
        <v>2992</v>
      </c>
      <c r="AC48" s="3377"/>
      <c r="AD48" s="3377">
        <v>1100</v>
      </c>
      <c r="AE48" s="3377"/>
      <c r="AF48" s="3377">
        <v>465</v>
      </c>
      <c r="AG48" s="3377"/>
      <c r="AH48" s="3377">
        <v>3441</v>
      </c>
      <c r="AI48" s="3377"/>
      <c r="AJ48" s="3377">
        <v>594</v>
      </c>
      <c r="AK48" s="3377"/>
      <c r="AL48" s="3377">
        <v>40</v>
      </c>
      <c r="AM48" s="3377"/>
      <c r="AN48" s="3377">
        <v>50</v>
      </c>
      <c r="AO48" s="3377"/>
      <c r="AP48" s="3377">
        <v>0</v>
      </c>
      <c r="AQ48" s="3377"/>
      <c r="AR48" s="3377">
        <v>0</v>
      </c>
      <c r="AS48" s="3377"/>
      <c r="AT48" s="3377">
        <v>0</v>
      </c>
      <c r="AU48" s="3377"/>
      <c r="AV48" s="3377">
        <v>0</v>
      </c>
      <c r="AW48" s="3377"/>
      <c r="AX48" s="3377">
        <v>80</v>
      </c>
      <c r="AY48" s="3377"/>
      <c r="AZ48" s="3377">
        <v>10</v>
      </c>
      <c r="BA48" s="3377"/>
      <c r="BB48" s="3377">
        <v>0</v>
      </c>
      <c r="BC48" s="3377"/>
      <c r="BD48" s="3377">
        <v>5600</v>
      </c>
      <c r="BE48" s="3377"/>
      <c r="BF48" s="3378">
        <v>6</v>
      </c>
      <c r="BG48" s="3380">
        <v>51466666</v>
      </c>
      <c r="BH48" s="3380">
        <v>22550000</v>
      </c>
      <c r="BI48" s="3382">
        <f>+BH48/BG48</f>
        <v>0.43814767406927041</v>
      </c>
      <c r="BJ48" s="3378" t="s">
        <v>90</v>
      </c>
      <c r="BK48" s="3375" t="s">
        <v>1288</v>
      </c>
      <c r="BL48" s="3376">
        <v>43832</v>
      </c>
      <c r="BM48" s="3376">
        <v>43864</v>
      </c>
      <c r="BN48" s="3376">
        <v>44196</v>
      </c>
      <c r="BO48" s="3376">
        <v>43984</v>
      </c>
      <c r="BP48" s="2447" t="s">
        <v>1165</v>
      </c>
    </row>
    <row r="49" spans="1:68" ht="71.25" x14ac:dyDescent="0.2">
      <c r="A49" s="1524"/>
      <c r="B49" s="1525"/>
      <c r="C49" s="1526"/>
      <c r="D49" s="1524"/>
      <c r="E49" s="1526"/>
      <c r="F49" s="3385"/>
      <c r="G49" s="3385"/>
      <c r="H49" s="1165">
        <v>124</v>
      </c>
      <c r="I49" s="1166" t="s">
        <v>1289</v>
      </c>
      <c r="J49" s="1152" t="s">
        <v>1290</v>
      </c>
      <c r="K49" s="702"/>
      <c r="L49" s="1509"/>
      <c r="M49" s="3379"/>
      <c r="N49" s="3379"/>
      <c r="O49" s="3387"/>
      <c r="P49" s="1484">
        <f>U49/Q48</f>
        <v>0.81818181818181823</v>
      </c>
      <c r="Q49" s="3389"/>
      <c r="R49" s="3387"/>
      <c r="S49" s="1152" t="s">
        <v>1286</v>
      </c>
      <c r="T49" s="1166" t="s">
        <v>1291</v>
      </c>
      <c r="U49" s="1486">
        <v>90000000</v>
      </c>
      <c r="V49" s="1506">
        <v>35266666</v>
      </c>
      <c r="W49" s="1506">
        <v>16850000</v>
      </c>
      <c r="X49" s="1508">
        <v>20</v>
      </c>
      <c r="Y49" s="1148" t="s">
        <v>90</v>
      </c>
      <c r="Z49" s="3377"/>
      <c r="AA49" s="3377"/>
      <c r="AB49" s="3377"/>
      <c r="AC49" s="3377"/>
      <c r="AD49" s="3377"/>
      <c r="AE49" s="3377"/>
      <c r="AF49" s="3377"/>
      <c r="AG49" s="3377"/>
      <c r="AH49" s="3377"/>
      <c r="AI49" s="3377"/>
      <c r="AJ49" s="3377"/>
      <c r="AK49" s="3377"/>
      <c r="AL49" s="3377"/>
      <c r="AM49" s="3377"/>
      <c r="AN49" s="3377"/>
      <c r="AO49" s="3377"/>
      <c r="AP49" s="3377"/>
      <c r="AQ49" s="3377"/>
      <c r="AR49" s="3377"/>
      <c r="AS49" s="3377"/>
      <c r="AT49" s="3377"/>
      <c r="AU49" s="3377"/>
      <c r="AV49" s="3377"/>
      <c r="AW49" s="3377"/>
      <c r="AX49" s="3377"/>
      <c r="AY49" s="3377"/>
      <c r="AZ49" s="3377"/>
      <c r="BA49" s="3377"/>
      <c r="BB49" s="3377"/>
      <c r="BC49" s="3377"/>
      <c r="BD49" s="3377"/>
      <c r="BE49" s="3377"/>
      <c r="BF49" s="3379"/>
      <c r="BG49" s="3381"/>
      <c r="BH49" s="3381"/>
      <c r="BI49" s="3383"/>
      <c r="BJ49" s="3379"/>
      <c r="BK49" s="3375"/>
      <c r="BL49" s="3376"/>
      <c r="BM49" s="3376"/>
      <c r="BN49" s="3376"/>
      <c r="BO49" s="3376"/>
      <c r="BP49" s="2447"/>
    </row>
    <row r="50" spans="1:68" ht="38.25" customHeight="1" x14ac:dyDescent="0.2">
      <c r="A50" s="1532"/>
      <c r="B50" s="1533"/>
      <c r="C50" s="1533"/>
      <c r="D50" s="1533"/>
      <c r="E50" s="1533"/>
      <c r="F50" s="1533"/>
      <c r="G50" s="1533"/>
      <c r="H50" s="1533"/>
      <c r="I50" s="1534"/>
      <c r="J50" s="1534"/>
      <c r="K50" s="1533"/>
      <c r="L50" s="1533"/>
      <c r="M50" s="1533"/>
      <c r="N50" s="1533"/>
      <c r="O50" s="1534"/>
      <c r="P50" s="1535"/>
      <c r="Q50" s="1535"/>
      <c r="R50" s="1534"/>
      <c r="S50" s="1534"/>
      <c r="T50" s="1142"/>
      <c r="U50" s="1536">
        <f>SUM(U13:U49)</f>
        <v>2943343000</v>
      </c>
      <c r="V50" s="1537">
        <f t="shared" ref="V50:W50" si="0">SUM(V13:V49)</f>
        <v>318016664</v>
      </c>
      <c r="W50" s="1536">
        <f t="shared" si="0"/>
        <v>116883333</v>
      </c>
      <c r="X50" s="1532"/>
      <c r="Y50" s="1533"/>
      <c r="Z50" s="1533"/>
      <c r="AA50" s="1533"/>
      <c r="AB50" s="1533"/>
      <c r="AC50" s="1533"/>
      <c r="AD50" s="1533"/>
      <c r="AE50" s="1533"/>
      <c r="AF50" s="1533"/>
      <c r="AG50" s="1533"/>
      <c r="AH50" s="1533"/>
      <c r="AI50" s="1533"/>
      <c r="AJ50" s="1533"/>
      <c r="AK50" s="1533"/>
      <c r="AL50" s="1533"/>
      <c r="AM50" s="1533"/>
      <c r="AN50" s="1533"/>
      <c r="AO50" s="1533"/>
      <c r="AP50" s="1533"/>
      <c r="AQ50" s="1533"/>
      <c r="AR50" s="1533"/>
      <c r="AS50" s="1533"/>
      <c r="AT50" s="1533"/>
      <c r="AU50" s="1533"/>
      <c r="AV50" s="1533"/>
      <c r="AW50" s="1533"/>
      <c r="AX50" s="1533"/>
      <c r="AY50" s="1533"/>
      <c r="AZ50" s="1533"/>
      <c r="BA50" s="1533"/>
      <c r="BB50" s="1533"/>
      <c r="BC50" s="1533"/>
      <c r="BD50" s="1533"/>
      <c r="BE50" s="1533"/>
      <c r="BF50" s="1538"/>
      <c r="BG50" s="1519">
        <f>SUM(BG13:BG49)</f>
        <v>318016664</v>
      </c>
      <c r="BH50" s="1521">
        <f>SUM(BH13:BH49)</f>
        <v>116883333</v>
      </c>
      <c r="BI50" s="1539"/>
      <c r="BJ50" s="1540"/>
      <c r="BK50" s="1541"/>
      <c r="BL50" s="1542"/>
      <c r="BM50" s="1542"/>
      <c r="BN50" s="1542"/>
      <c r="BO50" s="1542"/>
      <c r="BP50" s="1543"/>
    </row>
  </sheetData>
  <sheetProtection algorithmName="SHA-512" hashValue="eOQq8SfyTnuEjFFKmjdf3oeoBCXIwajkwEU4y5Qi9INZ00Uyq6lPL0q2PODGKvWKAE7CEVQxdQDTXnrLCjIvNA==" saltValue="eV2qw67VPjfd6rvkVZtNvA==" spinCount="100000" sheet="1" objects="1" scenarios="1"/>
  <mergeCells count="509">
    <mergeCell ref="R7:R9"/>
    <mergeCell ref="S7:S9"/>
    <mergeCell ref="G7:G9"/>
    <mergeCell ref="H7:H9"/>
    <mergeCell ref="I7:I9"/>
    <mergeCell ref="J7:J9"/>
    <mergeCell ref="K7:L8"/>
    <mergeCell ref="M7:M9"/>
    <mergeCell ref="A1:BL4"/>
    <mergeCell ref="A5:K6"/>
    <mergeCell ref="O5:BP5"/>
    <mergeCell ref="O6:Y6"/>
    <mergeCell ref="BL6:BP6"/>
    <mergeCell ref="A7:A9"/>
    <mergeCell ref="B7:C9"/>
    <mergeCell ref="D7:D9"/>
    <mergeCell ref="E7:E9"/>
    <mergeCell ref="F7:F9"/>
    <mergeCell ref="BP7:BP9"/>
    <mergeCell ref="Z8:AA8"/>
    <mergeCell ref="AB8:AC8"/>
    <mergeCell ref="AD8:AE8"/>
    <mergeCell ref="AF8:AG8"/>
    <mergeCell ref="AH8:AI8"/>
    <mergeCell ref="BN7:BO8"/>
    <mergeCell ref="AR8:AS8"/>
    <mergeCell ref="AT8:AU8"/>
    <mergeCell ref="AV8:AW8"/>
    <mergeCell ref="AX8:AY8"/>
    <mergeCell ref="Z7:AC7"/>
    <mergeCell ref="AD7:AK7"/>
    <mergeCell ref="BI8:BI9"/>
    <mergeCell ref="BJ8:BJ9"/>
    <mergeCell ref="BK8:BK9"/>
    <mergeCell ref="BD8:BE8"/>
    <mergeCell ref="BF8:BF9"/>
    <mergeCell ref="BG8:BG9"/>
    <mergeCell ref="BH8:BH9"/>
    <mergeCell ref="AJ8:AK8"/>
    <mergeCell ref="AL8:AM8"/>
    <mergeCell ref="AN8:AO8"/>
    <mergeCell ref="AP8:AQ8"/>
    <mergeCell ref="AL7:AW7"/>
    <mergeCell ref="AX7:BC7"/>
    <mergeCell ref="BD7:BE7"/>
    <mergeCell ref="BF7:BK7"/>
    <mergeCell ref="BL7:BM8"/>
    <mergeCell ref="B10:D10"/>
    <mergeCell ref="A11:A14"/>
    <mergeCell ref="B11:C14"/>
    <mergeCell ref="D12:D14"/>
    <mergeCell ref="E12:E14"/>
    <mergeCell ref="F13:F14"/>
    <mergeCell ref="G13:G14"/>
    <mergeCell ref="AZ8:BA8"/>
    <mergeCell ref="BB8:BC8"/>
    <mergeCell ref="T7:T9"/>
    <mergeCell ref="U7:W8"/>
    <mergeCell ref="X7:X9"/>
    <mergeCell ref="Y7:Y9"/>
    <mergeCell ref="N7:N9"/>
    <mergeCell ref="O7:O9"/>
    <mergeCell ref="P7:P9"/>
    <mergeCell ref="Q7:Q9"/>
    <mergeCell ref="N13:N16"/>
    <mergeCell ref="O13:O16"/>
    <mergeCell ref="P13:P14"/>
    <mergeCell ref="Q13:Q16"/>
    <mergeCell ref="R13:R16"/>
    <mergeCell ref="S13:S16"/>
    <mergeCell ref="H13:H14"/>
    <mergeCell ref="I13:I14"/>
    <mergeCell ref="J13:J14"/>
    <mergeCell ref="K13:K14"/>
    <mergeCell ref="L13:L14"/>
    <mergeCell ref="M13:M16"/>
    <mergeCell ref="Z13:Z16"/>
    <mergeCell ref="AA13:AA16"/>
    <mergeCell ref="AB13:AB16"/>
    <mergeCell ref="AC13:AC16"/>
    <mergeCell ref="AD13:AD16"/>
    <mergeCell ref="AE13:AE16"/>
    <mergeCell ref="T13:T14"/>
    <mergeCell ref="U13:U14"/>
    <mergeCell ref="V13:V14"/>
    <mergeCell ref="W13:W14"/>
    <mergeCell ref="X13:X14"/>
    <mergeCell ref="Y13:Y14"/>
    <mergeCell ref="AL13:AL16"/>
    <mergeCell ref="AM13:AM16"/>
    <mergeCell ref="AN13:AN16"/>
    <mergeCell ref="AO13:AO16"/>
    <mergeCell ref="AP13:AP16"/>
    <mergeCell ref="AQ13:AQ16"/>
    <mergeCell ref="AF13:AF16"/>
    <mergeCell ref="AG13:AG16"/>
    <mergeCell ref="AH13:AH16"/>
    <mergeCell ref="AI13:AI16"/>
    <mergeCell ref="AJ13:AJ16"/>
    <mergeCell ref="AK13:AK16"/>
    <mergeCell ref="AZ13:AZ16"/>
    <mergeCell ref="BA13:BA16"/>
    <mergeCell ref="BB13:BB16"/>
    <mergeCell ref="BC13:BC16"/>
    <mergeCell ref="AR13:AR16"/>
    <mergeCell ref="AS13:AS16"/>
    <mergeCell ref="AT13:AT16"/>
    <mergeCell ref="AU13:AU16"/>
    <mergeCell ref="AV13:AV16"/>
    <mergeCell ref="AW13:AW16"/>
    <mergeCell ref="BP13:BP16"/>
    <mergeCell ref="B15:C15"/>
    <mergeCell ref="B16:C16"/>
    <mergeCell ref="B18:C18"/>
    <mergeCell ref="B20:C20"/>
    <mergeCell ref="F20:G23"/>
    <mergeCell ref="M20:M21"/>
    <mergeCell ref="N20:N21"/>
    <mergeCell ref="O20:O21"/>
    <mergeCell ref="Q20:Q21"/>
    <mergeCell ref="BJ13:BJ16"/>
    <mergeCell ref="BK13:BK16"/>
    <mergeCell ref="BL13:BL16"/>
    <mergeCell ref="BM13:BM16"/>
    <mergeCell ref="BN13:BN16"/>
    <mergeCell ref="BO13:BO16"/>
    <mergeCell ref="BD13:BD16"/>
    <mergeCell ref="BE13:BE16"/>
    <mergeCell ref="BF13:BF16"/>
    <mergeCell ref="BG13:BG16"/>
    <mergeCell ref="BH13:BH16"/>
    <mergeCell ref="BI13:BI16"/>
    <mergeCell ref="AX13:AX16"/>
    <mergeCell ref="AY13:AY16"/>
    <mergeCell ref="AD20:AD21"/>
    <mergeCell ref="AE20:AE21"/>
    <mergeCell ref="AF20:AF21"/>
    <mergeCell ref="AG20:AG21"/>
    <mergeCell ref="AH20:AH21"/>
    <mergeCell ref="AI20:AI21"/>
    <mergeCell ref="R20:R21"/>
    <mergeCell ref="S20:S21"/>
    <mergeCell ref="Z20:Z21"/>
    <mergeCell ref="AA20:AA21"/>
    <mergeCell ref="AB20:AB21"/>
    <mergeCell ref="AC20:AC21"/>
    <mergeCell ref="AP20:AP21"/>
    <mergeCell ref="AQ20:AQ21"/>
    <mergeCell ref="AR20:AR21"/>
    <mergeCell ref="AS20:AS21"/>
    <mergeCell ref="AT20:AT21"/>
    <mergeCell ref="AU20:AU21"/>
    <mergeCell ref="AJ20:AJ21"/>
    <mergeCell ref="AK20:AK21"/>
    <mergeCell ref="AL20:AL21"/>
    <mergeCell ref="AM20:AM21"/>
    <mergeCell ref="AN20:AN21"/>
    <mergeCell ref="AO20:AO21"/>
    <mergeCell ref="BD20:BD21"/>
    <mergeCell ref="BE20:BE21"/>
    <mergeCell ref="BF20:BF21"/>
    <mergeCell ref="BG20:BG21"/>
    <mergeCell ref="AV20:AV21"/>
    <mergeCell ref="AW20:AW21"/>
    <mergeCell ref="AX20:AX21"/>
    <mergeCell ref="AY20:AY21"/>
    <mergeCell ref="AZ20:AZ21"/>
    <mergeCell ref="BA20:BA21"/>
    <mergeCell ref="Z22:Z23"/>
    <mergeCell ref="AA22:AA23"/>
    <mergeCell ref="AB22:AB23"/>
    <mergeCell ref="AC22:AC23"/>
    <mergeCell ref="AD22:AD23"/>
    <mergeCell ref="AE22:AE23"/>
    <mergeCell ref="BO20:BO21"/>
    <mergeCell ref="BP20:BP21"/>
    <mergeCell ref="B21:C21"/>
    <mergeCell ref="B22:C22"/>
    <mergeCell ref="M22:M23"/>
    <mergeCell ref="N22:N23"/>
    <mergeCell ref="O22:O23"/>
    <mergeCell ref="Q22:Q23"/>
    <mergeCell ref="R22:R23"/>
    <mergeCell ref="S22:S23"/>
    <mergeCell ref="BH20:BH21"/>
    <mergeCell ref="BI20:BI21"/>
    <mergeCell ref="BK20:BK21"/>
    <mergeCell ref="BL20:BL21"/>
    <mergeCell ref="BM20:BM21"/>
    <mergeCell ref="BN20:BN21"/>
    <mergeCell ref="BB20:BB21"/>
    <mergeCell ref="BC20:BC21"/>
    <mergeCell ref="AL22:AL23"/>
    <mergeCell ref="AM22:AM23"/>
    <mergeCell ref="AN22:AN23"/>
    <mergeCell ref="AO22:AO23"/>
    <mergeCell ref="AP22:AP23"/>
    <mergeCell ref="AQ22:AQ23"/>
    <mergeCell ref="AF22:AF23"/>
    <mergeCell ref="AG22:AG23"/>
    <mergeCell ref="AH22:AH23"/>
    <mergeCell ref="AI22:AI23"/>
    <mergeCell ref="AJ22:AJ23"/>
    <mergeCell ref="AK22:AK23"/>
    <mergeCell ref="AX22:AX23"/>
    <mergeCell ref="AY22:AY23"/>
    <mergeCell ref="AZ22:AZ23"/>
    <mergeCell ref="BA22:BA23"/>
    <mergeCell ref="BB22:BB23"/>
    <mergeCell ref="BC22:BC23"/>
    <mergeCell ref="AR22:AR23"/>
    <mergeCell ref="AS22:AS23"/>
    <mergeCell ref="AT22:AT23"/>
    <mergeCell ref="AU22:AU23"/>
    <mergeCell ref="AV22:AV23"/>
    <mergeCell ref="AW22:AW23"/>
    <mergeCell ref="BK22:BK23"/>
    <mergeCell ref="BL22:BL23"/>
    <mergeCell ref="BM22:BM23"/>
    <mergeCell ref="BN22:BN23"/>
    <mergeCell ref="BO22:BO23"/>
    <mergeCell ref="BP22:BP23"/>
    <mergeCell ref="BD22:BD23"/>
    <mergeCell ref="BE22:BE23"/>
    <mergeCell ref="BF22:BF23"/>
    <mergeCell ref="BG22:BG23"/>
    <mergeCell ref="BH22:BH23"/>
    <mergeCell ref="BI22:BI23"/>
    <mergeCell ref="L27:L28"/>
    <mergeCell ref="M27:M32"/>
    <mergeCell ref="N27:N32"/>
    <mergeCell ref="O27:O32"/>
    <mergeCell ref="P27:P28"/>
    <mergeCell ref="Q27:Q32"/>
    <mergeCell ref="P31:P32"/>
    <mergeCell ref="B23:C23"/>
    <mergeCell ref="F27:G32"/>
    <mergeCell ref="H27:H28"/>
    <mergeCell ref="I27:I28"/>
    <mergeCell ref="J27:J28"/>
    <mergeCell ref="K27:K28"/>
    <mergeCell ref="AD27:AD32"/>
    <mergeCell ref="AE27:AE32"/>
    <mergeCell ref="AF27:AF32"/>
    <mergeCell ref="AG27:AG32"/>
    <mergeCell ref="AH27:AH32"/>
    <mergeCell ref="AI27:AI32"/>
    <mergeCell ref="R27:R32"/>
    <mergeCell ref="S27:S28"/>
    <mergeCell ref="Z27:Z32"/>
    <mergeCell ref="AA27:AA32"/>
    <mergeCell ref="AB27:AB32"/>
    <mergeCell ref="AC27:AC32"/>
    <mergeCell ref="AP27:AP32"/>
    <mergeCell ref="AQ27:AQ32"/>
    <mergeCell ref="AR27:AR32"/>
    <mergeCell ref="AS27:AS32"/>
    <mergeCell ref="AT27:AT32"/>
    <mergeCell ref="AU27:AU32"/>
    <mergeCell ref="AJ27:AJ32"/>
    <mergeCell ref="AK27:AK32"/>
    <mergeCell ref="AL27:AL32"/>
    <mergeCell ref="AM27:AM32"/>
    <mergeCell ref="AN27:AN32"/>
    <mergeCell ref="AO27:AO32"/>
    <mergeCell ref="BD27:BD32"/>
    <mergeCell ref="BE27:BE32"/>
    <mergeCell ref="BF27:BF32"/>
    <mergeCell ref="BG27:BG32"/>
    <mergeCell ref="AV27:AV32"/>
    <mergeCell ref="AW27:AW32"/>
    <mergeCell ref="AX27:AX32"/>
    <mergeCell ref="AY27:AY32"/>
    <mergeCell ref="AZ27:AZ32"/>
    <mergeCell ref="BA27:BA32"/>
    <mergeCell ref="F34:G39"/>
    <mergeCell ref="H34:H35"/>
    <mergeCell ref="I34:I35"/>
    <mergeCell ref="J34:J35"/>
    <mergeCell ref="K34:K35"/>
    <mergeCell ref="L34:L35"/>
    <mergeCell ref="BN27:BN32"/>
    <mergeCell ref="BO27:BO32"/>
    <mergeCell ref="BP27:BP32"/>
    <mergeCell ref="H29:H31"/>
    <mergeCell ref="I29:I31"/>
    <mergeCell ref="J29:J31"/>
    <mergeCell ref="K29:K31"/>
    <mergeCell ref="L29:L31"/>
    <mergeCell ref="P29:P30"/>
    <mergeCell ref="S29:S32"/>
    <mergeCell ref="BH27:BH32"/>
    <mergeCell ref="BI27:BI32"/>
    <mergeCell ref="BJ27:BJ32"/>
    <mergeCell ref="BK27:BK32"/>
    <mergeCell ref="BL27:BL32"/>
    <mergeCell ref="BM27:BM32"/>
    <mergeCell ref="BB27:BB32"/>
    <mergeCell ref="BC27:BC32"/>
    <mergeCell ref="S34:S35"/>
    <mergeCell ref="Y34:Y37"/>
    <mergeCell ref="Z34:Z37"/>
    <mergeCell ref="AA34:AA37"/>
    <mergeCell ref="AB34:AB37"/>
    <mergeCell ref="AC34:AC37"/>
    <mergeCell ref="M34:M37"/>
    <mergeCell ref="N34:N37"/>
    <mergeCell ref="O34:O37"/>
    <mergeCell ref="P34:P35"/>
    <mergeCell ref="Q34:Q37"/>
    <mergeCell ref="R34:R37"/>
    <mergeCell ref="AJ34:AJ37"/>
    <mergeCell ref="AK34:AK37"/>
    <mergeCell ref="AL34:AL37"/>
    <mergeCell ref="AM34:AM37"/>
    <mergeCell ref="AN34:AN37"/>
    <mergeCell ref="AO34:AO37"/>
    <mergeCell ref="AD34:AD37"/>
    <mergeCell ref="AE34:AE37"/>
    <mergeCell ref="AF34:AF37"/>
    <mergeCell ref="AG34:AG37"/>
    <mergeCell ref="AH34:AH37"/>
    <mergeCell ref="AI34:AI37"/>
    <mergeCell ref="AX34:AX37"/>
    <mergeCell ref="AY34:AY37"/>
    <mergeCell ref="AZ34:AZ37"/>
    <mergeCell ref="BA34:BA37"/>
    <mergeCell ref="AP34:AP37"/>
    <mergeCell ref="AQ34:AQ37"/>
    <mergeCell ref="AR34:AR37"/>
    <mergeCell ref="AS34:AS37"/>
    <mergeCell ref="AT34:AT37"/>
    <mergeCell ref="AU34:AU37"/>
    <mergeCell ref="BN34:BN37"/>
    <mergeCell ref="BO34:BO37"/>
    <mergeCell ref="BP34:BP37"/>
    <mergeCell ref="H38:H39"/>
    <mergeCell ref="I38:I39"/>
    <mergeCell ref="J38:J39"/>
    <mergeCell ref="K38:K39"/>
    <mergeCell ref="L38:L39"/>
    <mergeCell ref="M38:M39"/>
    <mergeCell ref="N38:N39"/>
    <mergeCell ref="BH34:BH37"/>
    <mergeCell ref="BI34:BI37"/>
    <mergeCell ref="BJ34:BJ37"/>
    <mergeCell ref="BK34:BK37"/>
    <mergeCell ref="BL34:BL37"/>
    <mergeCell ref="BM34:BM37"/>
    <mergeCell ref="BB34:BB37"/>
    <mergeCell ref="BC34:BC37"/>
    <mergeCell ref="BD34:BD37"/>
    <mergeCell ref="BE34:BE37"/>
    <mergeCell ref="BF34:BF37"/>
    <mergeCell ref="BG34:BG37"/>
    <mergeCell ref="AV34:AV37"/>
    <mergeCell ref="AW34:AW37"/>
    <mergeCell ref="V38:V39"/>
    <mergeCell ref="W38:W39"/>
    <mergeCell ref="X38:X39"/>
    <mergeCell ref="Y38:Y39"/>
    <mergeCell ref="Z38:Z39"/>
    <mergeCell ref="AA38:AA39"/>
    <mergeCell ref="O38:O39"/>
    <mergeCell ref="P38:P39"/>
    <mergeCell ref="Q38:Q39"/>
    <mergeCell ref="R38:R39"/>
    <mergeCell ref="T38:T39"/>
    <mergeCell ref="U38:U39"/>
    <mergeCell ref="AH38:AH39"/>
    <mergeCell ref="AI38:AI39"/>
    <mergeCell ref="AJ38:AJ39"/>
    <mergeCell ref="AK38:AK39"/>
    <mergeCell ref="AL38:AL39"/>
    <mergeCell ref="AM38:AM39"/>
    <mergeCell ref="AB38:AB39"/>
    <mergeCell ref="AC38:AC39"/>
    <mergeCell ref="AD38:AD39"/>
    <mergeCell ref="AE38:AE39"/>
    <mergeCell ref="AF38:AF39"/>
    <mergeCell ref="AG38:AG39"/>
    <mergeCell ref="AV38:AV39"/>
    <mergeCell ref="AW38:AW39"/>
    <mergeCell ref="AX38:AX39"/>
    <mergeCell ref="AY38:AY39"/>
    <mergeCell ref="AN38:AN39"/>
    <mergeCell ref="AO38:AO39"/>
    <mergeCell ref="AP38:AP39"/>
    <mergeCell ref="AQ38:AQ39"/>
    <mergeCell ref="AR38:AR39"/>
    <mergeCell ref="AS38:AS39"/>
    <mergeCell ref="BL38:BL39"/>
    <mergeCell ref="BM38:BM39"/>
    <mergeCell ref="BN38:BN39"/>
    <mergeCell ref="BO38:BO39"/>
    <mergeCell ref="BP38:BP39"/>
    <mergeCell ref="F41:G41"/>
    <mergeCell ref="BP41:BP44"/>
    <mergeCell ref="F43:G44"/>
    <mergeCell ref="M43:M44"/>
    <mergeCell ref="N43:N44"/>
    <mergeCell ref="BF38:BF39"/>
    <mergeCell ref="BG38:BG39"/>
    <mergeCell ref="BH38:BH39"/>
    <mergeCell ref="BI38:BI39"/>
    <mergeCell ref="BJ38:BJ39"/>
    <mergeCell ref="BK38:BK39"/>
    <mergeCell ref="AZ38:AZ39"/>
    <mergeCell ref="BA38:BA39"/>
    <mergeCell ref="BB38:BB39"/>
    <mergeCell ref="BC38:BC39"/>
    <mergeCell ref="BD38:BD39"/>
    <mergeCell ref="BE38:BE39"/>
    <mergeCell ref="AT38:AT39"/>
    <mergeCell ref="AU38:AU39"/>
    <mergeCell ref="AE43:AE44"/>
    <mergeCell ref="AF43:AF44"/>
    <mergeCell ref="AG43:AG44"/>
    <mergeCell ref="AH43:AH44"/>
    <mergeCell ref="O43:O44"/>
    <mergeCell ref="Q43:Q44"/>
    <mergeCell ref="R43:R44"/>
    <mergeCell ref="Z43:Z44"/>
    <mergeCell ref="AA43:AA44"/>
    <mergeCell ref="AB43:AB44"/>
    <mergeCell ref="F48:G49"/>
    <mergeCell ref="M48:M49"/>
    <mergeCell ref="N48:N49"/>
    <mergeCell ref="O48:O49"/>
    <mergeCell ref="Q48:Q49"/>
    <mergeCell ref="R48:R49"/>
    <mergeCell ref="Z48:Z49"/>
    <mergeCell ref="BG43:BG44"/>
    <mergeCell ref="BH43:BH44"/>
    <mergeCell ref="BA43:BA44"/>
    <mergeCell ref="BB43:BB44"/>
    <mergeCell ref="BC43:BC44"/>
    <mergeCell ref="BD43:BD44"/>
    <mergeCell ref="BE43:BE44"/>
    <mergeCell ref="BF43:BF44"/>
    <mergeCell ref="AU43:AU44"/>
    <mergeCell ref="AV43:AV44"/>
    <mergeCell ref="AW43:AW44"/>
    <mergeCell ref="AX43:AX44"/>
    <mergeCell ref="AY43:AY44"/>
    <mergeCell ref="AZ43:AZ44"/>
    <mergeCell ref="AO43:AO44"/>
    <mergeCell ref="AP43:AP44"/>
    <mergeCell ref="AQ43:AQ44"/>
    <mergeCell ref="AA48:AA49"/>
    <mergeCell ref="AB48:AB49"/>
    <mergeCell ref="AC48:AC49"/>
    <mergeCell ref="AD48:AD49"/>
    <mergeCell ref="AE48:AE49"/>
    <mergeCell ref="AF48:AF49"/>
    <mergeCell ref="BM43:BM44"/>
    <mergeCell ref="BN43:BN44"/>
    <mergeCell ref="BO43:BO44"/>
    <mergeCell ref="BI43:BI44"/>
    <mergeCell ref="BJ43:BJ44"/>
    <mergeCell ref="BK43:BK44"/>
    <mergeCell ref="BL43:BL44"/>
    <mergeCell ref="AR43:AR44"/>
    <mergeCell ref="AS43:AS44"/>
    <mergeCell ref="AT43:AT44"/>
    <mergeCell ref="AI43:AI44"/>
    <mergeCell ref="AJ43:AJ44"/>
    <mergeCell ref="AK43:AK44"/>
    <mergeCell ref="AL43:AL44"/>
    <mergeCell ref="AM43:AM44"/>
    <mergeCell ref="AN43:AN44"/>
    <mergeCell ref="AC43:AC44"/>
    <mergeCell ref="AD43:AD44"/>
    <mergeCell ref="AM48:AM49"/>
    <mergeCell ref="AN48:AN49"/>
    <mergeCell ref="AO48:AO49"/>
    <mergeCell ref="AP48:AP49"/>
    <mergeCell ref="AQ48:AQ49"/>
    <mergeCell ref="AR48:AR49"/>
    <mergeCell ref="AG48:AG49"/>
    <mergeCell ref="AH48:AH49"/>
    <mergeCell ref="AI48:AI49"/>
    <mergeCell ref="AJ48:AJ49"/>
    <mergeCell ref="AK48:AK49"/>
    <mergeCell ref="AL48:AL49"/>
    <mergeCell ref="AY48:AY49"/>
    <mergeCell ref="AZ48:AZ49"/>
    <mergeCell ref="BA48:BA49"/>
    <mergeCell ref="BB48:BB49"/>
    <mergeCell ref="BC48:BC49"/>
    <mergeCell ref="BD48:BD49"/>
    <mergeCell ref="AS48:AS49"/>
    <mergeCell ref="AT48:AT49"/>
    <mergeCell ref="AU48:AU49"/>
    <mergeCell ref="AV48:AV49"/>
    <mergeCell ref="AW48:AW49"/>
    <mergeCell ref="AX48:AX49"/>
    <mergeCell ref="BK48:BK49"/>
    <mergeCell ref="BL48:BL49"/>
    <mergeCell ref="BM48:BM49"/>
    <mergeCell ref="BN48:BN49"/>
    <mergeCell ref="BO48:BO49"/>
    <mergeCell ref="BP48:BP49"/>
    <mergeCell ref="BE48:BE49"/>
    <mergeCell ref="BF48:BF49"/>
    <mergeCell ref="BG48:BG49"/>
    <mergeCell ref="BH48:BH49"/>
    <mergeCell ref="BI48:BI49"/>
    <mergeCell ref="BJ48:BJ49"/>
  </mergeCells>
  <pageMargins left="1.1023622047244095" right="0" top="0.74803149606299213" bottom="0.74803149606299213" header="0.31496062992125984" footer="0.31496062992125984"/>
  <pageSetup paperSize="258"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Q24"/>
  <sheetViews>
    <sheetView showGridLines="0" zoomScale="70" zoomScaleNormal="70" workbookViewId="0">
      <pane ySplit="1" topLeftCell="A2" activePane="bottomLeft" state="frozen"/>
      <selection activeCell="BF1" sqref="BF1"/>
      <selection pane="bottomLeft" activeCell="N13" sqref="N13:N14"/>
    </sheetView>
  </sheetViews>
  <sheetFormatPr baseColWidth="10" defaultColWidth="11.42578125" defaultRowHeight="14.25" x14ac:dyDescent="0.2"/>
  <cols>
    <col min="1" max="1" width="15.85546875" style="458" customWidth="1"/>
    <col min="2" max="2" width="8.42578125" style="458" customWidth="1"/>
    <col min="3" max="3" width="9" style="458" customWidth="1"/>
    <col min="4" max="4" width="11" style="458" customWidth="1"/>
    <col min="5" max="5" width="18.28515625" style="458" customWidth="1"/>
    <col min="6" max="6" width="13.5703125" style="458" customWidth="1"/>
    <col min="7" max="7" width="20" style="458" customWidth="1"/>
    <col min="8" max="8" width="21.85546875" style="458" customWidth="1"/>
    <col min="9" max="9" width="18.28515625" style="458" customWidth="1"/>
    <col min="10" max="10" width="29.28515625" style="458" customWidth="1"/>
    <col min="11" max="11" width="26" style="458" customWidth="1"/>
    <col min="12" max="13" width="11.85546875" style="458" hidden="1" customWidth="1"/>
    <col min="14" max="14" width="31.140625" style="458" customWidth="1"/>
    <col min="15" max="15" width="10.7109375" style="458" customWidth="1"/>
    <col min="16" max="16" width="19.140625" style="458" customWidth="1"/>
    <col min="17" max="17" width="17" style="458" customWidth="1"/>
    <col min="18" max="18" width="15.7109375" style="458" customWidth="1"/>
    <col min="19" max="19" width="21.7109375" style="458" customWidth="1"/>
    <col min="20" max="20" width="22.85546875" style="458" customWidth="1"/>
    <col min="21" max="21" width="20.28515625" style="458" customWidth="1"/>
    <col min="22" max="24" width="23.85546875" style="458" customWidth="1"/>
    <col min="25" max="25" width="10.7109375" style="458" customWidth="1"/>
    <col min="26" max="26" width="14.85546875" style="458" customWidth="1"/>
    <col min="27" max="58" width="9.42578125" style="458" customWidth="1"/>
    <col min="59" max="64" width="25.28515625" style="458" customWidth="1"/>
    <col min="65" max="68" width="14.42578125" style="458" customWidth="1"/>
    <col min="69" max="69" width="19.85546875" style="458" customWidth="1"/>
    <col min="70" max="82" width="14.85546875" style="458" customWidth="1"/>
    <col min="83" max="16384" width="11.42578125" style="458"/>
  </cols>
  <sheetData>
    <row r="1" spans="1:69" ht="15" customHeight="1" x14ac:dyDescent="0.25">
      <c r="A1" s="3490" t="s">
        <v>2122</v>
      </c>
      <c r="B1" s="3491"/>
      <c r="C1" s="3491"/>
      <c r="D1" s="3491"/>
      <c r="E1" s="3491"/>
      <c r="F1" s="3491"/>
      <c r="G1" s="3491"/>
      <c r="H1" s="3491"/>
      <c r="I1" s="3491"/>
      <c r="J1" s="3491"/>
      <c r="K1" s="3491"/>
      <c r="L1" s="3491"/>
      <c r="M1" s="3491"/>
      <c r="N1" s="3491"/>
      <c r="O1" s="3491"/>
      <c r="P1" s="3491"/>
      <c r="Q1" s="3491"/>
      <c r="R1" s="3491"/>
      <c r="S1" s="3491"/>
      <c r="T1" s="3491"/>
      <c r="U1" s="3491"/>
      <c r="V1" s="3491"/>
      <c r="W1" s="3491"/>
      <c r="X1" s="3491"/>
      <c r="Y1" s="3491"/>
      <c r="Z1" s="3491"/>
      <c r="AA1" s="3491"/>
      <c r="AB1" s="3491"/>
      <c r="AC1" s="3491"/>
      <c r="AD1" s="3491"/>
      <c r="AE1" s="3491"/>
      <c r="AF1" s="3491"/>
      <c r="AG1" s="3491"/>
      <c r="AH1" s="3491"/>
      <c r="AI1" s="3491"/>
      <c r="AJ1" s="3491"/>
      <c r="AK1" s="3491"/>
      <c r="AL1" s="3491"/>
      <c r="AM1" s="3491"/>
      <c r="AN1" s="3491"/>
      <c r="AO1" s="3491"/>
      <c r="AP1" s="3491"/>
      <c r="AQ1" s="3491"/>
      <c r="AR1" s="3491"/>
      <c r="AS1" s="3491"/>
      <c r="AT1" s="3491"/>
      <c r="AU1" s="3491"/>
      <c r="AV1" s="3491"/>
      <c r="AW1" s="3491"/>
      <c r="AX1" s="3491"/>
      <c r="AY1" s="3491"/>
      <c r="AZ1" s="3491"/>
      <c r="BA1" s="3491"/>
      <c r="BB1" s="3491"/>
      <c r="BC1" s="3491"/>
      <c r="BD1" s="3491"/>
      <c r="BE1" s="3491"/>
      <c r="BF1" s="3491"/>
      <c r="BG1" s="3491"/>
      <c r="BH1" s="3491"/>
      <c r="BI1" s="3491"/>
      <c r="BJ1" s="3491"/>
      <c r="BK1" s="3491"/>
      <c r="BL1" s="3491"/>
      <c r="BM1" s="3491"/>
      <c r="BN1" s="1632"/>
      <c r="BO1" s="1633"/>
      <c r="BP1" s="1634" t="s">
        <v>0</v>
      </c>
      <c r="BQ1" s="1635" t="s">
        <v>1</v>
      </c>
    </row>
    <row r="2" spans="1:69" ht="15" x14ac:dyDescent="0.25">
      <c r="A2" s="3492"/>
      <c r="B2" s="3267"/>
      <c r="C2" s="3267"/>
      <c r="D2" s="3267"/>
      <c r="E2" s="3267"/>
      <c r="F2" s="3267"/>
      <c r="G2" s="3267"/>
      <c r="H2" s="3267"/>
      <c r="I2" s="3267"/>
      <c r="J2" s="3267"/>
      <c r="K2" s="3267"/>
      <c r="L2" s="3267"/>
      <c r="M2" s="3267"/>
      <c r="N2" s="3267"/>
      <c r="O2" s="3267"/>
      <c r="P2" s="3267"/>
      <c r="Q2" s="3267"/>
      <c r="R2" s="3267"/>
      <c r="S2" s="3267"/>
      <c r="T2" s="3267"/>
      <c r="U2" s="3267"/>
      <c r="V2" s="3267"/>
      <c r="W2" s="3267"/>
      <c r="X2" s="3267"/>
      <c r="Y2" s="3267"/>
      <c r="Z2" s="3267"/>
      <c r="AA2" s="3267"/>
      <c r="AB2" s="3267"/>
      <c r="AC2" s="3267"/>
      <c r="AD2" s="3267"/>
      <c r="AE2" s="3267"/>
      <c r="AF2" s="3267"/>
      <c r="AG2" s="3267"/>
      <c r="AH2" s="3267"/>
      <c r="AI2" s="3267"/>
      <c r="AJ2" s="3267"/>
      <c r="AK2" s="3267"/>
      <c r="AL2" s="3267"/>
      <c r="AM2" s="3267"/>
      <c r="AN2" s="3267"/>
      <c r="AO2" s="3267"/>
      <c r="AP2" s="3267"/>
      <c r="AQ2" s="3267"/>
      <c r="AR2" s="3267"/>
      <c r="AS2" s="3267"/>
      <c r="AT2" s="3267"/>
      <c r="AU2" s="3267"/>
      <c r="AV2" s="3267"/>
      <c r="AW2" s="3267"/>
      <c r="AX2" s="3267"/>
      <c r="AY2" s="3267"/>
      <c r="AZ2" s="3267"/>
      <c r="BA2" s="3267"/>
      <c r="BB2" s="3267"/>
      <c r="BC2" s="3267"/>
      <c r="BD2" s="3267"/>
      <c r="BE2" s="3267"/>
      <c r="BF2" s="3267"/>
      <c r="BG2" s="3267"/>
      <c r="BH2" s="3267"/>
      <c r="BI2" s="3267"/>
      <c r="BJ2" s="3267"/>
      <c r="BK2" s="3267"/>
      <c r="BL2" s="3267"/>
      <c r="BM2" s="3267"/>
      <c r="BN2" s="1547"/>
      <c r="BO2" s="1636"/>
      <c r="BP2" s="1548" t="s">
        <v>2</v>
      </c>
      <c r="BQ2" s="1637">
        <v>6</v>
      </c>
    </row>
    <row r="3" spans="1:69" ht="15" x14ac:dyDescent="0.25">
      <c r="A3" s="3492"/>
      <c r="B3" s="3267"/>
      <c r="C3" s="3267"/>
      <c r="D3" s="3267"/>
      <c r="E3" s="3267"/>
      <c r="F3" s="3267"/>
      <c r="G3" s="3267"/>
      <c r="H3" s="3267"/>
      <c r="I3" s="3267"/>
      <c r="J3" s="3267"/>
      <c r="K3" s="3267"/>
      <c r="L3" s="3267"/>
      <c r="M3" s="3267"/>
      <c r="N3" s="3267"/>
      <c r="O3" s="3267"/>
      <c r="P3" s="3267"/>
      <c r="Q3" s="3267"/>
      <c r="R3" s="3267"/>
      <c r="S3" s="3267"/>
      <c r="T3" s="3267"/>
      <c r="U3" s="3267"/>
      <c r="V3" s="3267"/>
      <c r="W3" s="3267"/>
      <c r="X3" s="3267"/>
      <c r="Y3" s="3267"/>
      <c r="Z3" s="3267"/>
      <c r="AA3" s="3267"/>
      <c r="AB3" s="3267"/>
      <c r="AC3" s="3267"/>
      <c r="AD3" s="3267"/>
      <c r="AE3" s="3267"/>
      <c r="AF3" s="3267"/>
      <c r="AG3" s="3267"/>
      <c r="AH3" s="3267"/>
      <c r="AI3" s="3267"/>
      <c r="AJ3" s="3267"/>
      <c r="AK3" s="3267"/>
      <c r="AL3" s="3267"/>
      <c r="AM3" s="3267"/>
      <c r="AN3" s="3267"/>
      <c r="AO3" s="3267"/>
      <c r="AP3" s="3267"/>
      <c r="AQ3" s="3267"/>
      <c r="AR3" s="3267"/>
      <c r="AS3" s="3267"/>
      <c r="AT3" s="3267"/>
      <c r="AU3" s="3267"/>
      <c r="AV3" s="3267"/>
      <c r="AW3" s="3267"/>
      <c r="AX3" s="3267"/>
      <c r="AY3" s="3267"/>
      <c r="AZ3" s="3267"/>
      <c r="BA3" s="3267"/>
      <c r="BB3" s="3267"/>
      <c r="BC3" s="3267"/>
      <c r="BD3" s="3267"/>
      <c r="BE3" s="3267"/>
      <c r="BF3" s="3267"/>
      <c r="BG3" s="3267"/>
      <c r="BH3" s="3267"/>
      <c r="BI3" s="3267"/>
      <c r="BJ3" s="3267"/>
      <c r="BK3" s="3267"/>
      <c r="BL3" s="3267"/>
      <c r="BM3" s="3267"/>
      <c r="BN3" s="1547"/>
      <c r="BO3" s="1636"/>
      <c r="BP3" s="501" t="s">
        <v>3</v>
      </c>
      <c r="BQ3" s="1638" t="s">
        <v>4</v>
      </c>
    </row>
    <row r="4" spans="1:69" s="1550" customFormat="1" ht="21" customHeight="1" x14ac:dyDescent="0.2">
      <c r="A4" s="3493"/>
      <c r="B4" s="3268"/>
      <c r="C4" s="3268"/>
      <c r="D4" s="3268"/>
      <c r="E4" s="3268"/>
      <c r="F4" s="3268"/>
      <c r="G4" s="3268"/>
      <c r="H4" s="3268"/>
      <c r="I4" s="3268"/>
      <c r="J4" s="3268"/>
      <c r="K4" s="3268"/>
      <c r="L4" s="3268"/>
      <c r="M4" s="3268"/>
      <c r="N4" s="3268"/>
      <c r="O4" s="3268"/>
      <c r="P4" s="3268"/>
      <c r="Q4" s="3268"/>
      <c r="R4" s="3268"/>
      <c r="S4" s="3268"/>
      <c r="T4" s="3268"/>
      <c r="U4" s="3268"/>
      <c r="V4" s="3268"/>
      <c r="W4" s="3268"/>
      <c r="X4" s="3268"/>
      <c r="Y4" s="3268"/>
      <c r="Z4" s="3268"/>
      <c r="AA4" s="3268"/>
      <c r="AB4" s="3268"/>
      <c r="AC4" s="3268"/>
      <c r="AD4" s="3268"/>
      <c r="AE4" s="3268"/>
      <c r="AF4" s="3268"/>
      <c r="AG4" s="3268"/>
      <c r="AH4" s="3268"/>
      <c r="AI4" s="3268"/>
      <c r="AJ4" s="3268"/>
      <c r="AK4" s="3268"/>
      <c r="AL4" s="3268"/>
      <c r="AM4" s="3268"/>
      <c r="AN4" s="3268"/>
      <c r="AO4" s="3268"/>
      <c r="AP4" s="3268"/>
      <c r="AQ4" s="3268"/>
      <c r="AR4" s="3268"/>
      <c r="AS4" s="3268"/>
      <c r="AT4" s="3268"/>
      <c r="AU4" s="3268"/>
      <c r="AV4" s="3268"/>
      <c r="AW4" s="3268"/>
      <c r="AX4" s="3268"/>
      <c r="AY4" s="3268"/>
      <c r="AZ4" s="3268"/>
      <c r="BA4" s="3268"/>
      <c r="BB4" s="3268"/>
      <c r="BC4" s="3268"/>
      <c r="BD4" s="3268"/>
      <c r="BE4" s="3268"/>
      <c r="BF4" s="3268"/>
      <c r="BG4" s="3268"/>
      <c r="BH4" s="3268"/>
      <c r="BI4" s="3268"/>
      <c r="BJ4" s="3268"/>
      <c r="BK4" s="3268"/>
      <c r="BL4" s="3268"/>
      <c r="BM4" s="3268"/>
      <c r="BN4" s="1549"/>
      <c r="BO4" s="1639"/>
      <c r="BP4" s="708" t="s">
        <v>5</v>
      </c>
      <c r="BQ4" s="1640" t="s">
        <v>6</v>
      </c>
    </row>
    <row r="5" spans="1:69" ht="15" x14ac:dyDescent="0.2">
      <c r="A5" s="3494" t="s">
        <v>7</v>
      </c>
      <c r="B5" s="2611"/>
      <c r="C5" s="2611"/>
      <c r="D5" s="2611"/>
      <c r="E5" s="2611"/>
      <c r="F5" s="2611"/>
      <c r="G5" s="2611"/>
      <c r="H5" s="2611"/>
      <c r="I5" s="2611"/>
      <c r="J5" s="2611"/>
      <c r="K5" s="2611"/>
      <c r="L5" s="2611"/>
      <c r="M5" s="1392"/>
      <c r="N5" s="1392"/>
      <c r="O5" s="1392"/>
      <c r="P5" s="2611" t="s">
        <v>8</v>
      </c>
      <c r="Q5" s="2611"/>
      <c r="R5" s="2611"/>
      <c r="S5" s="2611"/>
      <c r="T5" s="2611"/>
      <c r="U5" s="2611"/>
      <c r="V5" s="2611"/>
      <c r="W5" s="2611"/>
      <c r="X5" s="2611"/>
      <c r="Y5" s="2611"/>
      <c r="Z5" s="2611"/>
      <c r="AA5" s="2611"/>
      <c r="AB5" s="2611"/>
      <c r="AC5" s="2611"/>
      <c r="AD5" s="2611"/>
      <c r="AE5" s="2611"/>
      <c r="AF5" s="2611"/>
      <c r="AG5" s="2611"/>
      <c r="AH5" s="2611"/>
      <c r="AI5" s="2611"/>
      <c r="AJ5" s="2611"/>
      <c r="AK5" s="2611"/>
      <c r="AL5" s="2611"/>
      <c r="AM5" s="2611"/>
      <c r="AN5" s="2611"/>
      <c r="AO5" s="2611"/>
      <c r="AP5" s="2611"/>
      <c r="AQ5" s="2611"/>
      <c r="AR5" s="2611"/>
      <c r="AS5" s="2611"/>
      <c r="AT5" s="2611"/>
      <c r="AU5" s="2611"/>
      <c r="AV5" s="2611"/>
      <c r="AW5" s="2611"/>
      <c r="AX5" s="2611"/>
      <c r="AY5" s="2611"/>
      <c r="AZ5" s="2611"/>
      <c r="BA5" s="2611"/>
      <c r="BB5" s="2611"/>
      <c r="BC5" s="2611"/>
      <c r="BD5" s="2611"/>
      <c r="BE5" s="2611"/>
      <c r="BF5" s="2611"/>
      <c r="BG5" s="2611"/>
      <c r="BH5" s="2611"/>
      <c r="BI5" s="2611"/>
      <c r="BJ5" s="2611"/>
      <c r="BK5" s="2611"/>
      <c r="BL5" s="2611"/>
      <c r="BM5" s="2611"/>
      <c r="BN5" s="2611"/>
      <c r="BO5" s="2611"/>
      <c r="BP5" s="2611"/>
      <c r="BQ5" s="3495"/>
    </row>
    <row r="6" spans="1:69" ht="14.45" customHeight="1" thickBot="1" x14ac:dyDescent="0.25">
      <c r="A6" s="3494"/>
      <c r="B6" s="2611"/>
      <c r="C6" s="2611"/>
      <c r="D6" s="2611"/>
      <c r="E6" s="2611"/>
      <c r="F6" s="2611"/>
      <c r="G6" s="2611"/>
      <c r="H6" s="2611"/>
      <c r="I6" s="2611"/>
      <c r="J6" s="2611"/>
      <c r="K6" s="2611"/>
      <c r="L6" s="2611"/>
      <c r="M6" s="1392"/>
      <c r="N6" s="1392"/>
      <c r="O6" s="1401"/>
      <c r="P6" s="3269"/>
      <c r="Q6" s="3270"/>
      <c r="R6" s="3270"/>
      <c r="S6" s="3270"/>
      <c r="T6" s="3270"/>
      <c r="U6" s="3270"/>
      <c r="V6" s="3270"/>
      <c r="W6" s="3270"/>
      <c r="X6" s="3270"/>
      <c r="Y6" s="3270"/>
      <c r="Z6" s="3271"/>
      <c r="AA6" s="1402"/>
      <c r="AB6" s="1402"/>
      <c r="AC6" s="1402"/>
      <c r="AD6" s="1402"/>
      <c r="AE6" s="1402"/>
      <c r="AF6" s="1402"/>
      <c r="AG6" s="1402"/>
      <c r="AH6" s="1402"/>
      <c r="AI6" s="1402"/>
      <c r="AJ6" s="1402"/>
      <c r="AK6" s="1402"/>
      <c r="AL6" s="1402"/>
      <c r="AM6" s="1402"/>
      <c r="AN6" s="1402"/>
      <c r="AO6" s="1402"/>
      <c r="AP6" s="1402"/>
      <c r="AQ6" s="1402"/>
      <c r="AR6" s="1402"/>
      <c r="AS6" s="1402"/>
      <c r="AT6" s="1402"/>
      <c r="AU6" s="1402"/>
      <c r="AV6" s="1402"/>
      <c r="AW6" s="1402"/>
      <c r="AX6" s="1402"/>
      <c r="AY6" s="1402"/>
      <c r="AZ6" s="1402"/>
      <c r="BA6" s="1402"/>
      <c r="BB6" s="1402"/>
      <c r="BC6" s="1402"/>
      <c r="BD6" s="1402"/>
      <c r="BE6" s="1402"/>
      <c r="BF6" s="1402"/>
      <c r="BG6" s="1402"/>
      <c r="BH6" s="1402"/>
      <c r="BI6" s="1402"/>
      <c r="BJ6" s="1402"/>
      <c r="BK6" s="1402"/>
      <c r="BL6" s="1402"/>
      <c r="BM6" s="3269"/>
      <c r="BN6" s="3270"/>
      <c r="BO6" s="3270"/>
      <c r="BP6" s="3270"/>
      <c r="BQ6" s="3496"/>
    </row>
    <row r="7" spans="1:69" s="1551" customFormat="1" ht="22.5" customHeight="1" x14ac:dyDescent="0.2">
      <c r="A7" s="3497" t="s">
        <v>9</v>
      </c>
      <c r="B7" s="2723" t="s">
        <v>10</v>
      </c>
      <c r="C7" s="2723"/>
      <c r="D7" s="2723" t="s">
        <v>9</v>
      </c>
      <c r="E7" s="2723" t="s">
        <v>11</v>
      </c>
      <c r="F7" s="2723" t="s">
        <v>9</v>
      </c>
      <c r="G7" s="2723" t="s">
        <v>12</v>
      </c>
      <c r="H7" s="2723"/>
      <c r="I7" s="2723" t="s">
        <v>9</v>
      </c>
      <c r="J7" s="2723" t="s">
        <v>13</v>
      </c>
      <c r="K7" s="2723" t="s">
        <v>14</v>
      </c>
      <c r="L7" s="3486" t="s">
        <v>15</v>
      </c>
      <c r="M7" s="3487"/>
      <c r="N7" s="2723" t="s">
        <v>16</v>
      </c>
      <c r="O7" s="3272" t="s">
        <v>17</v>
      </c>
      <c r="P7" s="2723" t="s">
        <v>8</v>
      </c>
      <c r="Q7" s="2723" t="s">
        <v>18</v>
      </c>
      <c r="R7" s="2723" t="s">
        <v>19</v>
      </c>
      <c r="S7" s="2723" t="s">
        <v>20</v>
      </c>
      <c r="T7" s="2723" t="s">
        <v>21</v>
      </c>
      <c r="U7" s="2723" t="s">
        <v>22</v>
      </c>
      <c r="V7" s="3486" t="s">
        <v>19</v>
      </c>
      <c r="W7" s="3505"/>
      <c r="X7" s="3487"/>
      <c r="Y7" s="3272" t="s">
        <v>9</v>
      </c>
      <c r="Z7" s="2723" t="s">
        <v>23</v>
      </c>
      <c r="AA7" s="3284" t="s">
        <v>24</v>
      </c>
      <c r="AB7" s="3285"/>
      <c r="AC7" s="3285"/>
      <c r="AD7" s="3286"/>
      <c r="AE7" s="3287" t="s">
        <v>25</v>
      </c>
      <c r="AF7" s="3288"/>
      <c r="AG7" s="3288"/>
      <c r="AH7" s="3288"/>
      <c r="AI7" s="3288"/>
      <c r="AJ7" s="3288"/>
      <c r="AK7" s="3288"/>
      <c r="AL7" s="3289"/>
      <c r="AM7" s="3290" t="s">
        <v>26</v>
      </c>
      <c r="AN7" s="3291"/>
      <c r="AO7" s="3291"/>
      <c r="AP7" s="3291"/>
      <c r="AQ7" s="3291"/>
      <c r="AR7" s="3291"/>
      <c r="AS7" s="3291"/>
      <c r="AT7" s="3291"/>
      <c r="AU7" s="3291"/>
      <c r="AV7" s="3291"/>
      <c r="AW7" s="3291"/>
      <c r="AX7" s="3292"/>
      <c r="AY7" s="3287" t="s">
        <v>27</v>
      </c>
      <c r="AZ7" s="3288"/>
      <c r="BA7" s="3288"/>
      <c r="BB7" s="3288"/>
      <c r="BC7" s="3288"/>
      <c r="BD7" s="3289"/>
      <c r="BE7" s="3287" t="s">
        <v>28</v>
      </c>
      <c r="BF7" s="3289"/>
      <c r="BG7" s="3295" t="s">
        <v>29</v>
      </c>
      <c r="BH7" s="3296"/>
      <c r="BI7" s="3296"/>
      <c r="BJ7" s="3296"/>
      <c r="BK7" s="3296"/>
      <c r="BL7" s="3297"/>
      <c r="BM7" s="3499" t="s">
        <v>30</v>
      </c>
      <c r="BN7" s="3500"/>
      <c r="BO7" s="3499" t="s">
        <v>31</v>
      </c>
      <c r="BP7" s="3500"/>
      <c r="BQ7" s="3498" t="s">
        <v>32</v>
      </c>
    </row>
    <row r="8" spans="1:69" s="1551" customFormat="1" ht="134.25" customHeight="1" x14ac:dyDescent="0.2">
      <c r="A8" s="3497"/>
      <c r="B8" s="2723"/>
      <c r="C8" s="2723"/>
      <c r="D8" s="2723"/>
      <c r="E8" s="2723"/>
      <c r="F8" s="2723"/>
      <c r="G8" s="2723"/>
      <c r="H8" s="2723"/>
      <c r="I8" s="2723"/>
      <c r="J8" s="2723"/>
      <c r="K8" s="2723"/>
      <c r="L8" s="3488"/>
      <c r="M8" s="3489"/>
      <c r="N8" s="2723"/>
      <c r="O8" s="3273"/>
      <c r="P8" s="2723"/>
      <c r="Q8" s="2723"/>
      <c r="R8" s="2723"/>
      <c r="S8" s="2723"/>
      <c r="T8" s="2723"/>
      <c r="U8" s="2723"/>
      <c r="V8" s="3281"/>
      <c r="W8" s="3282"/>
      <c r="X8" s="3283"/>
      <c r="Y8" s="3273"/>
      <c r="Z8" s="2723"/>
      <c r="AA8" s="3293" t="s">
        <v>33</v>
      </c>
      <c r="AB8" s="3293"/>
      <c r="AC8" s="3294" t="s">
        <v>34</v>
      </c>
      <c r="AD8" s="3294"/>
      <c r="AE8" s="3293" t="s">
        <v>35</v>
      </c>
      <c r="AF8" s="3293"/>
      <c r="AG8" s="3293" t="s">
        <v>36</v>
      </c>
      <c r="AH8" s="3293"/>
      <c r="AI8" s="3293" t="s">
        <v>37</v>
      </c>
      <c r="AJ8" s="3293"/>
      <c r="AK8" s="3293" t="s">
        <v>38</v>
      </c>
      <c r="AL8" s="3293"/>
      <c r="AM8" s="3293" t="s">
        <v>39</v>
      </c>
      <c r="AN8" s="3293"/>
      <c r="AO8" s="3293" t="s">
        <v>40</v>
      </c>
      <c r="AP8" s="3293"/>
      <c r="AQ8" s="3293" t="s">
        <v>41</v>
      </c>
      <c r="AR8" s="3293"/>
      <c r="AS8" s="3293" t="s">
        <v>42</v>
      </c>
      <c r="AT8" s="3293"/>
      <c r="AU8" s="3293" t="s">
        <v>43</v>
      </c>
      <c r="AV8" s="3293"/>
      <c r="AW8" s="3293" t="s">
        <v>44</v>
      </c>
      <c r="AX8" s="3293"/>
      <c r="AY8" s="3293" t="s">
        <v>45</v>
      </c>
      <c r="AZ8" s="3293"/>
      <c r="BA8" s="3293" t="s">
        <v>46</v>
      </c>
      <c r="BB8" s="3293"/>
      <c r="BC8" s="3293" t="s">
        <v>47</v>
      </c>
      <c r="BD8" s="3293"/>
      <c r="BE8" s="3293" t="s">
        <v>28</v>
      </c>
      <c r="BF8" s="3293"/>
      <c r="BG8" s="3121" t="s">
        <v>48</v>
      </c>
      <c r="BH8" s="3276" t="s">
        <v>49</v>
      </c>
      <c r="BI8" s="3121" t="s">
        <v>50</v>
      </c>
      <c r="BJ8" s="3277" t="s">
        <v>51</v>
      </c>
      <c r="BK8" s="3121" t="s">
        <v>52</v>
      </c>
      <c r="BL8" s="3304" t="s">
        <v>53</v>
      </c>
      <c r="BM8" s="3501"/>
      <c r="BN8" s="3502"/>
      <c r="BO8" s="3501"/>
      <c r="BP8" s="3502"/>
      <c r="BQ8" s="3498"/>
    </row>
    <row r="9" spans="1:69" s="1344" customFormat="1" ht="12.75" x14ac:dyDescent="0.2">
      <c r="A9" s="3497"/>
      <c r="B9" s="2723"/>
      <c r="C9" s="2723"/>
      <c r="D9" s="2723"/>
      <c r="E9" s="2723"/>
      <c r="F9" s="2723"/>
      <c r="G9" s="2723"/>
      <c r="H9" s="2723"/>
      <c r="I9" s="2723"/>
      <c r="J9" s="2723"/>
      <c r="K9" s="2723"/>
      <c r="L9" s="508" t="s">
        <v>54</v>
      </c>
      <c r="M9" s="508" t="s">
        <v>55</v>
      </c>
      <c r="N9" s="2723"/>
      <c r="O9" s="3274"/>
      <c r="P9" s="2723"/>
      <c r="Q9" s="2723"/>
      <c r="R9" s="2723"/>
      <c r="S9" s="2723"/>
      <c r="T9" s="2723"/>
      <c r="U9" s="2723"/>
      <c r="V9" s="508" t="s">
        <v>56</v>
      </c>
      <c r="W9" s="508" t="s">
        <v>57</v>
      </c>
      <c r="X9" s="508" t="s">
        <v>58</v>
      </c>
      <c r="Y9" s="3274"/>
      <c r="Z9" s="2723"/>
      <c r="AA9" s="508" t="s">
        <v>54</v>
      </c>
      <c r="AB9" s="508" t="s">
        <v>55</v>
      </c>
      <c r="AC9" s="508" t="s">
        <v>54</v>
      </c>
      <c r="AD9" s="508" t="s">
        <v>55</v>
      </c>
      <c r="AE9" s="508" t="s">
        <v>54</v>
      </c>
      <c r="AF9" s="508" t="s">
        <v>55</v>
      </c>
      <c r="AG9" s="508" t="s">
        <v>54</v>
      </c>
      <c r="AH9" s="508" t="s">
        <v>55</v>
      </c>
      <c r="AI9" s="508" t="s">
        <v>54</v>
      </c>
      <c r="AJ9" s="508" t="s">
        <v>55</v>
      </c>
      <c r="AK9" s="508" t="s">
        <v>54</v>
      </c>
      <c r="AL9" s="508" t="s">
        <v>55</v>
      </c>
      <c r="AM9" s="508" t="s">
        <v>54</v>
      </c>
      <c r="AN9" s="508" t="s">
        <v>55</v>
      </c>
      <c r="AO9" s="508" t="s">
        <v>54</v>
      </c>
      <c r="AP9" s="508" t="s">
        <v>55</v>
      </c>
      <c r="AQ9" s="508" t="s">
        <v>54</v>
      </c>
      <c r="AR9" s="508" t="s">
        <v>55</v>
      </c>
      <c r="AS9" s="508" t="s">
        <v>54</v>
      </c>
      <c r="AT9" s="508" t="s">
        <v>55</v>
      </c>
      <c r="AU9" s="508" t="s">
        <v>54</v>
      </c>
      <c r="AV9" s="508" t="s">
        <v>55</v>
      </c>
      <c r="AW9" s="508" t="s">
        <v>54</v>
      </c>
      <c r="AX9" s="508" t="s">
        <v>55</v>
      </c>
      <c r="AY9" s="508" t="s">
        <v>54</v>
      </c>
      <c r="AZ9" s="508" t="s">
        <v>55</v>
      </c>
      <c r="BA9" s="508" t="s">
        <v>54</v>
      </c>
      <c r="BB9" s="508" t="s">
        <v>55</v>
      </c>
      <c r="BC9" s="508" t="s">
        <v>54</v>
      </c>
      <c r="BD9" s="508" t="s">
        <v>55</v>
      </c>
      <c r="BE9" s="508" t="s">
        <v>54</v>
      </c>
      <c r="BF9" s="508" t="s">
        <v>55</v>
      </c>
      <c r="BG9" s="3121"/>
      <c r="BH9" s="3276"/>
      <c r="BI9" s="3121"/>
      <c r="BJ9" s="3277"/>
      <c r="BK9" s="3121"/>
      <c r="BL9" s="3102"/>
      <c r="BM9" s="1552" t="s">
        <v>54</v>
      </c>
      <c r="BN9" s="1552" t="s">
        <v>55</v>
      </c>
      <c r="BO9" s="1552" t="s">
        <v>54</v>
      </c>
      <c r="BP9" s="1552" t="s">
        <v>55</v>
      </c>
      <c r="BQ9" s="3498"/>
    </row>
    <row r="10" spans="1:69" ht="20.25" customHeight="1" x14ac:dyDescent="0.2">
      <c r="A10" s="1641">
        <v>5</v>
      </c>
      <c r="B10" s="1557" t="s">
        <v>59</v>
      </c>
      <c r="C10" s="1558"/>
      <c r="D10" s="1558"/>
      <c r="E10" s="1558"/>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1642"/>
    </row>
    <row r="11" spans="1:69" ht="23.25" customHeight="1" x14ac:dyDescent="0.2">
      <c r="A11" s="3503"/>
      <c r="B11" s="2681"/>
      <c r="C11" s="2681"/>
      <c r="D11" s="1643">
        <v>26</v>
      </c>
      <c r="E11" s="1394" t="s">
        <v>102</v>
      </c>
      <c r="F11" s="1644"/>
      <c r="G11" s="1559"/>
      <c r="H11" s="1559"/>
      <c r="I11" s="1559"/>
      <c r="J11" s="1559"/>
      <c r="K11" s="1559"/>
      <c r="L11" s="1559"/>
      <c r="M11" s="1559"/>
      <c r="N11" s="1559"/>
      <c r="O11" s="1559"/>
      <c r="P11" s="1559"/>
      <c r="Q11" s="1559"/>
      <c r="R11" s="1559"/>
      <c r="S11" s="1559"/>
      <c r="T11" s="1559"/>
      <c r="U11" s="1559"/>
      <c r="V11" s="1559"/>
      <c r="W11" s="1559"/>
      <c r="X11" s="1559"/>
      <c r="Y11" s="1559"/>
      <c r="Z11" s="1559"/>
      <c r="AA11" s="1559"/>
      <c r="AB11" s="1559"/>
      <c r="AC11" s="1559"/>
      <c r="AD11" s="1559"/>
      <c r="AE11" s="1559"/>
      <c r="AF11" s="1559"/>
      <c r="AG11" s="1559"/>
      <c r="AH11" s="1559"/>
      <c r="AI11" s="1559"/>
      <c r="AJ11" s="1559"/>
      <c r="AK11" s="1559"/>
      <c r="AL11" s="1559"/>
      <c r="AM11" s="1559"/>
      <c r="AN11" s="1559"/>
      <c r="AO11" s="1559"/>
      <c r="AP11" s="1559"/>
      <c r="AQ11" s="1559"/>
      <c r="AR11" s="1559"/>
      <c r="AS11" s="1559"/>
      <c r="AT11" s="1559"/>
      <c r="AU11" s="1559"/>
      <c r="AV11" s="1559"/>
      <c r="AW11" s="1559"/>
      <c r="AX11" s="1559"/>
      <c r="AY11" s="1559"/>
      <c r="AZ11" s="1559"/>
      <c r="BA11" s="1559"/>
      <c r="BB11" s="1559"/>
      <c r="BC11" s="1559"/>
      <c r="BD11" s="1559"/>
      <c r="BE11" s="1559"/>
      <c r="BF11" s="1559"/>
      <c r="BG11" s="1559"/>
      <c r="BH11" s="1559"/>
      <c r="BI11" s="1559"/>
      <c r="BJ11" s="1559"/>
      <c r="BK11" s="1559"/>
      <c r="BL11" s="1559"/>
      <c r="BM11" s="1559"/>
      <c r="BN11" s="1559"/>
      <c r="BO11" s="1559"/>
      <c r="BP11" s="1559"/>
      <c r="BQ11" s="1645"/>
    </row>
    <row r="12" spans="1:69" ht="25.5" customHeight="1" x14ac:dyDescent="0.2">
      <c r="A12" s="3504"/>
      <c r="B12" s="2681"/>
      <c r="C12" s="2681"/>
      <c r="D12" s="2681"/>
      <c r="E12" s="2681"/>
      <c r="F12" s="1561">
        <v>83</v>
      </c>
      <c r="G12" s="1646" t="s">
        <v>1292</v>
      </c>
      <c r="H12" s="1563"/>
      <c r="I12" s="1562"/>
      <c r="J12" s="1562"/>
      <c r="K12" s="1562"/>
      <c r="L12" s="1562"/>
      <c r="M12" s="1562"/>
      <c r="N12" s="1562"/>
      <c r="O12" s="1562"/>
      <c r="P12" s="1562"/>
      <c r="Q12" s="1562"/>
      <c r="R12" s="1562"/>
      <c r="S12" s="1562"/>
      <c r="T12" s="1562"/>
      <c r="U12" s="1562"/>
      <c r="V12" s="1562"/>
      <c r="W12" s="1562"/>
      <c r="X12" s="1562"/>
      <c r="Y12" s="1562"/>
      <c r="Z12" s="1562"/>
      <c r="AA12" s="1562"/>
      <c r="AB12" s="1562"/>
      <c r="AC12" s="1562"/>
      <c r="AD12" s="1562"/>
      <c r="AE12" s="1562"/>
      <c r="AF12" s="1562"/>
      <c r="AG12" s="1562"/>
      <c r="AH12" s="1562"/>
      <c r="AI12" s="1562"/>
      <c r="AJ12" s="1562"/>
      <c r="AK12" s="1562"/>
      <c r="AL12" s="1562"/>
      <c r="AM12" s="1562"/>
      <c r="AN12" s="1562"/>
      <c r="AO12" s="1562"/>
      <c r="AP12" s="1562"/>
      <c r="AQ12" s="1562"/>
      <c r="AR12" s="1562"/>
      <c r="AS12" s="1562"/>
      <c r="AT12" s="1562"/>
      <c r="AU12" s="1562"/>
      <c r="AV12" s="1562"/>
      <c r="AW12" s="1562"/>
      <c r="AX12" s="1562"/>
      <c r="AY12" s="1562"/>
      <c r="AZ12" s="1562"/>
      <c r="BA12" s="1562"/>
      <c r="BB12" s="1562"/>
      <c r="BC12" s="1562"/>
      <c r="BD12" s="1562"/>
      <c r="BE12" s="1562"/>
      <c r="BF12" s="1562"/>
      <c r="BG12" s="1562"/>
      <c r="BH12" s="1562"/>
      <c r="BI12" s="1562"/>
      <c r="BJ12" s="1562"/>
      <c r="BK12" s="1562"/>
      <c r="BL12" s="1562"/>
      <c r="BM12" s="1562"/>
      <c r="BN12" s="1562"/>
      <c r="BO12" s="1562"/>
      <c r="BP12" s="1562"/>
      <c r="BQ12" s="1647"/>
    </row>
    <row r="13" spans="1:69" s="1565" customFormat="1" ht="75" customHeight="1" x14ac:dyDescent="0.2">
      <c r="A13" s="3504"/>
      <c r="B13" s="2681"/>
      <c r="C13" s="2681"/>
      <c r="D13" s="2681"/>
      <c r="E13" s="2681"/>
      <c r="F13" s="3318">
        <v>83</v>
      </c>
      <c r="G13" s="2681"/>
      <c r="H13" s="2681"/>
      <c r="I13" s="3303">
        <v>244</v>
      </c>
      <c r="J13" s="3333" t="s">
        <v>1293</v>
      </c>
      <c r="K13" s="3303" t="s">
        <v>1294</v>
      </c>
      <c r="L13" s="3303"/>
      <c r="M13" s="3303"/>
      <c r="N13" s="3303" t="s">
        <v>1295</v>
      </c>
      <c r="O13" s="3303" t="s">
        <v>1296</v>
      </c>
      <c r="P13" s="3333" t="s">
        <v>1297</v>
      </c>
      <c r="Q13" s="3326">
        <v>1</v>
      </c>
      <c r="R13" s="3328">
        <v>300000000</v>
      </c>
      <c r="S13" s="3507" t="s">
        <v>1298</v>
      </c>
      <c r="T13" s="1648" t="s">
        <v>1299</v>
      </c>
      <c r="U13" s="1391" t="s">
        <v>1300</v>
      </c>
      <c r="V13" s="61">
        <v>105000000</v>
      </c>
      <c r="W13" s="1629">
        <v>81061000</v>
      </c>
      <c r="X13" s="329">
        <v>30370000</v>
      </c>
      <c r="Y13" s="3509">
        <v>20</v>
      </c>
      <c r="Z13" s="3303" t="s">
        <v>70</v>
      </c>
      <c r="AA13" s="3303">
        <v>294321</v>
      </c>
      <c r="AB13" s="3303">
        <v>294321</v>
      </c>
      <c r="AC13" s="3303">
        <v>283947</v>
      </c>
      <c r="AD13" s="3303">
        <v>283947</v>
      </c>
      <c r="AE13" s="3303">
        <v>135754</v>
      </c>
      <c r="AF13" s="3303">
        <v>135754</v>
      </c>
      <c r="AG13" s="3303">
        <v>44640</v>
      </c>
      <c r="AH13" s="3303">
        <v>44640</v>
      </c>
      <c r="AI13" s="3303">
        <v>308178</v>
      </c>
      <c r="AJ13" s="3303">
        <v>308178</v>
      </c>
      <c r="AK13" s="3303">
        <v>89696</v>
      </c>
      <c r="AL13" s="3303">
        <v>89696</v>
      </c>
      <c r="AM13" s="3303">
        <v>2145</v>
      </c>
      <c r="AN13" s="3303">
        <v>2145</v>
      </c>
      <c r="AO13" s="3303">
        <v>12718</v>
      </c>
      <c r="AP13" s="3303">
        <v>12718</v>
      </c>
      <c r="AQ13" s="3303">
        <v>26</v>
      </c>
      <c r="AR13" s="3303">
        <v>26</v>
      </c>
      <c r="AS13" s="3303">
        <v>37</v>
      </c>
      <c r="AT13" s="3303">
        <v>37</v>
      </c>
      <c r="AU13" s="3303">
        <v>0</v>
      </c>
      <c r="AV13" s="3303">
        <v>0</v>
      </c>
      <c r="AW13" s="3303">
        <v>0</v>
      </c>
      <c r="AX13" s="3303">
        <v>0</v>
      </c>
      <c r="AY13" s="3303">
        <v>52505</v>
      </c>
      <c r="AZ13" s="3303">
        <v>52505</v>
      </c>
      <c r="BA13" s="3303">
        <v>16897</v>
      </c>
      <c r="BB13" s="3303">
        <v>16897</v>
      </c>
      <c r="BC13" s="3303">
        <v>61646</v>
      </c>
      <c r="BD13" s="3303">
        <v>61646</v>
      </c>
      <c r="BE13" s="3303">
        <v>578268</v>
      </c>
      <c r="BF13" s="3303">
        <v>578268</v>
      </c>
      <c r="BG13" s="3303">
        <v>7</v>
      </c>
      <c r="BH13" s="3511">
        <v>81061000</v>
      </c>
      <c r="BI13" s="3511">
        <v>30370000</v>
      </c>
      <c r="BJ13" s="3513">
        <f>BI13/BH13</f>
        <v>0.37465612316650426</v>
      </c>
      <c r="BK13" s="3303" t="s">
        <v>70</v>
      </c>
      <c r="BL13" s="3303" t="s">
        <v>1301</v>
      </c>
      <c r="BM13" s="3308">
        <v>43832</v>
      </c>
      <c r="BN13" s="3308">
        <v>43857</v>
      </c>
      <c r="BO13" s="3308">
        <v>44196</v>
      </c>
      <c r="BP13" s="3308">
        <v>43640</v>
      </c>
      <c r="BQ13" s="3518" t="s">
        <v>1302</v>
      </c>
    </row>
    <row r="14" spans="1:69" s="1565" customFormat="1" ht="142.5" customHeight="1" x14ac:dyDescent="0.2">
      <c r="A14" s="3504"/>
      <c r="B14" s="3318"/>
      <c r="C14" s="3318"/>
      <c r="D14" s="3318"/>
      <c r="E14" s="3318"/>
      <c r="F14" s="3346"/>
      <c r="G14" s="2681"/>
      <c r="H14" s="2681"/>
      <c r="I14" s="3006"/>
      <c r="J14" s="3411"/>
      <c r="K14" s="3006"/>
      <c r="L14" s="3006"/>
      <c r="M14" s="3006"/>
      <c r="N14" s="3006"/>
      <c r="O14" s="3006"/>
      <c r="P14" s="3411"/>
      <c r="Q14" s="3506"/>
      <c r="R14" s="3414"/>
      <c r="S14" s="3508"/>
      <c r="T14" s="1648" t="s">
        <v>1303</v>
      </c>
      <c r="U14" s="1391" t="s">
        <v>1304</v>
      </c>
      <c r="V14" s="61">
        <v>195000000</v>
      </c>
      <c r="W14" s="1629"/>
      <c r="X14" s="329"/>
      <c r="Y14" s="3510"/>
      <c r="Z14" s="3006"/>
      <c r="AA14" s="3006"/>
      <c r="AB14" s="3006"/>
      <c r="AC14" s="3006"/>
      <c r="AD14" s="3006"/>
      <c r="AE14" s="3006"/>
      <c r="AF14" s="3006"/>
      <c r="AG14" s="3006"/>
      <c r="AH14" s="3006"/>
      <c r="AI14" s="3006"/>
      <c r="AJ14" s="3006"/>
      <c r="AK14" s="3006"/>
      <c r="AL14" s="3006"/>
      <c r="AM14" s="3006"/>
      <c r="AN14" s="3006"/>
      <c r="AO14" s="3006"/>
      <c r="AP14" s="3006"/>
      <c r="AQ14" s="3006"/>
      <c r="AR14" s="3006"/>
      <c r="AS14" s="3006"/>
      <c r="AT14" s="3006"/>
      <c r="AU14" s="3006"/>
      <c r="AV14" s="3006"/>
      <c r="AW14" s="3006"/>
      <c r="AX14" s="3006"/>
      <c r="AY14" s="3006"/>
      <c r="AZ14" s="3006"/>
      <c r="BA14" s="3006"/>
      <c r="BB14" s="3006"/>
      <c r="BC14" s="3006"/>
      <c r="BD14" s="3006"/>
      <c r="BE14" s="3006"/>
      <c r="BF14" s="3006"/>
      <c r="BG14" s="3006"/>
      <c r="BH14" s="3512"/>
      <c r="BI14" s="3512"/>
      <c r="BJ14" s="3514"/>
      <c r="BK14" s="3006"/>
      <c r="BL14" s="3006"/>
      <c r="BM14" s="3522"/>
      <c r="BN14" s="3522"/>
      <c r="BO14" s="3522"/>
      <c r="BP14" s="3522"/>
      <c r="BQ14" s="3519"/>
    </row>
    <row r="15" spans="1:69" s="1565" customFormat="1" ht="24.75" customHeight="1" x14ac:dyDescent="0.2">
      <c r="A15" s="3503"/>
      <c r="B15" s="2681"/>
      <c r="C15" s="2681"/>
      <c r="D15" s="1643">
        <v>28</v>
      </c>
      <c r="E15" s="1649" t="s">
        <v>1305</v>
      </c>
      <c r="F15" s="1650"/>
      <c r="G15" s="1651"/>
      <c r="H15" s="1651"/>
      <c r="I15" s="1651"/>
      <c r="J15" s="1651"/>
      <c r="K15" s="1651"/>
      <c r="L15" s="1651"/>
      <c r="M15" s="1651"/>
      <c r="N15" s="1651"/>
      <c r="O15" s="1651"/>
      <c r="P15" s="1651"/>
      <c r="Q15" s="1651"/>
      <c r="R15" s="1651"/>
      <c r="S15" s="1651"/>
      <c r="T15" s="1651"/>
      <c r="U15" s="1651"/>
      <c r="V15" s="1652"/>
      <c r="W15" s="1652"/>
      <c r="X15" s="1652"/>
      <c r="Y15" s="1651"/>
      <c r="Z15" s="1651"/>
      <c r="AA15" s="1651"/>
      <c r="AB15" s="1651"/>
      <c r="AC15" s="1651"/>
      <c r="AD15" s="1651"/>
      <c r="AE15" s="1651"/>
      <c r="AF15" s="1651"/>
      <c r="AG15" s="1651"/>
      <c r="AH15" s="1651"/>
      <c r="AI15" s="1651"/>
      <c r="AJ15" s="1651"/>
      <c r="AK15" s="1651"/>
      <c r="AL15" s="1651"/>
      <c r="AM15" s="1651"/>
      <c r="AN15" s="1651"/>
      <c r="AO15" s="1651"/>
      <c r="AP15" s="1651"/>
      <c r="AQ15" s="1651"/>
      <c r="AR15" s="1651"/>
      <c r="AS15" s="1651"/>
      <c r="AT15" s="1651"/>
      <c r="AU15" s="1651"/>
      <c r="AV15" s="1651"/>
      <c r="AW15" s="1651"/>
      <c r="AX15" s="1651"/>
      <c r="AY15" s="1651"/>
      <c r="AZ15" s="1651"/>
      <c r="BA15" s="1651"/>
      <c r="BB15" s="1651"/>
      <c r="BC15" s="1651"/>
      <c r="BD15" s="1651"/>
      <c r="BE15" s="1651"/>
      <c r="BF15" s="1651"/>
      <c r="BG15" s="1651"/>
      <c r="BH15" s="1652"/>
      <c r="BI15" s="1652"/>
      <c r="BJ15" s="1653"/>
      <c r="BK15" s="1651"/>
      <c r="BL15" s="1651"/>
      <c r="BM15" s="1651"/>
      <c r="BN15" s="1651"/>
      <c r="BO15" s="1651"/>
      <c r="BP15" s="1651"/>
      <c r="BQ15" s="1654"/>
    </row>
    <row r="16" spans="1:69" s="1595" customFormat="1" ht="22.5" customHeight="1" x14ac:dyDescent="0.25">
      <c r="A16" s="3504"/>
      <c r="B16" s="2681"/>
      <c r="C16" s="2681"/>
      <c r="D16" s="2681"/>
      <c r="E16" s="2681"/>
      <c r="F16" s="1561">
        <v>89</v>
      </c>
      <c r="G16" s="1655" t="s">
        <v>1306</v>
      </c>
      <c r="H16" s="1563"/>
      <c r="I16" s="1562"/>
      <c r="J16" s="1562"/>
      <c r="K16" s="1562"/>
      <c r="L16" s="1562"/>
      <c r="M16" s="1562"/>
      <c r="N16" s="1562"/>
      <c r="O16" s="1562"/>
      <c r="P16" s="1562"/>
      <c r="Q16" s="1562"/>
      <c r="R16" s="1562"/>
      <c r="S16" s="1562"/>
      <c r="T16" s="1562"/>
      <c r="U16" s="1562"/>
      <c r="V16" s="1656"/>
      <c r="W16" s="1656"/>
      <c r="X16" s="1656"/>
      <c r="Y16" s="1562"/>
      <c r="Z16" s="1562"/>
      <c r="AA16" s="1562"/>
      <c r="AB16" s="1562"/>
      <c r="AC16" s="1562"/>
      <c r="AD16" s="1562"/>
      <c r="AE16" s="1562"/>
      <c r="AF16" s="1562"/>
      <c r="AG16" s="1562"/>
      <c r="AH16" s="1562"/>
      <c r="AI16" s="1562"/>
      <c r="AJ16" s="1562"/>
      <c r="AK16" s="1562"/>
      <c r="AL16" s="1562"/>
      <c r="AM16" s="1562"/>
      <c r="AN16" s="1562"/>
      <c r="AO16" s="1562"/>
      <c r="AP16" s="1562"/>
      <c r="AQ16" s="1562"/>
      <c r="AR16" s="1562"/>
      <c r="AS16" s="1562"/>
      <c r="AT16" s="1562"/>
      <c r="AU16" s="1562"/>
      <c r="AV16" s="1562"/>
      <c r="AW16" s="1562"/>
      <c r="AX16" s="1562"/>
      <c r="AY16" s="1562"/>
      <c r="AZ16" s="1562"/>
      <c r="BA16" s="1562"/>
      <c r="BB16" s="1562"/>
      <c r="BC16" s="1562"/>
      <c r="BD16" s="1562"/>
      <c r="BE16" s="1562"/>
      <c r="BF16" s="1562"/>
      <c r="BG16" s="1562"/>
      <c r="BH16" s="1656"/>
      <c r="BI16" s="1656"/>
      <c r="BJ16" s="1657"/>
      <c r="BK16" s="1562"/>
      <c r="BL16" s="1562"/>
      <c r="BM16" s="1562"/>
      <c r="BN16" s="1562"/>
      <c r="BO16" s="1562"/>
      <c r="BP16" s="1562"/>
      <c r="BQ16" s="1647"/>
    </row>
    <row r="17" spans="1:69" ht="89.25" customHeight="1" x14ac:dyDescent="0.2">
      <c r="A17" s="3504"/>
      <c r="B17" s="2681"/>
      <c r="C17" s="2681"/>
      <c r="D17" s="2681"/>
      <c r="E17" s="2681"/>
      <c r="F17" s="3318"/>
      <c r="G17" s="2681"/>
      <c r="H17" s="2681"/>
      <c r="I17" s="3303">
        <v>288</v>
      </c>
      <c r="J17" s="3333" t="s">
        <v>1307</v>
      </c>
      <c r="K17" s="3303" t="s">
        <v>1308</v>
      </c>
      <c r="L17" s="3303"/>
      <c r="M17" s="3303"/>
      <c r="N17" s="3303" t="s">
        <v>1309</v>
      </c>
      <c r="O17" s="3303" t="s">
        <v>1310</v>
      </c>
      <c r="P17" s="3333" t="s">
        <v>1311</v>
      </c>
      <c r="Q17" s="3326">
        <v>1</v>
      </c>
      <c r="R17" s="3328">
        <v>581744000</v>
      </c>
      <c r="S17" s="3507" t="s">
        <v>1312</v>
      </c>
      <c r="T17" s="3302" t="s">
        <v>1313</v>
      </c>
      <c r="U17" s="1391" t="s">
        <v>1314</v>
      </c>
      <c r="V17" s="61">
        <v>331744000</v>
      </c>
      <c r="W17" s="1629"/>
      <c r="X17" s="329"/>
      <c r="Y17" s="3509">
        <v>20</v>
      </c>
      <c r="Z17" s="3303" t="s">
        <v>70</v>
      </c>
      <c r="AA17" s="3303">
        <v>294321</v>
      </c>
      <c r="AB17" s="3303">
        <v>294321</v>
      </c>
      <c r="AC17" s="3303">
        <v>283947</v>
      </c>
      <c r="AD17" s="3303">
        <v>283947</v>
      </c>
      <c r="AE17" s="3303">
        <v>135754</v>
      </c>
      <c r="AF17" s="3303">
        <v>135754</v>
      </c>
      <c r="AG17" s="3303">
        <v>44640</v>
      </c>
      <c r="AH17" s="3303">
        <v>44640</v>
      </c>
      <c r="AI17" s="3303">
        <v>308178</v>
      </c>
      <c r="AJ17" s="3303">
        <v>308178</v>
      </c>
      <c r="AK17" s="3303">
        <v>89696</v>
      </c>
      <c r="AL17" s="3303">
        <v>89696</v>
      </c>
      <c r="AM17" s="3303">
        <v>2145</v>
      </c>
      <c r="AN17" s="3303">
        <v>2145</v>
      </c>
      <c r="AO17" s="3303">
        <v>12718</v>
      </c>
      <c r="AP17" s="3303">
        <v>12718</v>
      </c>
      <c r="AQ17" s="3303">
        <v>26</v>
      </c>
      <c r="AR17" s="3303">
        <v>26</v>
      </c>
      <c r="AS17" s="3303">
        <v>37</v>
      </c>
      <c r="AT17" s="3303">
        <v>37</v>
      </c>
      <c r="AU17" s="3303">
        <v>0</v>
      </c>
      <c r="AV17" s="3303">
        <v>0</v>
      </c>
      <c r="AW17" s="3303">
        <v>0</v>
      </c>
      <c r="AX17" s="3303">
        <v>0</v>
      </c>
      <c r="AY17" s="3303">
        <v>52505</v>
      </c>
      <c r="AZ17" s="3303">
        <v>52505</v>
      </c>
      <c r="BA17" s="3303">
        <v>16897</v>
      </c>
      <c r="BB17" s="3303">
        <v>16897</v>
      </c>
      <c r="BC17" s="3303">
        <v>61646</v>
      </c>
      <c r="BD17" s="3303">
        <v>61646</v>
      </c>
      <c r="BE17" s="3303">
        <v>578268</v>
      </c>
      <c r="BF17" s="3303">
        <v>578268</v>
      </c>
      <c r="BG17" s="3303">
        <v>13</v>
      </c>
      <c r="BH17" s="3511">
        <v>113725000</v>
      </c>
      <c r="BI17" s="3511">
        <v>43942000</v>
      </c>
      <c r="BJ17" s="3513">
        <f>+BI17/BH17</f>
        <v>0.38638821719059135</v>
      </c>
      <c r="BK17" s="3303" t="s">
        <v>70</v>
      </c>
      <c r="BL17" s="3303" t="s">
        <v>1315</v>
      </c>
      <c r="BM17" s="3308">
        <v>43832</v>
      </c>
      <c r="BN17" s="3308">
        <v>43871</v>
      </c>
      <c r="BO17" s="3308">
        <v>44196</v>
      </c>
      <c r="BP17" s="3308">
        <v>43640</v>
      </c>
      <c r="BQ17" s="3518" t="s">
        <v>1302</v>
      </c>
    </row>
    <row r="18" spans="1:69" ht="67.5" customHeight="1" x14ac:dyDescent="0.2">
      <c r="A18" s="3504"/>
      <c r="B18" s="2681"/>
      <c r="C18" s="2681"/>
      <c r="D18" s="2681"/>
      <c r="E18" s="2681"/>
      <c r="F18" s="3319"/>
      <c r="G18" s="2681"/>
      <c r="H18" s="2681"/>
      <c r="I18" s="2625"/>
      <c r="J18" s="2475"/>
      <c r="K18" s="2625"/>
      <c r="L18" s="2625"/>
      <c r="M18" s="2625"/>
      <c r="N18" s="2625"/>
      <c r="O18" s="2625"/>
      <c r="P18" s="2475"/>
      <c r="Q18" s="3327"/>
      <c r="R18" s="3329"/>
      <c r="S18" s="3524"/>
      <c r="T18" s="3010"/>
      <c r="U18" s="1391" t="s">
        <v>1316</v>
      </c>
      <c r="V18" s="61">
        <v>70000000</v>
      </c>
      <c r="W18" s="1629"/>
      <c r="X18" s="329"/>
      <c r="Y18" s="3526"/>
      <c r="Z18" s="2625"/>
      <c r="AA18" s="2625"/>
      <c r="AB18" s="2625"/>
      <c r="AC18" s="2625"/>
      <c r="AD18" s="2625"/>
      <c r="AE18" s="2625"/>
      <c r="AF18" s="2625"/>
      <c r="AG18" s="2625"/>
      <c r="AH18" s="2625"/>
      <c r="AI18" s="2625"/>
      <c r="AJ18" s="2625"/>
      <c r="AK18" s="2625"/>
      <c r="AL18" s="2625"/>
      <c r="AM18" s="2625"/>
      <c r="AN18" s="2625"/>
      <c r="AO18" s="2625"/>
      <c r="AP18" s="2625"/>
      <c r="AQ18" s="2625"/>
      <c r="AR18" s="2625"/>
      <c r="AS18" s="2625"/>
      <c r="AT18" s="2625"/>
      <c r="AU18" s="2625"/>
      <c r="AV18" s="2625"/>
      <c r="AW18" s="2625"/>
      <c r="AX18" s="2625"/>
      <c r="AY18" s="2625"/>
      <c r="AZ18" s="2625"/>
      <c r="BA18" s="2625"/>
      <c r="BB18" s="2625"/>
      <c r="BC18" s="2625"/>
      <c r="BD18" s="2625"/>
      <c r="BE18" s="2625"/>
      <c r="BF18" s="2625"/>
      <c r="BG18" s="2625"/>
      <c r="BH18" s="2649"/>
      <c r="BI18" s="2649"/>
      <c r="BJ18" s="2628"/>
      <c r="BK18" s="2625"/>
      <c r="BL18" s="2625"/>
      <c r="BM18" s="3309"/>
      <c r="BN18" s="3309"/>
      <c r="BO18" s="3309"/>
      <c r="BP18" s="3309"/>
      <c r="BQ18" s="3529"/>
    </row>
    <row r="19" spans="1:69" ht="72" customHeight="1" thickBot="1" x14ac:dyDescent="0.25">
      <c r="A19" s="3520"/>
      <c r="B19" s="3521"/>
      <c r="C19" s="3521"/>
      <c r="D19" s="3521"/>
      <c r="E19" s="3521"/>
      <c r="F19" s="3374"/>
      <c r="G19" s="3521"/>
      <c r="H19" s="3521"/>
      <c r="I19" s="3515"/>
      <c r="J19" s="3516"/>
      <c r="K19" s="3515"/>
      <c r="L19" s="3515"/>
      <c r="M19" s="3515"/>
      <c r="N19" s="3515"/>
      <c r="O19" s="3515"/>
      <c r="P19" s="3516"/>
      <c r="Q19" s="3517"/>
      <c r="R19" s="3523"/>
      <c r="S19" s="3525"/>
      <c r="T19" s="1658" t="s">
        <v>1317</v>
      </c>
      <c r="U19" s="1659" t="s">
        <v>1318</v>
      </c>
      <c r="V19" s="1660">
        <v>180000000</v>
      </c>
      <c r="W19" s="1630">
        <v>113725000</v>
      </c>
      <c r="X19" s="1631">
        <v>43942000</v>
      </c>
      <c r="Y19" s="3527"/>
      <c r="Z19" s="3515"/>
      <c r="AA19" s="3515"/>
      <c r="AB19" s="3515"/>
      <c r="AC19" s="3515"/>
      <c r="AD19" s="3515"/>
      <c r="AE19" s="3515"/>
      <c r="AF19" s="3515"/>
      <c r="AG19" s="3515"/>
      <c r="AH19" s="3515"/>
      <c r="AI19" s="3515"/>
      <c r="AJ19" s="3515"/>
      <c r="AK19" s="3515"/>
      <c r="AL19" s="3515"/>
      <c r="AM19" s="3515"/>
      <c r="AN19" s="3515"/>
      <c r="AO19" s="3515"/>
      <c r="AP19" s="3515"/>
      <c r="AQ19" s="3515"/>
      <c r="AR19" s="3515"/>
      <c r="AS19" s="3515"/>
      <c r="AT19" s="3515"/>
      <c r="AU19" s="3515"/>
      <c r="AV19" s="3515"/>
      <c r="AW19" s="3515"/>
      <c r="AX19" s="3515"/>
      <c r="AY19" s="3515"/>
      <c r="AZ19" s="3515"/>
      <c r="BA19" s="3515"/>
      <c r="BB19" s="3515"/>
      <c r="BC19" s="3515"/>
      <c r="BD19" s="3515"/>
      <c r="BE19" s="3515"/>
      <c r="BF19" s="3515"/>
      <c r="BG19" s="3515"/>
      <c r="BH19" s="3531"/>
      <c r="BI19" s="3531"/>
      <c r="BJ19" s="3532"/>
      <c r="BK19" s="3515"/>
      <c r="BL19" s="3515"/>
      <c r="BM19" s="3528"/>
      <c r="BN19" s="3528"/>
      <c r="BO19" s="3528"/>
      <c r="BP19" s="3528"/>
      <c r="BQ19" s="3530"/>
    </row>
    <row r="20" spans="1:69" s="1111" customFormat="1" ht="36" customHeight="1" thickBot="1" x14ac:dyDescent="0.3">
      <c r="A20" s="1661"/>
      <c r="B20" s="1662"/>
      <c r="C20" s="1662"/>
      <c r="D20" s="1662"/>
      <c r="E20" s="1662"/>
      <c r="F20" s="1662"/>
      <c r="G20" s="1662"/>
      <c r="H20" s="1662"/>
      <c r="I20" s="1662"/>
      <c r="J20" s="1662"/>
      <c r="K20" s="1662"/>
      <c r="L20" s="1662"/>
      <c r="M20" s="1662"/>
      <c r="N20" s="1662"/>
      <c r="O20" s="1662"/>
      <c r="P20" s="1662"/>
      <c r="Q20" s="1662"/>
      <c r="R20" s="1662"/>
      <c r="S20" s="1662"/>
      <c r="T20" s="1662"/>
      <c r="U20" s="1663"/>
      <c r="V20" s="1664">
        <f>SUM(V13:V19)</f>
        <v>881744000</v>
      </c>
      <c r="W20" s="1664">
        <f t="shared" ref="W20:X20" si="0">SUM(W13:W19)</f>
        <v>194786000</v>
      </c>
      <c r="X20" s="1664">
        <f t="shared" si="0"/>
        <v>74312000</v>
      </c>
      <c r="Y20" s="1661"/>
      <c r="Z20" s="1662"/>
      <c r="AA20" s="1662"/>
      <c r="AB20" s="1662"/>
      <c r="AC20" s="1662"/>
      <c r="AD20" s="1662"/>
      <c r="AE20" s="1662"/>
      <c r="AF20" s="1662"/>
      <c r="AG20" s="1662"/>
      <c r="AH20" s="1662"/>
      <c r="AI20" s="1662"/>
      <c r="AJ20" s="1662"/>
      <c r="AK20" s="1662"/>
      <c r="AL20" s="1662"/>
      <c r="AM20" s="1662"/>
      <c r="AN20" s="1662"/>
      <c r="AO20" s="1662"/>
      <c r="AP20" s="1662"/>
      <c r="AQ20" s="1662"/>
      <c r="AR20" s="1662"/>
      <c r="AS20" s="1662"/>
      <c r="AT20" s="1662"/>
      <c r="AU20" s="1662"/>
      <c r="AV20" s="1662"/>
      <c r="AW20" s="1662"/>
      <c r="AX20" s="1662"/>
      <c r="AY20" s="1662"/>
      <c r="AZ20" s="1662"/>
      <c r="BA20" s="1662"/>
      <c r="BB20" s="1662"/>
      <c r="BC20" s="1662"/>
      <c r="BD20" s="1662"/>
      <c r="BE20" s="1662"/>
      <c r="BF20" s="1662"/>
      <c r="BG20" s="1662"/>
      <c r="BH20" s="1665">
        <f>SUM(BH13:BH19)</f>
        <v>194786000</v>
      </c>
      <c r="BI20" s="1665">
        <f>SUM(BI13:BI19)</f>
        <v>74312000</v>
      </c>
      <c r="BJ20" s="361">
        <f>BI20/BH20</f>
        <v>0.3815058577105131</v>
      </c>
      <c r="BK20" s="1662"/>
      <c r="BL20" s="1662"/>
      <c r="BM20" s="1662"/>
      <c r="BN20" s="1662"/>
      <c r="BO20" s="1662"/>
      <c r="BP20" s="1662"/>
      <c r="BQ20" s="1663"/>
    </row>
    <row r="21" spans="1:69" ht="93" customHeight="1" x14ac:dyDescent="0.2"/>
    <row r="23" spans="1:69" ht="14.25" customHeight="1" x14ac:dyDescent="0.25">
      <c r="L23" s="1666"/>
      <c r="M23" s="1666"/>
      <c r="N23" s="1667"/>
      <c r="O23" s="1667"/>
    </row>
    <row r="24" spans="1:69" ht="14.25" customHeight="1" x14ac:dyDescent="0.25">
      <c r="L24" s="1111" t="s">
        <v>95</v>
      </c>
      <c r="M24" s="1111"/>
      <c r="N24" s="1111"/>
    </row>
  </sheetData>
  <sheetProtection algorithmName="SHA-512" hashValue="mXhHmebYyIxt/P4MFoCgTNUXgbaPhKzETSjuuums0Gogb6sOog/RvwKTm9SrwbIYAvBx0rZuw6CurC0mQy0PDw==" saltValue="NUaBQD/dmSEURoG5SFAJTQ==" spinCount="100000" sheet="1" objects="1" scenarios="1"/>
  <mergeCells count="182">
    <mergeCell ref="BL17:BL19"/>
    <mergeCell ref="BM17:BM19"/>
    <mergeCell ref="BN17:BN19"/>
    <mergeCell ref="BO17:BO19"/>
    <mergeCell ref="BP17:BP19"/>
    <mergeCell ref="BQ17:BQ19"/>
    <mergeCell ref="BF17:BF19"/>
    <mergeCell ref="BG17:BG19"/>
    <mergeCell ref="BH17:BH19"/>
    <mergeCell ref="BI17:BI19"/>
    <mergeCell ref="BJ17:BJ19"/>
    <mergeCell ref="BK17:BK19"/>
    <mergeCell ref="AZ17:AZ19"/>
    <mergeCell ref="BA17:BA19"/>
    <mergeCell ref="BB17:BB19"/>
    <mergeCell ref="BC17:BC19"/>
    <mergeCell ref="BD17:BD19"/>
    <mergeCell ref="BE17:BE19"/>
    <mergeCell ref="AT17:AT19"/>
    <mergeCell ref="AU17:AU19"/>
    <mergeCell ref="AV17:AV19"/>
    <mergeCell ref="AW17:AW19"/>
    <mergeCell ref="AX17:AX19"/>
    <mergeCell ref="AY17:AY19"/>
    <mergeCell ref="AN17:AN19"/>
    <mergeCell ref="AO17:AO19"/>
    <mergeCell ref="AP17:AP19"/>
    <mergeCell ref="AQ17:AQ19"/>
    <mergeCell ref="AR17:AR19"/>
    <mergeCell ref="AS17:AS19"/>
    <mergeCell ref="AH17:AH19"/>
    <mergeCell ref="AI17:AI19"/>
    <mergeCell ref="AJ17:AJ19"/>
    <mergeCell ref="AK17:AK19"/>
    <mergeCell ref="AL17:AL19"/>
    <mergeCell ref="AM17:AM19"/>
    <mergeCell ref="AB17:AB19"/>
    <mergeCell ref="AC17:AC19"/>
    <mergeCell ref="AD17:AD19"/>
    <mergeCell ref="AE17:AE19"/>
    <mergeCell ref="AF17:AF19"/>
    <mergeCell ref="AG17:AG19"/>
    <mergeCell ref="R17:R19"/>
    <mergeCell ref="S17:S19"/>
    <mergeCell ref="T17:T18"/>
    <mergeCell ref="Y17:Y19"/>
    <mergeCell ref="Z17:Z19"/>
    <mergeCell ref="AA17:AA19"/>
    <mergeCell ref="L17:L19"/>
    <mergeCell ref="M17:M19"/>
    <mergeCell ref="N17:N19"/>
    <mergeCell ref="O17:O19"/>
    <mergeCell ref="P17:P19"/>
    <mergeCell ref="Q17:Q19"/>
    <mergeCell ref="BQ13:BQ14"/>
    <mergeCell ref="A15:A19"/>
    <mergeCell ref="B15:C19"/>
    <mergeCell ref="D16:D19"/>
    <mergeCell ref="E16:E19"/>
    <mergeCell ref="F17:F19"/>
    <mergeCell ref="G17:H19"/>
    <mergeCell ref="I17:I19"/>
    <mergeCell ref="J17:J19"/>
    <mergeCell ref="K17:K19"/>
    <mergeCell ref="BK13:BK14"/>
    <mergeCell ref="BL13:BL14"/>
    <mergeCell ref="BM13:BM14"/>
    <mergeCell ref="BN13:BN14"/>
    <mergeCell ref="BO13:BO14"/>
    <mergeCell ref="BP13:BP14"/>
    <mergeCell ref="BE13:BE14"/>
    <mergeCell ref="BF13:BF14"/>
    <mergeCell ref="BG13:BG14"/>
    <mergeCell ref="BH13:BH14"/>
    <mergeCell ref="BI13:BI14"/>
    <mergeCell ref="BJ13:BJ14"/>
    <mergeCell ref="AY13:AY14"/>
    <mergeCell ref="AZ13:AZ14"/>
    <mergeCell ref="BA13:BA14"/>
    <mergeCell ref="BB13:BB14"/>
    <mergeCell ref="BC13:BC14"/>
    <mergeCell ref="BD13:BD14"/>
    <mergeCell ref="AT13:AT14"/>
    <mergeCell ref="AU13:AU14"/>
    <mergeCell ref="AV13:AV14"/>
    <mergeCell ref="AW13:AW14"/>
    <mergeCell ref="AX13:AX14"/>
    <mergeCell ref="AM13:AM14"/>
    <mergeCell ref="AN13:AN14"/>
    <mergeCell ref="AO13:AO14"/>
    <mergeCell ref="AP13:AP14"/>
    <mergeCell ref="AQ13:AQ14"/>
    <mergeCell ref="AR13:AR14"/>
    <mergeCell ref="AK13:AK14"/>
    <mergeCell ref="AL13:AL14"/>
    <mergeCell ref="AA13:AA14"/>
    <mergeCell ref="AB13:AB14"/>
    <mergeCell ref="AC13:AC14"/>
    <mergeCell ref="AD13:AD14"/>
    <mergeCell ref="AE13:AE14"/>
    <mergeCell ref="AF13:AF14"/>
    <mergeCell ref="AS13:AS14"/>
    <mergeCell ref="K13:K14"/>
    <mergeCell ref="L13:L14"/>
    <mergeCell ref="M13:M14"/>
    <mergeCell ref="N13:N14"/>
    <mergeCell ref="O13:O14"/>
    <mergeCell ref="AG13:AG14"/>
    <mergeCell ref="AH13:AH14"/>
    <mergeCell ref="AI13:AI14"/>
    <mergeCell ref="AJ13:AJ14"/>
    <mergeCell ref="A11:A14"/>
    <mergeCell ref="B11:C14"/>
    <mergeCell ref="D12:D14"/>
    <mergeCell ref="E12:E14"/>
    <mergeCell ref="F13:F14"/>
    <mergeCell ref="G13:H14"/>
    <mergeCell ref="I13:I14"/>
    <mergeCell ref="BA8:BB8"/>
    <mergeCell ref="BC8:BD8"/>
    <mergeCell ref="U7:U9"/>
    <mergeCell ref="V7:X8"/>
    <mergeCell ref="Y7:Y9"/>
    <mergeCell ref="Z7:Z9"/>
    <mergeCell ref="O7:O9"/>
    <mergeCell ref="P7:P9"/>
    <mergeCell ref="Q7:Q9"/>
    <mergeCell ref="R7:R9"/>
    <mergeCell ref="P13:P14"/>
    <mergeCell ref="Q13:Q14"/>
    <mergeCell ref="R13:R14"/>
    <mergeCell ref="S13:S14"/>
    <mergeCell ref="Y13:Y14"/>
    <mergeCell ref="Z13:Z14"/>
    <mergeCell ref="J13:J14"/>
    <mergeCell ref="BO7:BP8"/>
    <mergeCell ref="AS8:AT8"/>
    <mergeCell ref="AU8:AV8"/>
    <mergeCell ref="AW8:AX8"/>
    <mergeCell ref="AY8:AZ8"/>
    <mergeCell ref="AA7:AD7"/>
    <mergeCell ref="AE7:AL7"/>
    <mergeCell ref="BJ8:BJ9"/>
    <mergeCell ref="BK8:BK9"/>
    <mergeCell ref="BL8:BL9"/>
    <mergeCell ref="BE8:BF8"/>
    <mergeCell ref="BG8:BG9"/>
    <mergeCell ref="BH8:BH9"/>
    <mergeCell ref="BI8:BI9"/>
    <mergeCell ref="AK8:AL8"/>
    <mergeCell ref="AM8:AN8"/>
    <mergeCell ref="AO8:AP8"/>
    <mergeCell ref="AQ8:AR8"/>
    <mergeCell ref="AM7:AX7"/>
    <mergeCell ref="AY7:BD7"/>
    <mergeCell ref="BE7:BF7"/>
    <mergeCell ref="BG7:BL7"/>
    <mergeCell ref="BM7:BN8"/>
    <mergeCell ref="S7:S9"/>
    <mergeCell ref="T7:T9"/>
    <mergeCell ref="G7:H9"/>
    <mergeCell ref="I7:I9"/>
    <mergeCell ref="J7:J9"/>
    <mergeCell ref="K7:K9"/>
    <mergeCell ref="L7:M8"/>
    <mergeCell ref="N7:N9"/>
    <mergeCell ref="A1:BM4"/>
    <mergeCell ref="A5:L6"/>
    <mergeCell ref="P5:BQ5"/>
    <mergeCell ref="P6:Z6"/>
    <mergeCell ref="BM6:BQ6"/>
    <mergeCell ref="A7:A9"/>
    <mergeCell ref="B7:C9"/>
    <mergeCell ref="D7:D9"/>
    <mergeCell ref="E7:E9"/>
    <mergeCell ref="F7:F9"/>
    <mergeCell ref="BQ7:BQ9"/>
    <mergeCell ref="AA8:AB8"/>
    <mergeCell ref="AC8:AD8"/>
    <mergeCell ref="AE8:AF8"/>
    <mergeCell ref="AG8:AH8"/>
    <mergeCell ref="AI8:AJ8"/>
  </mergeCells>
  <pageMargins left="1.1023622047244095" right="0" top="0.74803149606299213" bottom="0.74803149606299213" header="0.31496062992125984" footer="0.31496062992125984"/>
  <pageSetup paperSize="258" scale="55"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H88"/>
  <sheetViews>
    <sheetView showGridLines="0" zoomScale="60" zoomScaleNormal="60" workbookViewId="0">
      <selection activeCell="A6" sqref="A6:A7"/>
    </sheetView>
  </sheetViews>
  <sheetFormatPr baseColWidth="10" defaultColWidth="11.42578125" defaultRowHeight="15" x14ac:dyDescent="0.2"/>
  <cols>
    <col min="1" max="1" width="17" style="2025" customWidth="1"/>
    <col min="2" max="2" width="12.42578125" style="2025" customWidth="1"/>
    <col min="3" max="3" width="15.85546875" style="2025" customWidth="1"/>
    <col min="4" max="4" width="15.42578125" style="2025" customWidth="1"/>
    <col min="5" max="5" width="7.5703125" style="2025" customWidth="1"/>
    <col min="6" max="6" width="10.28515625" style="2025" customWidth="1"/>
    <col min="7" max="7" width="14.28515625" style="2025" customWidth="1"/>
    <col min="8" max="8" width="12.140625" style="2025" customWidth="1"/>
    <col min="9" max="9" width="15.42578125" style="2025" customWidth="1"/>
    <col min="10" max="10" width="12.85546875" style="2025" customWidth="1"/>
    <col min="11" max="11" width="61.7109375" style="2025" customWidth="1"/>
    <col min="12" max="12" width="45.42578125" style="2025" customWidth="1"/>
    <col min="13" max="13" width="26.5703125" style="2025" hidden="1" customWidth="1"/>
    <col min="14" max="14" width="44.85546875" style="2353" customWidth="1"/>
    <col min="15" max="15" width="20.85546875" style="2025" customWidth="1"/>
    <col min="16" max="16" width="39.5703125" style="2025" customWidth="1"/>
    <col min="17" max="17" width="37.85546875" style="2025" customWidth="1"/>
    <col min="18" max="18" width="38.7109375" style="2025" customWidth="1"/>
    <col min="19" max="19" width="47.85546875" style="2025" customWidth="1"/>
    <col min="20" max="20" width="74.28515625" style="2025" customWidth="1"/>
    <col min="21" max="21" width="53" style="2025" customWidth="1"/>
    <col min="22" max="22" width="30.42578125" style="2025" bestFit="1" customWidth="1"/>
    <col min="23" max="24" width="30.42578125" style="2025" customWidth="1"/>
    <col min="25" max="25" width="16.140625" style="2357" customWidth="1"/>
    <col min="26" max="26" width="24.140625" style="2358" customWidth="1"/>
    <col min="27" max="58" width="9.42578125" style="2025" customWidth="1"/>
    <col min="59" max="59" width="19.85546875" style="2025" customWidth="1"/>
    <col min="60" max="61" width="38.140625" style="2025" customWidth="1"/>
    <col min="62" max="62" width="17" style="2025" customWidth="1"/>
    <col min="63" max="63" width="24.85546875" style="2025" customWidth="1"/>
    <col min="64" max="64" width="20.42578125" style="2025" customWidth="1"/>
    <col min="65" max="65" width="18.140625" style="2025" customWidth="1"/>
    <col min="66" max="66" width="17.85546875" style="2025" customWidth="1"/>
    <col min="67" max="67" width="19.42578125" style="2025" customWidth="1"/>
    <col min="68" max="68" width="17.42578125" style="2025" customWidth="1"/>
    <col min="69" max="69" width="24.42578125" style="2025" customWidth="1"/>
    <col min="70" max="79" width="14.85546875" style="2025" customWidth="1"/>
    <col min="80" max="16384" width="11.42578125" style="2025"/>
  </cols>
  <sheetData>
    <row r="1" spans="1:86" ht="28.5" customHeight="1" x14ac:dyDescent="0.25">
      <c r="A1" s="3537" t="s">
        <v>2063</v>
      </c>
      <c r="B1" s="3537"/>
      <c r="C1" s="3537"/>
      <c r="D1" s="3537"/>
      <c r="E1" s="3537"/>
      <c r="F1" s="3537"/>
      <c r="G1" s="3537"/>
      <c r="H1" s="3537"/>
      <c r="I1" s="3537"/>
      <c r="J1" s="3537"/>
      <c r="K1" s="3537"/>
      <c r="L1" s="3537"/>
      <c r="M1" s="3537"/>
      <c r="N1" s="3537"/>
      <c r="O1" s="3537"/>
      <c r="P1" s="3537"/>
      <c r="Q1" s="3537"/>
      <c r="R1" s="3537"/>
      <c r="S1" s="3537"/>
      <c r="T1" s="3537"/>
      <c r="U1" s="3537"/>
      <c r="V1" s="3537"/>
      <c r="W1" s="3537"/>
      <c r="X1" s="3537"/>
      <c r="Y1" s="3537"/>
      <c r="Z1" s="3537"/>
      <c r="AA1" s="3537"/>
      <c r="AB1" s="3537"/>
      <c r="AC1" s="3537"/>
      <c r="AD1" s="3537"/>
      <c r="AE1" s="3537"/>
      <c r="AF1" s="3537"/>
      <c r="AG1" s="3537"/>
      <c r="AH1" s="3537"/>
      <c r="AI1" s="3537"/>
      <c r="AJ1" s="3537"/>
      <c r="AK1" s="3537"/>
      <c r="AL1" s="3537"/>
      <c r="AM1" s="3537"/>
      <c r="AN1" s="3537"/>
      <c r="AO1" s="3537"/>
      <c r="AP1" s="3537"/>
      <c r="AQ1" s="3537"/>
      <c r="AR1" s="3537"/>
      <c r="AS1" s="3537"/>
      <c r="AT1" s="3537"/>
      <c r="AU1" s="3537"/>
      <c r="AV1" s="3537"/>
      <c r="AW1" s="3537"/>
      <c r="AX1" s="3537"/>
      <c r="AY1" s="3537"/>
      <c r="AZ1" s="3537"/>
      <c r="BA1" s="3537"/>
      <c r="BB1" s="3537"/>
      <c r="BC1" s="3537"/>
      <c r="BD1" s="3537"/>
      <c r="BE1" s="3537"/>
      <c r="BF1" s="3537"/>
      <c r="BG1" s="3537"/>
      <c r="BH1" s="3537"/>
      <c r="BI1" s="3537"/>
      <c r="BJ1" s="3537"/>
      <c r="BK1" s="3537"/>
      <c r="BL1" s="3537"/>
      <c r="BM1" s="3537"/>
      <c r="BN1" s="3537"/>
      <c r="BO1" s="3538"/>
      <c r="BP1" s="500" t="s">
        <v>9</v>
      </c>
      <c r="BQ1" s="501" t="s">
        <v>1</v>
      </c>
    </row>
    <row r="2" spans="1:86" ht="28.5" customHeight="1" x14ac:dyDescent="0.25">
      <c r="A2" s="3537"/>
      <c r="B2" s="3537"/>
      <c r="C2" s="3537"/>
      <c r="D2" s="3537"/>
      <c r="E2" s="3537"/>
      <c r="F2" s="3537"/>
      <c r="G2" s="3537"/>
      <c r="H2" s="3537"/>
      <c r="I2" s="3537"/>
      <c r="J2" s="3537"/>
      <c r="K2" s="3537"/>
      <c r="L2" s="3537"/>
      <c r="M2" s="3537"/>
      <c r="N2" s="3537"/>
      <c r="O2" s="3537"/>
      <c r="P2" s="3537"/>
      <c r="Q2" s="3537"/>
      <c r="R2" s="3537"/>
      <c r="S2" s="3537"/>
      <c r="T2" s="3537"/>
      <c r="U2" s="3537"/>
      <c r="V2" s="3537"/>
      <c r="W2" s="3537"/>
      <c r="X2" s="3537"/>
      <c r="Y2" s="3537"/>
      <c r="Z2" s="3537"/>
      <c r="AA2" s="3537"/>
      <c r="AB2" s="3537"/>
      <c r="AC2" s="3537"/>
      <c r="AD2" s="3537"/>
      <c r="AE2" s="3537"/>
      <c r="AF2" s="3537"/>
      <c r="AG2" s="3537"/>
      <c r="AH2" s="3537"/>
      <c r="AI2" s="3537"/>
      <c r="AJ2" s="3537"/>
      <c r="AK2" s="3537"/>
      <c r="AL2" s="3537"/>
      <c r="AM2" s="3537"/>
      <c r="AN2" s="3537"/>
      <c r="AO2" s="3537"/>
      <c r="AP2" s="3537"/>
      <c r="AQ2" s="3537"/>
      <c r="AR2" s="3537"/>
      <c r="AS2" s="3537"/>
      <c r="AT2" s="3537"/>
      <c r="AU2" s="3537"/>
      <c r="AV2" s="3537"/>
      <c r="AW2" s="3537"/>
      <c r="AX2" s="3537"/>
      <c r="AY2" s="3537"/>
      <c r="AZ2" s="3537"/>
      <c r="BA2" s="3537"/>
      <c r="BB2" s="3537"/>
      <c r="BC2" s="3537"/>
      <c r="BD2" s="3537"/>
      <c r="BE2" s="3537"/>
      <c r="BF2" s="3537"/>
      <c r="BG2" s="3537"/>
      <c r="BH2" s="3537"/>
      <c r="BI2" s="3537"/>
      <c r="BJ2" s="3537"/>
      <c r="BK2" s="3537"/>
      <c r="BL2" s="3537"/>
      <c r="BM2" s="3537"/>
      <c r="BN2" s="3537"/>
      <c r="BO2" s="3538"/>
      <c r="BP2" s="502" t="s">
        <v>2</v>
      </c>
      <c r="BQ2" s="503">
        <v>6</v>
      </c>
    </row>
    <row r="3" spans="1:86" ht="26.25" customHeight="1" x14ac:dyDescent="0.25">
      <c r="A3" s="3537"/>
      <c r="B3" s="3537"/>
      <c r="C3" s="3537"/>
      <c r="D3" s="3537"/>
      <c r="E3" s="3537"/>
      <c r="F3" s="3537"/>
      <c r="G3" s="3537"/>
      <c r="H3" s="3537"/>
      <c r="I3" s="3537"/>
      <c r="J3" s="3537"/>
      <c r="K3" s="3537"/>
      <c r="L3" s="3537"/>
      <c r="M3" s="3537"/>
      <c r="N3" s="3537"/>
      <c r="O3" s="3537"/>
      <c r="P3" s="3537"/>
      <c r="Q3" s="3537"/>
      <c r="R3" s="3537"/>
      <c r="S3" s="3537"/>
      <c r="T3" s="3537"/>
      <c r="U3" s="3537"/>
      <c r="V3" s="3537"/>
      <c r="W3" s="3537"/>
      <c r="X3" s="3537"/>
      <c r="Y3" s="3537"/>
      <c r="Z3" s="3537"/>
      <c r="AA3" s="3537"/>
      <c r="AB3" s="3537"/>
      <c r="AC3" s="3537"/>
      <c r="AD3" s="3537"/>
      <c r="AE3" s="3537"/>
      <c r="AF3" s="3537"/>
      <c r="AG3" s="3537"/>
      <c r="AH3" s="3537"/>
      <c r="AI3" s="3537"/>
      <c r="AJ3" s="3537"/>
      <c r="AK3" s="3537"/>
      <c r="AL3" s="3537"/>
      <c r="AM3" s="3537"/>
      <c r="AN3" s="3537"/>
      <c r="AO3" s="3537"/>
      <c r="AP3" s="3537"/>
      <c r="AQ3" s="3537"/>
      <c r="AR3" s="3537"/>
      <c r="AS3" s="3537"/>
      <c r="AT3" s="3537"/>
      <c r="AU3" s="3537"/>
      <c r="AV3" s="3537"/>
      <c r="AW3" s="3537"/>
      <c r="AX3" s="3537"/>
      <c r="AY3" s="3537"/>
      <c r="AZ3" s="3537"/>
      <c r="BA3" s="3537"/>
      <c r="BB3" s="3537"/>
      <c r="BC3" s="3537"/>
      <c r="BD3" s="3537"/>
      <c r="BE3" s="3537"/>
      <c r="BF3" s="3537"/>
      <c r="BG3" s="3537"/>
      <c r="BH3" s="3537"/>
      <c r="BI3" s="3537"/>
      <c r="BJ3" s="3537"/>
      <c r="BK3" s="3537"/>
      <c r="BL3" s="3537"/>
      <c r="BM3" s="3537"/>
      <c r="BN3" s="3537"/>
      <c r="BO3" s="3538"/>
      <c r="BP3" s="500" t="s">
        <v>3</v>
      </c>
      <c r="BQ3" s="504" t="s">
        <v>4</v>
      </c>
    </row>
    <row r="4" spans="1:86" s="2026" customFormat="1" ht="20.25" customHeight="1" x14ac:dyDescent="0.2">
      <c r="A4" s="3539"/>
      <c r="B4" s="3539"/>
      <c r="C4" s="3539"/>
      <c r="D4" s="3539"/>
      <c r="E4" s="3539"/>
      <c r="F4" s="3539"/>
      <c r="G4" s="3539"/>
      <c r="H4" s="3539"/>
      <c r="I4" s="3539"/>
      <c r="J4" s="3539"/>
      <c r="K4" s="3539"/>
      <c r="L4" s="3539"/>
      <c r="M4" s="3539"/>
      <c r="N4" s="3539"/>
      <c r="O4" s="3539"/>
      <c r="P4" s="3539"/>
      <c r="Q4" s="3539"/>
      <c r="R4" s="3539"/>
      <c r="S4" s="3539"/>
      <c r="T4" s="3539"/>
      <c r="U4" s="3539"/>
      <c r="V4" s="3539"/>
      <c r="W4" s="3539"/>
      <c r="X4" s="3539"/>
      <c r="Y4" s="3539"/>
      <c r="Z4" s="3539"/>
      <c r="AA4" s="3539"/>
      <c r="AB4" s="3539"/>
      <c r="AC4" s="3539"/>
      <c r="AD4" s="3539"/>
      <c r="AE4" s="3539"/>
      <c r="AF4" s="3539"/>
      <c r="AG4" s="3539"/>
      <c r="AH4" s="3539"/>
      <c r="AI4" s="3539"/>
      <c r="AJ4" s="3539"/>
      <c r="AK4" s="3539"/>
      <c r="AL4" s="3539"/>
      <c r="AM4" s="3539"/>
      <c r="AN4" s="3539"/>
      <c r="AO4" s="3539"/>
      <c r="AP4" s="3539"/>
      <c r="AQ4" s="3539"/>
      <c r="AR4" s="3539"/>
      <c r="AS4" s="3539"/>
      <c r="AT4" s="3539"/>
      <c r="AU4" s="3539"/>
      <c r="AV4" s="3539"/>
      <c r="AW4" s="3539"/>
      <c r="AX4" s="3539"/>
      <c r="AY4" s="3539"/>
      <c r="AZ4" s="3539"/>
      <c r="BA4" s="3539"/>
      <c r="BB4" s="3539"/>
      <c r="BC4" s="3539"/>
      <c r="BD4" s="3539"/>
      <c r="BE4" s="3539"/>
      <c r="BF4" s="3539"/>
      <c r="BG4" s="3539"/>
      <c r="BH4" s="3539"/>
      <c r="BI4" s="3539"/>
      <c r="BJ4" s="3539"/>
      <c r="BK4" s="3539"/>
      <c r="BL4" s="3539"/>
      <c r="BM4" s="3539"/>
      <c r="BN4" s="3539"/>
      <c r="BO4" s="3540"/>
      <c r="BP4" s="500" t="s">
        <v>5</v>
      </c>
      <c r="BQ4" s="505" t="s">
        <v>6</v>
      </c>
    </row>
    <row r="5" spans="1:86" ht="24.75" customHeight="1" thickBot="1" x14ac:dyDescent="0.25">
      <c r="A5" s="3541" t="s">
        <v>7</v>
      </c>
      <c r="B5" s="3541"/>
      <c r="C5" s="3541"/>
      <c r="D5" s="3541"/>
      <c r="E5" s="3541"/>
      <c r="F5" s="3541"/>
      <c r="G5" s="3541"/>
      <c r="H5" s="3541"/>
      <c r="I5" s="3541"/>
      <c r="J5" s="3541"/>
      <c r="K5" s="3541"/>
      <c r="L5" s="3541"/>
      <c r="M5" s="3541"/>
      <c r="N5" s="2027"/>
      <c r="O5" s="2027"/>
      <c r="P5" s="3541" t="s">
        <v>8</v>
      </c>
      <c r="Q5" s="3541"/>
      <c r="R5" s="3541"/>
      <c r="S5" s="3541"/>
      <c r="T5" s="3541"/>
      <c r="U5" s="3541"/>
      <c r="V5" s="3541"/>
      <c r="W5" s="3541"/>
      <c r="X5" s="3541"/>
      <c r="Y5" s="3541"/>
      <c r="Z5" s="3541"/>
      <c r="AA5" s="3541"/>
      <c r="AB5" s="3541"/>
      <c r="AC5" s="3541"/>
      <c r="AD5" s="3541"/>
      <c r="AE5" s="3541"/>
      <c r="AF5" s="3541"/>
      <c r="AG5" s="3541"/>
      <c r="AH5" s="3541"/>
      <c r="AI5" s="3541"/>
      <c r="AJ5" s="3541"/>
      <c r="AK5" s="3541"/>
      <c r="AL5" s="3541"/>
      <c r="AM5" s="3541"/>
      <c r="AN5" s="3541"/>
      <c r="AO5" s="3541"/>
      <c r="AP5" s="3541"/>
      <c r="AQ5" s="3541"/>
      <c r="AR5" s="3541"/>
      <c r="AS5" s="3541"/>
      <c r="AT5" s="3541"/>
      <c r="AU5" s="3541"/>
      <c r="AV5" s="3541"/>
      <c r="AW5" s="3541"/>
      <c r="AX5" s="3541"/>
      <c r="AY5" s="3541"/>
      <c r="AZ5" s="3541"/>
      <c r="BA5" s="3541"/>
      <c r="BB5" s="3541"/>
      <c r="BC5" s="3541"/>
      <c r="BD5" s="3541"/>
      <c r="BE5" s="3541"/>
      <c r="BF5" s="3541"/>
      <c r="BG5" s="3541"/>
      <c r="BH5" s="3541"/>
      <c r="BI5" s="3541"/>
      <c r="BJ5" s="3541"/>
      <c r="BK5" s="3541"/>
      <c r="BL5" s="3541"/>
      <c r="BM5" s="3541"/>
      <c r="BN5" s="3541"/>
      <c r="BO5" s="3541"/>
      <c r="BP5" s="3541"/>
      <c r="BQ5" s="3541"/>
    </row>
    <row r="6" spans="1:86" ht="70.5" customHeight="1" x14ac:dyDescent="0.2">
      <c r="A6" s="3542" t="s">
        <v>9</v>
      </c>
      <c r="B6" s="3544" t="s">
        <v>10</v>
      </c>
      <c r="C6" s="3545"/>
      <c r="D6" s="3533" t="s">
        <v>9</v>
      </c>
      <c r="E6" s="3544" t="s">
        <v>11</v>
      </c>
      <c r="F6" s="3545"/>
      <c r="G6" s="3533" t="s">
        <v>9</v>
      </c>
      <c r="H6" s="3544" t="s">
        <v>12</v>
      </c>
      <c r="I6" s="3545"/>
      <c r="J6" s="3533" t="s">
        <v>9</v>
      </c>
      <c r="K6" s="3533" t="s">
        <v>13</v>
      </c>
      <c r="L6" s="3533" t="s">
        <v>14</v>
      </c>
      <c r="M6" s="2028" t="s">
        <v>15</v>
      </c>
      <c r="N6" s="3533" t="s">
        <v>16</v>
      </c>
      <c r="O6" s="3533" t="s">
        <v>98</v>
      </c>
      <c r="P6" s="3533" t="s">
        <v>8</v>
      </c>
      <c r="Q6" s="3535" t="s">
        <v>18</v>
      </c>
      <c r="R6" s="3535" t="s">
        <v>19</v>
      </c>
      <c r="S6" s="3535" t="s">
        <v>20</v>
      </c>
      <c r="T6" s="3535" t="s">
        <v>21</v>
      </c>
      <c r="U6" s="3535" t="s">
        <v>22</v>
      </c>
      <c r="V6" s="3573" t="s">
        <v>19</v>
      </c>
      <c r="W6" s="3574"/>
      <c r="X6" s="3575"/>
      <c r="Y6" s="2029"/>
      <c r="Z6" s="3533" t="s">
        <v>23</v>
      </c>
      <c r="AA6" s="2777" t="s">
        <v>24</v>
      </c>
      <c r="AB6" s="2778"/>
      <c r="AC6" s="2778"/>
      <c r="AD6" s="2779"/>
      <c r="AE6" s="2780" t="s">
        <v>25</v>
      </c>
      <c r="AF6" s="2781"/>
      <c r="AG6" s="2781"/>
      <c r="AH6" s="2781"/>
      <c r="AI6" s="2781"/>
      <c r="AJ6" s="2781"/>
      <c r="AK6" s="2781"/>
      <c r="AL6" s="2782"/>
      <c r="AM6" s="2783" t="s">
        <v>26</v>
      </c>
      <c r="AN6" s="2784"/>
      <c r="AO6" s="2784"/>
      <c r="AP6" s="2784"/>
      <c r="AQ6" s="2784"/>
      <c r="AR6" s="2784"/>
      <c r="AS6" s="2784"/>
      <c r="AT6" s="2784"/>
      <c r="AU6" s="2784"/>
      <c r="AV6" s="2784"/>
      <c r="AW6" s="2784"/>
      <c r="AX6" s="2785"/>
      <c r="AY6" s="3556" t="s">
        <v>27</v>
      </c>
      <c r="AZ6" s="3557"/>
      <c r="BA6" s="3557"/>
      <c r="BB6" s="3557"/>
      <c r="BC6" s="3557"/>
      <c r="BD6" s="3558"/>
      <c r="BE6" s="3559" t="s">
        <v>28</v>
      </c>
      <c r="BF6" s="3560"/>
      <c r="BG6" s="3295" t="s">
        <v>29</v>
      </c>
      <c r="BH6" s="3296"/>
      <c r="BI6" s="3296"/>
      <c r="BJ6" s="3296"/>
      <c r="BK6" s="3296"/>
      <c r="BL6" s="3297"/>
      <c r="BM6" s="3548" t="s">
        <v>30</v>
      </c>
      <c r="BN6" s="3549"/>
      <c r="BO6" s="3548" t="s">
        <v>31</v>
      </c>
      <c r="BP6" s="3549"/>
      <c r="BQ6" s="3552" t="s">
        <v>32</v>
      </c>
      <c r="BR6" s="2030"/>
      <c r="BS6" s="2030"/>
      <c r="BT6" s="2030"/>
      <c r="BU6" s="2030"/>
      <c r="BV6" s="2030"/>
      <c r="BW6" s="2030"/>
      <c r="BX6" s="2030"/>
      <c r="BY6" s="2030"/>
      <c r="BZ6" s="2030"/>
      <c r="CA6" s="2030"/>
      <c r="CB6" s="2030"/>
      <c r="CC6" s="2030"/>
      <c r="CD6" s="2030"/>
      <c r="CE6" s="2030"/>
      <c r="CF6" s="2030"/>
      <c r="CG6" s="2030"/>
      <c r="CH6" s="2030"/>
    </row>
    <row r="7" spans="1:86" s="2034" customFormat="1" ht="108.75" customHeight="1" x14ac:dyDescent="0.25">
      <c r="A7" s="3543"/>
      <c r="B7" s="3546"/>
      <c r="C7" s="3547"/>
      <c r="D7" s="3534"/>
      <c r="E7" s="3546"/>
      <c r="F7" s="3547"/>
      <c r="G7" s="3534"/>
      <c r="H7" s="3546"/>
      <c r="I7" s="3547"/>
      <c r="J7" s="3534"/>
      <c r="K7" s="3534"/>
      <c r="L7" s="3534"/>
      <c r="M7" s="1776" t="s">
        <v>54</v>
      </c>
      <c r="N7" s="3534"/>
      <c r="O7" s="3534"/>
      <c r="P7" s="3534"/>
      <c r="Q7" s="3536"/>
      <c r="R7" s="3536"/>
      <c r="S7" s="3536"/>
      <c r="T7" s="3536"/>
      <c r="U7" s="3536"/>
      <c r="V7" s="2031" t="s">
        <v>56</v>
      </c>
      <c r="W7" s="508" t="s">
        <v>57</v>
      </c>
      <c r="X7" s="508" t="s">
        <v>58</v>
      </c>
      <c r="Y7" s="2032" t="s">
        <v>9</v>
      </c>
      <c r="Z7" s="3534"/>
      <c r="AA7" s="2382" t="s">
        <v>33</v>
      </c>
      <c r="AB7" s="2383"/>
      <c r="AC7" s="2384" t="s">
        <v>34</v>
      </c>
      <c r="AD7" s="2385"/>
      <c r="AE7" s="2382" t="s">
        <v>35</v>
      </c>
      <c r="AF7" s="2383"/>
      <c r="AG7" s="2382" t="s">
        <v>36</v>
      </c>
      <c r="AH7" s="2383"/>
      <c r="AI7" s="2382" t="s">
        <v>37</v>
      </c>
      <c r="AJ7" s="2383"/>
      <c r="AK7" s="2382" t="s">
        <v>38</v>
      </c>
      <c r="AL7" s="2383"/>
      <c r="AM7" s="3554" t="s">
        <v>39</v>
      </c>
      <c r="AN7" s="3555"/>
      <c r="AO7" s="3554" t="s">
        <v>40</v>
      </c>
      <c r="AP7" s="3555"/>
      <c r="AQ7" s="3554" t="s">
        <v>41</v>
      </c>
      <c r="AR7" s="3555"/>
      <c r="AS7" s="3554" t="s">
        <v>42</v>
      </c>
      <c r="AT7" s="3555"/>
      <c r="AU7" s="3554" t="s">
        <v>43</v>
      </c>
      <c r="AV7" s="3555"/>
      <c r="AW7" s="3554" t="s">
        <v>44</v>
      </c>
      <c r="AX7" s="3555"/>
      <c r="AY7" s="3554" t="s">
        <v>45</v>
      </c>
      <c r="AZ7" s="3555"/>
      <c r="BA7" s="3554" t="s">
        <v>46</v>
      </c>
      <c r="BB7" s="3555"/>
      <c r="BC7" s="3554" t="s">
        <v>47</v>
      </c>
      <c r="BD7" s="3555"/>
      <c r="BE7" s="3561"/>
      <c r="BF7" s="3562"/>
      <c r="BG7" s="3121" t="s">
        <v>48</v>
      </c>
      <c r="BH7" s="3572" t="s">
        <v>49</v>
      </c>
      <c r="BI7" s="3563" t="s">
        <v>2064</v>
      </c>
      <c r="BJ7" s="3565" t="s">
        <v>51</v>
      </c>
      <c r="BK7" s="3121" t="s">
        <v>52</v>
      </c>
      <c r="BL7" s="3100" t="s">
        <v>53</v>
      </c>
      <c r="BM7" s="3550"/>
      <c r="BN7" s="3551"/>
      <c r="BO7" s="3550"/>
      <c r="BP7" s="3551"/>
      <c r="BQ7" s="3553"/>
      <c r="BR7" s="2033"/>
      <c r="BS7" s="2033"/>
      <c r="BT7" s="2033"/>
      <c r="BU7" s="2033"/>
      <c r="BV7" s="2033"/>
      <c r="BW7" s="2033"/>
      <c r="BX7" s="2033"/>
      <c r="BY7" s="2033"/>
      <c r="BZ7" s="2033"/>
      <c r="CA7" s="2033"/>
      <c r="CB7" s="2033"/>
      <c r="CC7" s="2033"/>
      <c r="CD7" s="2033"/>
      <c r="CE7" s="2033"/>
      <c r="CF7" s="2033"/>
      <c r="CG7" s="2033"/>
      <c r="CH7" s="2033"/>
    </row>
    <row r="8" spans="1:86" s="2042" customFormat="1" ht="15.75" x14ac:dyDescent="0.25">
      <c r="A8" s="2035">
        <v>3</v>
      </c>
      <c r="B8" s="2036"/>
      <c r="C8" s="2036" t="s">
        <v>466</v>
      </c>
      <c r="D8" s="2036"/>
      <c r="E8" s="2036"/>
      <c r="F8" s="2036"/>
      <c r="G8" s="2036"/>
      <c r="H8" s="2036"/>
      <c r="I8" s="2036"/>
      <c r="J8" s="2036"/>
      <c r="K8" s="2037"/>
      <c r="L8" s="2037"/>
      <c r="M8" s="2036"/>
      <c r="N8" s="2038"/>
      <c r="O8" s="2036"/>
      <c r="P8" s="2037"/>
      <c r="Q8" s="2039"/>
      <c r="R8" s="2040"/>
      <c r="S8" s="2037"/>
      <c r="T8" s="2037"/>
      <c r="U8" s="2037"/>
      <c r="V8" s="2037"/>
      <c r="W8" s="2037"/>
      <c r="X8" s="2037"/>
      <c r="Y8" s="2038"/>
      <c r="Z8" s="2036"/>
      <c r="AA8" s="517" t="s">
        <v>54</v>
      </c>
      <c r="AB8" s="517" t="s">
        <v>55</v>
      </c>
      <c r="AC8" s="517" t="s">
        <v>54</v>
      </c>
      <c r="AD8" s="517" t="s">
        <v>55</v>
      </c>
      <c r="AE8" s="517" t="s">
        <v>54</v>
      </c>
      <c r="AF8" s="517" t="s">
        <v>55</v>
      </c>
      <c r="AG8" s="517" t="s">
        <v>54</v>
      </c>
      <c r="AH8" s="517" t="s">
        <v>55</v>
      </c>
      <c r="AI8" s="517" t="s">
        <v>54</v>
      </c>
      <c r="AJ8" s="517" t="s">
        <v>55</v>
      </c>
      <c r="AK8" s="517" t="s">
        <v>54</v>
      </c>
      <c r="AL8" s="517" t="s">
        <v>55</v>
      </c>
      <c r="AM8" s="517" t="s">
        <v>54</v>
      </c>
      <c r="AN8" s="517" t="s">
        <v>55</v>
      </c>
      <c r="AO8" s="517" t="s">
        <v>54</v>
      </c>
      <c r="AP8" s="517" t="s">
        <v>55</v>
      </c>
      <c r="AQ8" s="517" t="s">
        <v>54</v>
      </c>
      <c r="AR8" s="517" t="s">
        <v>55</v>
      </c>
      <c r="AS8" s="517" t="s">
        <v>54</v>
      </c>
      <c r="AT8" s="517" t="s">
        <v>55</v>
      </c>
      <c r="AU8" s="517" t="s">
        <v>54</v>
      </c>
      <c r="AV8" s="517" t="s">
        <v>55</v>
      </c>
      <c r="AW8" s="517" t="s">
        <v>54</v>
      </c>
      <c r="AX8" s="517" t="s">
        <v>55</v>
      </c>
      <c r="AY8" s="517" t="s">
        <v>54</v>
      </c>
      <c r="AZ8" s="517" t="s">
        <v>55</v>
      </c>
      <c r="BA8" s="517" t="s">
        <v>54</v>
      </c>
      <c r="BB8" s="517" t="s">
        <v>55</v>
      </c>
      <c r="BC8" s="517" t="s">
        <v>54</v>
      </c>
      <c r="BD8" s="517" t="s">
        <v>55</v>
      </c>
      <c r="BE8" s="517" t="s">
        <v>54</v>
      </c>
      <c r="BF8" s="517" t="s">
        <v>55</v>
      </c>
      <c r="BG8" s="3121"/>
      <c r="BH8" s="3572"/>
      <c r="BI8" s="3564"/>
      <c r="BJ8" s="3565"/>
      <c r="BK8" s="3121"/>
      <c r="BL8" s="3102"/>
      <c r="BM8" s="517" t="s">
        <v>54</v>
      </c>
      <c r="BN8" s="517" t="s">
        <v>55</v>
      </c>
      <c r="BO8" s="517" t="s">
        <v>54</v>
      </c>
      <c r="BP8" s="517" t="s">
        <v>55</v>
      </c>
      <c r="BQ8" s="2041"/>
    </row>
    <row r="9" spans="1:86" s="2042" customFormat="1" ht="21" customHeight="1" x14ac:dyDescent="0.25">
      <c r="A9" s="2043"/>
      <c r="B9" s="2044"/>
      <c r="C9" s="2045"/>
      <c r="D9" s="2046">
        <v>5</v>
      </c>
      <c r="E9" s="2047" t="s">
        <v>1907</v>
      </c>
      <c r="F9" s="2047"/>
      <c r="G9" s="2047"/>
      <c r="H9" s="2047"/>
      <c r="I9" s="2047"/>
      <c r="J9" s="2047"/>
      <c r="K9" s="2048"/>
      <c r="L9" s="2048"/>
      <c r="M9" s="2047"/>
      <c r="N9" s="2049"/>
      <c r="O9" s="2047"/>
      <c r="P9" s="2048"/>
      <c r="Q9" s="2050"/>
      <c r="R9" s="2051"/>
      <c r="S9" s="2048"/>
      <c r="T9" s="2048"/>
      <c r="U9" s="2048"/>
      <c r="V9" s="2048"/>
      <c r="W9" s="2048"/>
      <c r="X9" s="2048"/>
      <c r="Y9" s="2049"/>
      <c r="Z9" s="2047"/>
      <c r="AA9" s="2047"/>
      <c r="AB9" s="2047"/>
      <c r="AC9" s="2047"/>
      <c r="AD9" s="2047"/>
      <c r="AE9" s="2047"/>
      <c r="AF9" s="2047"/>
      <c r="AG9" s="2047"/>
      <c r="AH9" s="2047"/>
      <c r="AI9" s="2047"/>
      <c r="AJ9" s="2047"/>
      <c r="AK9" s="2047"/>
      <c r="AL9" s="2047"/>
      <c r="AM9" s="2047"/>
      <c r="AN9" s="2047"/>
      <c r="AO9" s="2047"/>
      <c r="AP9" s="2047"/>
      <c r="AQ9" s="2047"/>
      <c r="AR9" s="2047"/>
      <c r="AS9" s="2052"/>
      <c r="AT9" s="2052"/>
      <c r="AU9" s="2048"/>
      <c r="AV9" s="2048"/>
      <c r="AW9" s="2053"/>
      <c r="AX9" s="2053"/>
      <c r="AY9" s="2053"/>
      <c r="AZ9" s="2053"/>
      <c r="BA9" s="2053"/>
      <c r="BB9" s="2053"/>
      <c r="BC9" s="2053"/>
      <c r="BD9" s="2053"/>
      <c r="BE9" s="2053"/>
      <c r="BF9" s="2053"/>
      <c r="BG9" s="2053"/>
      <c r="BH9" s="2053"/>
      <c r="BI9" s="2053"/>
      <c r="BJ9" s="2053"/>
      <c r="BK9" s="2053"/>
      <c r="BL9" s="2053"/>
      <c r="BM9" s="2053"/>
      <c r="BN9" s="2053"/>
      <c r="BO9" s="2053"/>
      <c r="BP9" s="2053"/>
      <c r="BQ9" s="2054"/>
    </row>
    <row r="10" spans="1:86" s="2042" customFormat="1" ht="27" customHeight="1" x14ac:dyDescent="0.25">
      <c r="A10" s="2055"/>
      <c r="B10" s="2056"/>
      <c r="C10" s="2056"/>
      <c r="D10" s="2057"/>
      <c r="E10" s="2058"/>
      <c r="F10" s="2059"/>
      <c r="G10" s="2060">
        <v>16</v>
      </c>
      <c r="H10" s="2061" t="s">
        <v>1908</v>
      </c>
      <c r="I10" s="2061"/>
      <c r="J10" s="2061"/>
      <c r="K10" s="2062"/>
      <c r="L10" s="2062"/>
      <c r="M10" s="2061"/>
      <c r="N10" s="2063"/>
      <c r="O10" s="2061"/>
      <c r="P10" s="2062"/>
      <c r="Q10" s="2064"/>
      <c r="R10" s="2065"/>
      <c r="S10" s="2062"/>
      <c r="T10" s="2066"/>
      <c r="U10" s="2066"/>
      <c r="V10" s="2066"/>
      <c r="W10" s="2066"/>
      <c r="X10" s="2067"/>
      <c r="Y10" s="2068"/>
      <c r="Z10" s="2069"/>
      <c r="AA10" s="2061"/>
      <c r="AB10" s="2061"/>
      <c r="AC10" s="2061"/>
      <c r="AD10" s="2061"/>
      <c r="AE10" s="2061"/>
      <c r="AF10" s="2061"/>
      <c r="AG10" s="2061"/>
      <c r="AH10" s="2061"/>
      <c r="AI10" s="2061"/>
      <c r="AJ10" s="2061"/>
      <c r="AK10" s="2061"/>
      <c r="AL10" s="2061"/>
      <c r="AM10" s="2070"/>
      <c r="AN10" s="2070"/>
      <c r="AO10" s="2061"/>
      <c r="AP10" s="2061"/>
      <c r="AQ10" s="2061"/>
      <c r="AR10" s="2061"/>
      <c r="AS10" s="2071"/>
      <c r="AT10" s="2071"/>
      <c r="AU10" s="2062"/>
      <c r="AV10" s="2062"/>
      <c r="AW10" s="2072"/>
      <c r="AX10" s="2072"/>
      <c r="AY10" s="2072"/>
      <c r="AZ10" s="2072"/>
      <c r="BA10" s="2072"/>
      <c r="BB10" s="2072"/>
      <c r="BC10" s="2072"/>
      <c r="BD10" s="2072"/>
      <c r="BE10" s="2072"/>
      <c r="BF10" s="2072"/>
      <c r="BG10" s="2072"/>
      <c r="BH10" s="2072"/>
      <c r="BI10" s="2072"/>
      <c r="BJ10" s="2072"/>
      <c r="BK10" s="2072"/>
      <c r="BL10" s="2072"/>
      <c r="BM10" s="2072"/>
      <c r="BN10" s="2072"/>
      <c r="BO10" s="2072"/>
      <c r="BP10" s="2072"/>
      <c r="BQ10" s="2073"/>
    </row>
    <row r="11" spans="1:86" s="2042" customFormat="1" ht="15.75" customHeight="1" x14ac:dyDescent="0.25">
      <c r="A11" s="2055"/>
      <c r="B11" s="2056"/>
      <c r="C11" s="2056"/>
      <c r="D11" s="2074"/>
      <c r="E11" s="2075"/>
      <c r="F11" s="2076"/>
      <c r="G11" s="2077"/>
      <c r="H11" s="2077"/>
      <c r="I11" s="2078"/>
      <c r="J11" s="3566">
        <v>65</v>
      </c>
      <c r="K11" s="3567" t="s">
        <v>1909</v>
      </c>
      <c r="L11" s="3567" t="s">
        <v>1910</v>
      </c>
      <c r="M11" s="3568"/>
      <c r="N11" s="3569" t="s">
        <v>2065</v>
      </c>
      <c r="O11" s="3571" t="s">
        <v>1911</v>
      </c>
      <c r="P11" s="3584" t="s">
        <v>1912</v>
      </c>
      <c r="Q11" s="3585">
        <f>SUM(V11:V13)/$R$11</f>
        <v>0.21102358499857357</v>
      </c>
      <c r="R11" s="3586">
        <f>SUM(V11:V18)</f>
        <v>17156406380</v>
      </c>
      <c r="S11" s="3587" t="s">
        <v>1913</v>
      </c>
      <c r="T11" s="3588" t="s">
        <v>1914</v>
      </c>
      <c r="U11" s="3588" t="s">
        <v>1915</v>
      </c>
      <c r="V11" s="3576">
        <v>2349543380</v>
      </c>
      <c r="W11" s="3577">
        <v>1277519050</v>
      </c>
      <c r="X11" s="3579"/>
      <c r="Y11" s="3580">
        <v>35</v>
      </c>
      <c r="Z11" s="3582" t="s">
        <v>1916</v>
      </c>
      <c r="AA11" s="3583">
        <v>20196</v>
      </c>
      <c r="AB11" s="3592">
        <v>20196</v>
      </c>
      <c r="AC11" s="3593">
        <v>20595</v>
      </c>
      <c r="AD11" s="3592">
        <v>20596</v>
      </c>
      <c r="AE11" s="3593">
        <v>29775</v>
      </c>
      <c r="AF11" s="3592">
        <v>29775</v>
      </c>
      <c r="AG11" s="3593">
        <v>9453</v>
      </c>
      <c r="AH11" s="3592">
        <v>9453</v>
      </c>
      <c r="AI11" s="3593">
        <v>1396</v>
      </c>
      <c r="AJ11" s="3592">
        <v>1396</v>
      </c>
      <c r="AK11" s="3593">
        <v>167</v>
      </c>
      <c r="AL11" s="3592">
        <v>167</v>
      </c>
      <c r="AM11" s="3593">
        <v>274</v>
      </c>
      <c r="AN11" s="3592">
        <v>274</v>
      </c>
      <c r="AO11" s="3593">
        <v>330</v>
      </c>
      <c r="AP11" s="3592">
        <v>330</v>
      </c>
      <c r="AQ11" s="3593">
        <v>0</v>
      </c>
      <c r="AR11" s="3592"/>
      <c r="AS11" s="3593">
        <v>0</v>
      </c>
      <c r="AT11" s="3592">
        <v>0</v>
      </c>
      <c r="AU11" s="3593">
        <v>0</v>
      </c>
      <c r="AV11" s="3592"/>
      <c r="AW11" s="3593">
        <v>0</v>
      </c>
      <c r="AX11" s="3592">
        <v>0</v>
      </c>
      <c r="AY11" s="3593">
        <v>3097</v>
      </c>
      <c r="AZ11" s="3592">
        <v>3097</v>
      </c>
      <c r="BA11" s="3593">
        <v>2611</v>
      </c>
      <c r="BB11" s="3592">
        <v>2611</v>
      </c>
      <c r="BC11" s="3593">
        <v>50</v>
      </c>
      <c r="BD11" s="3592">
        <v>50</v>
      </c>
      <c r="BE11" s="3593">
        <f>+AA11+AC11</f>
        <v>40791</v>
      </c>
      <c r="BF11" s="3592">
        <v>40791</v>
      </c>
      <c r="BG11" s="3612">
        <v>2</v>
      </c>
      <c r="BH11" s="3613">
        <f>+W11+W13</f>
        <v>2380553885</v>
      </c>
      <c r="BI11" s="3594"/>
      <c r="BJ11" s="3595">
        <f>+BI11/BH11</f>
        <v>0</v>
      </c>
      <c r="BK11" s="3614" t="s">
        <v>2066</v>
      </c>
      <c r="BL11" s="3596" t="s">
        <v>2067</v>
      </c>
      <c r="BM11" s="3597">
        <v>43862</v>
      </c>
      <c r="BN11" s="3597">
        <v>43862</v>
      </c>
      <c r="BO11" s="3598">
        <v>43945</v>
      </c>
      <c r="BP11" s="3598">
        <v>43945</v>
      </c>
      <c r="BQ11" s="3599" t="s">
        <v>2068</v>
      </c>
    </row>
    <row r="12" spans="1:86" s="2042" customFormat="1" ht="28.5" customHeight="1" x14ac:dyDescent="0.25">
      <c r="A12" s="2055"/>
      <c r="B12" s="2056"/>
      <c r="C12" s="2056"/>
      <c r="D12" s="2074"/>
      <c r="E12" s="2075"/>
      <c r="F12" s="2076"/>
      <c r="G12" s="2077"/>
      <c r="H12" s="2077"/>
      <c r="I12" s="2078"/>
      <c r="J12" s="3566"/>
      <c r="K12" s="3567"/>
      <c r="L12" s="3567"/>
      <c r="M12" s="3568"/>
      <c r="N12" s="3570"/>
      <c r="O12" s="3571"/>
      <c r="P12" s="3567"/>
      <c r="Q12" s="3585"/>
      <c r="R12" s="3586"/>
      <c r="S12" s="3587"/>
      <c r="T12" s="3588"/>
      <c r="U12" s="3588"/>
      <c r="V12" s="3576"/>
      <c r="W12" s="3578"/>
      <c r="X12" s="3579"/>
      <c r="Y12" s="3581"/>
      <c r="Z12" s="3582"/>
      <c r="AA12" s="3583"/>
      <c r="AB12" s="3593"/>
      <c r="AC12" s="3593"/>
      <c r="AD12" s="3593"/>
      <c r="AE12" s="3593"/>
      <c r="AF12" s="3593"/>
      <c r="AG12" s="3593"/>
      <c r="AH12" s="3593"/>
      <c r="AI12" s="3593"/>
      <c r="AJ12" s="3593"/>
      <c r="AK12" s="3593"/>
      <c r="AL12" s="3593"/>
      <c r="AM12" s="3593"/>
      <c r="AN12" s="3593"/>
      <c r="AO12" s="3593"/>
      <c r="AP12" s="3593"/>
      <c r="AQ12" s="3593"/>
      <c r="AR12" s="3593"/>
      <c r="AS12" s="3593"/>
      <c r="AT12" s="3593"/>
      <c r="AU12" s="3593"/>
      <c r="AV12" s="3593"/>
      <c r="AW12" s="3593"/>
      <c r="AX12" s="3593"/>
      <c r="AY12" s="3593"/>
      <c r="AZ12" s="3593"/>
      <c r="BA12" s="3593"/>
      <c r="BB12" s="3593"/>
      <c r="BC12" s="3593"/>
      <c r="BD12" s="3593"/>
      <c r="BE12" s="3593"/>
      <c r="BF12" s="3593"/>
      <c r="BG12" s="3612"/>
      <c r="BH12" s="3613"/>
      <c r="BI12" s="3594"/>
      <c r="BJ12" s="3595"/>
      <c r="BK12" s="3615"/>
      <c r="BL12" s="3596"/>
      <c r="BM12" s="3597"/>
      <c r="BN12" s="3597"/>
      <c r="BO12" s="3598"/>
      <c r="BP12" s="3598"/>
      <c r="BQ12" s="3566"/>
    </row>
    <row r="13" spans="1:86" s="2042" customFormat="1" ht="36" customHeight="1" x14ac:dyDescent="0.25">
      <c r="A13" s="2055"/>
      <c r="B13" s="2056"/>
      <c r="C13" s="2056"/>
      <c r="D13" s="2074"/>
      <c r="E13" s="2075"/>
      <c r="F13" s="2076"/>
      <c r="G13" s="2077"/>
      <c r="H13" s="2077"/>
      <c r="I13" s="2078"/>
      <c r="J13" s="3566"/>
      <c r="K13" s="3567"/>
      <c r="L13" s="3567"/>
      <c r="M13" s="3568"/>
      <c r="N13" s="3570"/>
      <c r="O13" s="3571"/>
      <c r="P13" s="3567"/>
      <c r="Q13" s="3585"/>
      <c r="R13" s="3586"/>
      <c r="S13" s="3587"/>
      <c r="T13" s="3589"/>
      <c r="U13" s="3588"/>
      <c r="V13" s="2079">
        <v>1270863000</v>
      </c>
      <c r="W13" s="2080">
        <v>1103034835</v>
      </c>
      <c r="X13" s="2081">
        <v>304969837</v>
      </c>
      <c r="Y13" s="2082">
        <v>20</v>
      </c>
      <c r="Z13" s="2083" t="s">
        <v>70</v>
      </c>
      <c r="AA13" s="3583"/>
      <c r="AB13" s="3593"/>
      <c r="AC13" s="3593"/>
      <c r="AD13" s="3593"/>
      <c r="AE13" s="3593"/>
      <c r="AF13" s="3593"/>
      <c r="AG13" s="3593"/>
      <c r="AH13" s="3593"/>
      <c r="AI13" s="3593"/>
      <c r="AJ13" s="3593"/>
      <c r="AK13" s="3593"/>
      <c r="AL13" s="3593"/>
      <c r="AM13" s="3593"/>
      <c r="AN13" s="3593"/>
      <c r="AO13" s="3593"/>
      <c r="AP13" s="3593"/>
      <c r="AQ13" s="3593"/>
      <c r="AR13" s="3593"/>
      <c r="AS13" s="3593"/>
      <c r="AT13" s="3593"/>
      <c r="AU13" s="3593"/>
      <c r="AV13" s="3593"/>
      <c r="AW13" s="3593"/>
      <c r="AX13" s="3593"/>
      <c r="AY13" s="3593"/>
      <c r="AZ13" s="3593"/>
      <c r="BA13" s="3593"/>
      <c r="BB13" s="3593"/>
      <c r="BC13" s="3593"/>
      <c r="BD13" s="3593"/>
      <c r="BE13" s="3593"/>
      <c r="BF13" s="3593"/>
      <c r="BG13" s="3612"/>
      <c r="BH13" s="3613"/>
      <c r="BI13" s="3594"/>
      <c r="BJ13" s="3595"/>
      <c r="BK13" s="3615"/>
      <c r="BL13" s="3596"/>
      <c r="BM13" s="3597"/>
      <c r="BN13" s="3597"/>
      <c r="BO13" s="3598"/>
      <c r="BP13" s="3598"/>
      <c r="BQ13" s="3566"/>
    </row>
    <row r="14" spans="1:86" s="2042" customFormat="1" ht="73.5" customHeight="1" x14ac:dyDescent="0.25">
      <c r="A14" s="2055"/>
      <c r="B14" s="2056"/>
      <c r="C14" s="2056"/>
      <c r="D14" s="2074"/>
      <c r="E14" s="2075"/>
      <c r="F14" s="2076"/>
      <c r="G14" s="2077"/>
      <c r="H14" s="2077"/>
      <c r="I14" s="2078"/>
      <c r="J14" s="3599">
        <v>66</v>
      </c>
      <c r="K14" s="3584" t="s">
        <v>1917</v>
      </c>
      <c r="L14" s="3584" t="s">
        <v>1918</v>
      </c>
      <c r="M14" s="3601"/>
      <c r="N14" s="3570"/>
      <c r="O14" s="3571"/>
      <c r="P14" s="3567"/>
      <c r="Q14" s="3609">
        <f>SUM(V14:V16)/$R$11</f>
        <v>0.72486042382962024</v>
      </c>
      <c r="R14" s="3586"/>
      <c r="S14" s="3587"/>
      <c r="T14" s="3610" t="s">
        <v>1919</v>
      </c>
      <c r="U14" s="3590" t="s">
        <v>1920</v>
      </c>
      <c r="V14" s="2084">
        <v>12000000000</v>
      </c>
      <c r="W14" s="2085">
        <v>10133103712</v>
      </c>
      <c r="X14" s="2086">
        <v>57750000</v>
      </c>
      <c r="Y14" s="2087">
        <v>81</v>
      </c>
      <c r="Z14" s="2088" t="s">
        <v>1921</v>
      </c>
      <c r="AA14" s="3583"/>
      <c r="AB14" s="3593"/>
      <c r="AC14" s="3593"/>
      <c r="AD14" s="3593"/>
      <c r="AE14" s="3593"/>
      <c r="AF14" s="3593"/>
      <c r="AG14" s="3593"/>
      <c r="AH14" s="3593"/>
      <c r="AI14" s="3593"/>
      <c r="AJ14" s="3593"/>
      <c r="AK14" s="3593"/>
      <c r="AL14" s="3593"/>
      <c r="AM14" s="3593"/>
      <c r="AN14" s="3593"/>
      <c r="AO14" s="3593"/>
      <c r="AP14" s="3593"/>
      <c r="AQ14" s="3593"/>
      <c r="AR14" s="3593"/>
      <c r="AS14" s="3593"/>
      <c r="AT14" s="3593"/>
      <c r="AU14" s="3593"/>
      <c r="AV14" s="3593"/>
      <c r="AW14" s="3593"/>
      <c r="AX14" s="3593"/>
      <c r="AY14" s="3593"/>
      <c r="AZ14" s="3593"/>
      <c r="BA14" s="3593"/>
      <c r="BB14" s="3593"/>
      <c r="BC14" s="3593"/>
      <c r="BD14" s="3593"/>
      <c r="BE14" s="3593"/>
      <c r="BF14" s="3593"/>
      <c r="BG14" s="3612">
        <v>19</v>
      </c>
      <c r="BH14" s="3613">
        <f>+W14+W16</f>
        <v>10419103712</v>
      </c>
      <c r="BI14" s="3594">
        <f>+X14</f>
        <v>57750000</v>
      </c>
      <c r="BJ14" s="3595">
        <f>+BI14/BH14</f>
        <v>5.5427032493675591E-3</v>
      </c>
      <c r="BK14" s="3615"/>
      <c r="BL14" s="3596" t="s">
        <v>2069</v>
      </c>
      <c r="BM14" s="3597">
        <v>43876</v>
      </c>
      <c r="BN14" s="3597">
        <v>43876</v>
      </c>
      <c r="BO14" s="3598"/>
      <c r="BP14" s="3598"/>
      <c r="BQ14" s="3566"/>
    </row>
    <row r="15" spans="1:86" s="2042" customFormat="1" ht="73.5" customHeight="1" x14ac:dyDescent="0.25">
      <c r="A15" s="2055"/>
      <c r="B15" s="2056"/>
      <c r="C15" s="2056"/>
      <c r="D15" s="2074"/>
      <c r="E15" s="2075"/>
      <c r="F15" s="2076"/>
      <c r="G15" s="2077"/>
      <c r="H15" s="2077"/>
      <c r="I15" s="2078"/>
      <c r="J15" s="3566"/>
      <c r="K15" s="3567"/>
      <c r="L15" s="3567"/>
      <c r="M15" s="3568"/>
      <c r="N15" s="3570"/>
      <c r="O15" s="3571"/>
      <c r="P15" s="3567"/>
      <c r="Q15" s="3585"/>
      <c r="R15" s="3586"/>
      <c r="S15" s="3587"/>
      <c r="T15" s="3611"/>
      <c r="U15" s="3591"/>
      <c r="V15" s="2089">
        <v>150000000</v>
      </c>
      <c r="W15" s="2090"/>
      <c r="X15" s="2086"/>
      <c r="Y15" s="2087">
        <v>81</v>
      </c>
      <c r="Z15" s="2088" t="s">
        <v>2070</v>
      </c>
      <c r="AA15" s="3583"/>
      <c r="AB15" s="3593"/>
      <c r="AC15" s="3593"/>
      <c r="AD15" s="3593"/>
      <c r="AE15" s="3593"/>
      <c r="AF15" s="3593"/>
      <c r="AG15" s="3593"/>
      <c r="AH15" s="3593"/>
      <c r="AI15" s="3593"/>
      <c r="AJ15" s="3593"/>
      <c r="AK15" s="3593"/>
      <c r="AL15" s="3593"/>
      <c r="AM15" s="3593"/>
      <c r="AN15" s="3593"/>
      <c r="AO15" s="3593"/>
      <c r="AP15" s="3593"/>
      <c r="AQ15" s="3593"/>
      <c r="AR15" s="3593"/>
      <c r="AS15" s="3593"/>
      <c r="AT15" s="3593"/>
      <c r="AU15" s="3593"/>
      <c r="AV15" s="3593"/>
      <c r="AW15" s="3593"/>
      <c r="AX15" s="3593"/>
      <c r="AY15" s="3593"/>
      <c r="AZ15" s="3593"/>
      <c r="BA15" s="3593"/>
      <c r="BB15" s="3593"/>
      <c r="BC15" s="3593"/>
      <c r="BD15" s="3593"/>
      <c r="BE15" s="3593"/>
      <c r="BF15" s="3593"/>
      <c r="BG15" s="3612"/>
      <c r="BH15" s="3613"/>
      <c r="BI15" s="3594"/>
      <c r="BJ15" s="3595"/>
      <c r="BK15" s="3615"/>
      <c r="BL15" s="3596"/>
      <c r="BM15" s="3597"/>
      <c r="BN15" s="3597"/>
      <c r="BO15" s="3598"/>
      <c r="BP15" s="3598"/>
      <c r="BQ15" s="3566"/>
    </row>
    <row r="16" spans="1:86" s="2042" customFormat="1" ht="63.75" customHeight="1" x14ac:dyDescent="0.25">
      <c r="A16" s="2055"/>
      <c r="B16" s="2056"/>
      <c r="C16" s="2056"/>
      <c r="D16" s="2074"/>
      <c r="E16" s="2075"/>
      <c r="F16" s="2076"/>
      <c r="G16" s="2077"/>
      <c r="H16" s="2077"/>
      <c r="I16" s="2078"/>
      <c r="J16" s="3566"/>
      <c r="K16" s="3567"/>
      <c r="L16" s="3567"/>
      <c r="M16" s="3568"/>
      <c r="N16" s="3570"/>
      <c r="O16" s="3571"/>
      <c r="P16" s="3567"/>
      <c r="Q16" s="3585"/>
      <c r="R16" s="3586"/>
      <c r="S16" s="3587"/>
      <c r="T16" s="3591"/>
      <c r="U16" s="2091" t="s">
        <v>2071</v>
      </c>
      <c r="V16" s="2092">
        <v>286000000</v>
      </c>
      <c r="W16" s="2093">
        <v>286000000</v>
      </c>
      <c r="X16" s="2094"/>
      <c r="Y16" s="2087">
        <v>20</v>
      </c>
      <c r="Z16" s="2088" t="s">
        <v>70</v>
      </c>
      <c r="AA16" s="3583"/>
      <c r="AB16" s="3593"/>
      <c r="AC16" s="3593"/>
      <c r="AD16" s="3593"/>
      <c r="AE16" s="3593"/>
      <c r="AF16" s="3593"/>
      <c r="AG16" s="3593"/>
      <c r="AH16" s="3593"/>
      <c r="AI16" s="3593"/>
      <c r="AJ16" s="3593"/>
      <c r="AK16" s="3593"/>
      <c r="AL16" s="3593"/>
      <c r="AM16" s="3593"/>
      <c r="AN16" s="3593"/>
      <c r="AO16" s="3593"/>
      <c r="AP16" s="3593"/>
      <c r="AQ16" s="3593"/>
      <c r="AR16" s="3593"/>
      <c r="AS16" s="3593"/>
      <c r="AT16" s="3593"/>
      <c r="AU16" s="3593"/>
      <c r="AV16" s="3593"/>
      <c r="AW16" s="3593"/>
      <c r="AX16" s="3593"/>
      <c r="AY16" s="3593"/>
      <c r="AZ16" s="3593"/>
      <c r="BA16" s="3593"/>
      <c r="BB16" s="3593"/>
      <c r="BC16" s="3593"/>
      <c r="BD16" s="3593"/>
      <c r="BE16" s="3593"/>
      <c r="BF16" s="3593"/>
      <c r="BG16" s="3612"/>
      <c r="BH16" s="3613"/>
      <c r="BI16" s="3594"/>
      <c r="BJ16" s="3595"/>
      <c r="BK16" s="3615"/>
      <c r="BL16" s="3596"/>
      <c r="BM16" s="3597"/>
      <c r="BN16" s="3597"/>
      <c r="BO16" s="3598"/>
      <c r="BP16" s="3598"/>
      <c r="BQ16" s="3566"/>
    </row>
    <row r="17" spans="1:69" s="2097" customFormat="1" ht="92.25" customHeight="1" x14ac:dyDescent="0.25">
      <c r="A17" s="2055"/>
      <c r="B17" s="2056"/>
      <c r="C17" s="2056"/>
      <c r="D17" s="2074"/>
      <c r="E17" s="2075"/>
      <c r="F17" s="2076"/>
      <c r="G17" s="2077"/>
      <c r="H17" s="2077"/>
      <c r="I17" s="2078"/>
      <c r="J17" s="3599">
        <v>67</v>
      </c>
      <c r="K17" s="3584" t="s">
        <v>1922</v>
      </c>
      <c r="L17" s="3584" t="s">
        <v>1923</v>
      </c>
      <c r="M17" s="3601"/>
      <c r="N17" s="3570"/>
      <c r="O17" s="3571"/>
      <c r="P17" s="3567"/>
      <c r="Q17" s="3602">
        <f>SUM(V17:V18)/$R$11</f>
        <v>6.4115991171806219E-2</v>
      </c>
      <c r="R17" s="3586"/>
      <c r="S17" s="3587"/>
      <c r="T17" s="3604" t="s">
        <v>1924</v>
      </c>
      <c r="U17" s="3604" t="s">
        <v>1925</v>
      </c>
      <c r="V17" s="2095">
        <v>900000000</v>
      </c>
      <c r="W17" s="2096"/>
      <c r="X17" s="2096"/>
      <c r="Y17" s="2087">
        <v>20</v>
      </c>
      <c r="Z17" s="2088" t="s">
        <v>70</v>
      </c>
      <c r="AA17" s="3583"/>
      <c r="AB17" s="3593"/>
      <c r="AC17" s="3593"/>
      <c r="AD17" s="3593"/>
      <c r="AE17" s="3593"/>
      <c r="AF17" s="3593"/>
      <c r="AG17" s="3593"/>
      <c r="AH17" s="3593"/>
      <c r="AI17" s="3593"/>
      <c r="AJ17" s="3593"/>
      <c r="AK17" s="3593"/>
      <c r="AL17" s="3593"/>
      <c r="AM17" s="3593"/>
      <c r="AN17" s="3593"/>
      <c r="AO17" s="3593"/>
      <c r="AP17" s="3593"/>
      <c r="AQ17" s="3593"/>
      <c r="AR17" s="3593"/>
      <c r="AS17" s="3593"/>
      <c r="AT17" s="3593"/>
      <c r="AU17" s="3593"/>
      <c r="AV17" s="3593"/>
      <c r="AW17" s="3593"/>
      <c r="AX17" s="3593"/>
      <c r="AY17" s="3593"/>
      <c r="AZ17" s="3593"/>
      <c r="BA17" s="3593"/>
      <c r="BB17" s="3593"/>
      <c r="BC17" s="3593"/>
      <c r="BD17" s="3593"/>
      <c r="BE17" s="3593"/>
      <c r="BF17" s="3593"/>
      <c r="BG17" s="3592"/>
      <c r="BH17" s="3607">
        <f>+W17</f>
        <v>0</v>
      </c>
      <c r="BI17" s="3622"/>
      <c r="BJ17" s="3624" t="e">
        <f>+BI17/BH17</f>
        <v>#DIV/0!</v>
      </c>
      <c r="BK17" s="3615"/>
      <c r="BL17" s="3626" t="s">
        <v>2072</v>
      </c>
      <c r="BM17" s="3597"/>
      <c r="BN17" s="3627"/>
      <c r="BO17" s="3629"/>
      <c r="BP17" s="3598"/>
      <c r="BQ17" s="3566"/>
    </row>
    <row r="18" spans="1:69" s="2097" customFormat="1" ht="78.75" customHeight="1" x14ac:dyDescent="0.25">
      <c r="A18" s="2055"/>
      <c r="B18" s="2056"/>
      <c r="C18" s="2056"/>
      <c r="D18" s="2074"/>
      <c r="E18" s="2075"/>
      <c r="F18" s="2076"/>
      <c r="G18" s="2077"/>
      <c r="H18" s="2077"/>
      <c r="I18" s="2078"/>
      <c r="J18" s="3566"/>
      <c r="K18" s="3567"/>
      <c r="L18" s="3567"/>
      <c r="M18" s="3568"/>
      <c r="N18" s="3570"/>
      <c r="O18" s="3571"/>
      <c r="P18" s="3567"/>
      <c r="Q18" s="3603"/>
      <c r="R18" s="3586"/>
      <c r="S18" s="3587"/>
      <c r="T18" s="3605"/>
      <c r="U18" s="3605"/>
      <c r="V18" s="2096">
        <v>200000000</v>
      </c>
      <c r="W18" s="2096"/>
      <c r="X18" s="2096"/>
      <c r="Y18" s="2087">
        <v>35</v>
      </c>
      <c r="Z18" s="2098" t="s">
        <v>1916</v>
      </c>
      <c r="AA18" s="3583"/>
      <c r="AB18" s="3593"/>
      <c r="AC18" s="3593"/>
      <c r="AD18" s="3593"/>
      <c r="AE18" s="3593"/>
      <c r="AF18" s="3593"/>
      <c r="AG18" s="3593"/>
      <c r="AH18" s="3593"/>
      <c r="AI18" s="3593"/>
      <c r="AJ18" s="3593"/>
      <c r="AK18" s="3593"/>
      <c r="AL18" s="3593"/>
      <c r="AM18" s="3593"/>
      <c r="AN18" s="3593"/>
      <c r="AO18" s="3593"/>
      <c r="AP18" s="3593"/>
      <c r="AQ18" s="3593"/>
      <c r="AR18" s="3593"/>
      <c r="AS18" s="3593"/>
      <c r="AT18" s="3593"/>
      <c r="AU18" s="3593"/>
      <c r="AV18" s="3593"/>
      <c r="AW18" s="3593"/>
      <c r="AX18" s="3593"/>
      <c r="AY18" s="3593"/>
      <c r="AZ18" s="3593"/>
      <c r="BA18" s="3593"/>
      <c r="BB18" s="3593"/>
      <c r="BC18" s="3593"/>
      <c r="BD18" s="3593"/>
      <c r="BE18" s="3593"/>
      <c r="BF18" s="3593"/>
      <c r="BG18" s="3606"/>
      <c r="BH18" s="3608"/>
      <c r="BI18" s="3623"/>
      <c r="BJ18" s="3625"/>
      <c r="BK18" s="3616"/>
      <c r="BL18" s="3626"/>
      <c r="BM18" s="3597"/>
      <c r="BN18" s="3628"/>
      <c r="BO18" s="3630"/>
      <c r="BP18" s="3598"/>
      <c r="BQ18" s="3600"/>
    </row>
    <row r="19" spans="1:69" s="2042" customFormat="1" ht="15.75" x14ac:dyDescent="0.25">
      <c r="A19" s="2099"/>
      <c r="B19" s="2100"/>
      <c r="C19" s="2100"/>
      <c r="D19" s="2099"/>
      <c r="E19" s="2100"/>
      <c r="F19" s="2101"/>
      <c r="G19" s="2102">
        <v>17</v>
      </c>
      <c r="H19" s="2103" t="s">
        <v>1926</v>
      </c>
      <c r="I19" s="2103"/>
      <c r="J19" s="2104"/>
      <c r="K19" s="2062"/>
      <c r="L19" s="2062"/>
      <c r="M19" s="2104"/>
      <c r="N19" s="2105"/>
      <c r="O19" s="2104"/>
      <c r="P19" s="2062"/>
      <c r="Q19" s="2104"/>
      <c r="R19" s="2106"/>
      <c r="S19" s="2062"/>
      <c r="T19" s="2066"/>
      <c r="U19" s="2066"/>
      <c r="V19" s="2066"/>
      <c r="W19" s="2066"/>
      <c r="X19" s="2066"/>
      <c r="Y19" s="2066"/>
      <c r="Z19" s="2066"/>
      <c r="AA19" s="2066"/>
      <c r="AB19" s="2104"/>
      <c r="AC19" s="2104"/>
      <c r="AD19" s="2104"/>
      <c r="AE19" s="2104"/>
      <c r="AF19" s="2104"/>
      <c r="AG19" s="2104"/>
      <c r="AH19" s="2104"/>
      <c r="AI19" s="2104"/>
      <c r="AJ19" s="2104"/>
      <c r="AK19" s="2104"/>
      <c r="AL19" s="2104"/>
      <c r="AM19" s="2104"/>
      <c r="AN19" s="2104"/>
      <c r="AO19" s="2104"/>
      <c r="AP19" s="2104"/>
      <c r="AQ19" s="2104"/>
      <c r="AR19" s="2104"/>
      <c r="AS19" s="2104"/>
      <c r="AT19" s="2104"/>
      <c r="AU19" s="2104"/>
      <c r="AV19" s="2104"/>
      <c r="AW19" s="2104"/>
      <c r="AX19" s="2104"/>
      <c r="AY19" s="2104"/>
      <c r="AZ19" s="2104"/>
      <c r="BA19" s="2104"/>
      <c r="BB19" s="2104"/>
      <c r="BC19" s="2104"/>
      <c r="BD19" s="2104"/>
      <c r="BE19" s="2072"/>
      <c r="BF19" s="2072"/>
      <c r="BG19" s="2072"/>
      <c r="BH19" s="2107"/>
      <c r="BI19" s="2107"/>
      <c r="BJ19" s="2072"/>
      <c r="BK19" s="2072"/>
      <c r="BL19" s="2072"/>
      <c r="BM19" s="2072"/>
      <c r="BN19" s="2072"/>
      <c r="BO19" s="2072"/>
      <c r="BP19" s="2072"/>
      <c r="BQ19" s="2108"/>
    </row>
    <row r="20" spans="1:69" s="2042" customFormat="1" ht="33.75" customHeight="1" x14ac:dyDescent="0.25">
      <c r="A20" s="2109"/>
      <c r="B20" s="2110"/>
      <c r="C20" s="2110"/>
      <c r="D20" s="2111"/>
      <c r="E20" s="2112"/>
      <c r="F20" s="2112"/>
      <c r="G20" s="2111"/>
      <c r="H20" s="2112"/>
      <c r="I20" s="2113"/>
      <c r="J20" s="3592">
        <v>72</v>
      </c>
      <c r="K20" s="3584" t="s">
        <v>1927</v>
      </c>
      <c r="L20" s="3584" t="s">
        <v>1928</v>
      </c>
      <c r="M20" s="3618"/>
      <c r="N20" s="3568" t="s">
        <v>2073</v>
      </c>
      <c r="O20" s="3568" t="s">
        <v>1929</v>
      </c>
      <c r="P20" s="3567" t="s">
        <v>1930</v>
      </c>
      <c r="Q20" s="3620">
        <f>+(V20)/R20</f>
        <v>3.1862745098039214E-2</v>
      </c>
      <c r="R20" s="3586">
        <f>V20+V22</f>
        <v>1632000000</v>
      </c>
      <c r="S20" s="3635" t="s">
        <v>1931</v>
      </c>
      <c r="T20" s="3635" t="s">
        <v>1932</v>
      </c>
      <c r="U20" s="3636" t="s">
        <v>1933</v>
      </c>
      <c r="V20" s="3638">
        <v>52000000</v>
      </c>
      <c r="W20" s="3638"/>
      <c r="X20" s="3638"/>
      <c r="Y20" s="3631">
        <v>25</v>
      </c>
      <c r="Z20" s="3633" t="s">
        <v>2074</v>
      </c>
      <c r="AA20" s="3593">
        <v>20196</v>
      </c>
      <c r="AB20" s="3592">
        <v>20196</v>
      </c>
      <c r="AC20" s="3593">
        <v>20595</v>
      </c>
      <c r="AD20" s="3592">
        <v>20595</v>
      </c>
      <c r="AE20" s="3593">
        <v>29775</v>
      </c>
      <c r="AF20" s="3592">
        <v>20775</v>
      </c>
      <c r="AG20" s="3593">
        <v>9453</v>
      </c>
      <c r="AH20" s="3592">
        <v>9453</v>
      </c>
      <c r="AI20" s="3593">
        <v>1296</v>
      </c>
      <c r="AJ20" s="3592">
        <v>1396</v>
      </c>
      <c r="AK20" s="3593">
        <v>167</v>
      </c>
      <c r="AL20" s="3593">
        <v>167</v>
      </c>
      <c r="AM20" s="3593">
        <v>274</v>
      </c>
      <c r="AN20" s="3593">
        <v>274</v>
      </c>
      <c r="AO20" s="3593">
        <v>330</v>
      </c>
      <c r="AP20" s="3593">
        <v>330</v>
      </c>
      <c r="AQ20" s="3593">
        <v>0</v>
      </c>
      <c r="AR20" s="3593">
        <v>0</v>
      </c>
      <c r="AS20" s="3593">
        <v>0</v>
      </c>
      <c r="AT20" s="3593">
        <v>0</v>
      </c>
      <c r="AU20" s="3593">
        <v>0</v>
      </c>
      <c r="AV20" s="3593">
        <v>0</v>
      </c>
      <c r="AW20" s="3593">
        <v>0</v>
      </c>
      <c r="AX20" s="3593">
        <v>0</v>
      </c>
      <c r="AY20" s="3593">
        <v>3097</v>
      </c>
      <c r="AZ20" s="3593">
        <v>3097</v>
      </c>
      <c r="BA20" s="3593">
        <v>2611</v>
      </c>
      <c r="BB20" s="3593">
        <v>2611</v>
      </c>
      <c r="BC20" s="3593">
        <v>50</v>
      </c>
      <c r="BD20" s="3593">
        <v>50</v>
      </c>
      <c r="BE20" s="3593">
        <v>40791</v>
      </c>
      <c r="BF20" s="3593">
        <v>40791</v>
      </c>
      <c r="BG20" s="3566">
        <v>46</v>
      </c>
      <c r="BH20" s="3649">
        <f>+W22</f>
        <v>1187277568</v>
      </c>
      <c r="BI20" s="3649">
        <f>+X22</f>
        <v>123913140</v>
      </c>
      <c r="BJ20" s="3650">
        <f>+BI20/BH20</f>
        <v>0.10436745655755537</v>
      </c>
      <c r="BK20" s="3592" t="s">
        <v>2075</v>
      </c>
      <c r="BL20" s="3599" t="s">
        <v>2076</v>
      </c>
      <c r="BM20" s="3640">
        <v>43876</v>
      </c>
      <c r="BN20" s="3640">
        <v>43876</v>
      </c>
      <c r="BO20" s="3640" t="s">
        <v>2077</v>
      </c>
      <c r="BP20" s="3641">
        <v>44196</v>
      </c>
      <c r="BQ20" s="3566" t="s">
        <v>2078</v>
      </c>
    </row>
    <row r="21" spans="1:69" s="2042" customFormat="1" ht="58.5" customHeight="1" x14ac:dyDescent="0.25">
      <c r="A21" s="2109"/>
      <c r="B21" s="2110"/>
      <c r="C21" s="2110"/>
      <c r="D21" s="2111"/>
      <c r="E21" s="2112"/>
      <c r="F21" s="2112"/>
      <c r="G21" s="2111"/>
      <c r="H21" s="2112"/>
      <c r="I21" s="2113"/>
      <c r="J21" s="3606"/>
      <c r="K21" s="3617"/>
      <c r="L21" s="3617"/>
      <c r="M21" s="3619"/>
      <c r="N21" s="3568"/>
      <c r="O21" s="3568"/>
      <c r="P21" s="3567"/>
      <c r="Q21" s="3621"/>
      <c r="R21" s="3586"/>
      <c r="S21" s="3635"/>
      <c r="T21" s="3635"/>
      <c r="U21" s="3637"/>
      <c r="V21" s="3639"/>
      <c r="W21" s="3639"/>
      <c r="X21" s="3639"/>
      <c r="Y21" s="3632"/>
      <c r="Z21" s="3634"/>
      <c r="AA21" s="3593"/>
      <c r="AB21" s="3593"/>
      <c r="AC21" s="3593"/>
      <c r="AD21" s="3593"/>
      <c r="AE21" s="3593"/>
      <c r="AF21" s="3593"/>
      <c r="AG21" s="3593"/>
      <c r="AH21" s="3593"/>
      <c r="AI21" s="3593"/>
      <c r="AJ21" s="3593"/>
      <c r="AK21" s="3593"/>
      <c r="AL21" s="3593"/>
      <c r="AM21" s="3593"/>
      <c r="AN21" s="3593"/>
      <c r="AO21" s="3593"/>
      <c r="AP21" s="3593"/>
      <c r="AQ21" s="3593"/>
      <c r="AR21" s="3593"/>
      <c r="AS21" s="3593"/>
      <c r="AT21" s="3593"/>
      <c r="AU21" s="3593"/>
      <c r="AV21" s="3593"/>
      <c r="AW21" s="3593"/>
      <c r="AX21" s="3593"/>
      <c r="AY21" s="3593"/>
      <c r="AZ21" s="3593"/>
      <c r="BA21" s="3593"/>
      <c r="BB21" s="3593"/>
      <c r="BC21" s="3593"/>
      <c r="BD21" s="3593"/>
      <c r="BE21" s="3593"/>
      <c r="BF21" s="3593"/>
      <c r="BG21" s="3566"/>
      <c r="BH21" s="3649"/>
      <c r="BI21" s="3649"/>
      <c r="BJ21" s="3650"/>
      <c r="BK21" s="3593"/>
      <c r="BL21" s="3566"/>
      <c r="BM21" s="3640"/>
      <c r="BN21" s="3640"/>
      <c r="BO21" s="3640"/>
      <c r="BP21" s="3641"/>
      <c r="BQ21" s="3566"/>
    </row>
    <row r="22" spans="1:69" s="2042" customFormat="1" ht="45" x14ac:dyDescent="0.25">
      <c r="A22" s="2109"/>
      <c r="B22" s="2110"/>
      <c r="C22" s="2110"/>
      <c r="D22" s="2111"/>
      <c r="E22" s="2112"/>
      <c r="F22" s="2112"/>
      <c r="G22" s="2111"/>
      <c r="H22" s="2112"/>
      <c r="I22" s="2113"/>
      <c r="J22" s="2114">
        <v>73</v>
      </c>
      <c r="K22" s="2115" t="s">
        <v>1935</v>
      </c>
      <c r="L22" s="2115" t="s">
        <v>180</v>
      </c>
      <c r="M22" s="2116"/>
      <c r="N22" s="3568"/>
      <c r="O22" s="3568"/>
      <c r="P22" s="3567"/>
      <c r="Q22" s="2117">
        <f>+(V22)/R20</f>
        <v>0.96813725490196079</v>
      </c>
      <c r="R22" s="3586"/>
      <c r="S22" s="3635"/>
      <c r="T22" s="3635"/>
      <c r="U22" s="2118" t="s">
        <v>1936</v>
      </c>
      <c r="V22" s="2119">
        <v>1580000000</v>
      </c>
      <c r="W22" s="2120">
        <v>1187277568</v>
      </c>
      <c r="X22" s="2121">
        <v>123913140</v>
      </c>
      <c r="Y22" s="2122">
        <v>25</v>
      </c>
      <c r="Z22" s="2123" t="s">
        <v>1934</v>
      </c>
      <c r="AA22" s="3593"/>
      <c r="AB22" s="3606"/>
      <c r="AC22" s="3593"/>
      <c r="AD22" s="3606"/>
      <c r="AE22" s="3593"/>
      <c r="AF22" s="3606"/>
      <c r="AG22" s="3593"/>
      <c r="AH22" s="3606"/>
      <c r="AI22" s="3593"/>
      <c r="AJ22" s="3606"/>
      <c r="AK22" s="3593"/>
      <c r="AL22" s="3593"/>
      <c r="AM22" s="3593"/>
      <c r="AN22" s="3593"/>
      <c r="AO22" s="3593"/>
      <c r="AP22" s="3593"/>
      <c r="AQ22" s="3593"/>
      <c r="AR22" s="3593"/>
      <c r="AS22" s="3593"/>
      <c r="AT22" s="3593"/>
      <c r="AU22" s="3593"/>
      <c r="AV22" s="3593"/>
      <c r="AW22" s="3593"/>
      <c r="AX22" s="3593"/>
      <c r="AY22" s="3593"/>
      <c r="AZ22" s="3593"/>
      <c r="BA22" s="3593"/>
      <c r="BB22" s="3593"/>
      <c r="BC22" s="3593"/>
      <c r="BD22" s="3593"/>
      <c r="BE22" s="3593"/>
      <c r="BF22" s="3593"/>
      <c r="BG22" s="3566"/>
      <c r="BH22" s="3649"/>
      <c r="BI22" s="3649"/>
      <c r="BJ22" s="3650"/>
      <c r="BK22" s="3606"/>
      <c r="BL22" s="3600"/>
      <c r="BM22" s="3640"/>
      <c r="BN22" s="3640"/>
      <c r="BO22" s="3640"/>
      <c r="BP22" s="3641"/>
      <c r="BQ22" s="3566"/>
    </row>
    <row r="23" spans="1:69" s="2042" customFormat="1" ht="31.5" customHeight="1" x14ac:dyDescent="0.25">
      <c r="A23" s="2109"/>
      <c r="B23" s="2110"/>
      <c r="C23" s="2110"/>
      <c r="D23" s="3642"/>
      <c r="E23" s="2112"/>
      <c r="F23" s="3643"/>
      <c r="G23" s="3642"/>
      <c r="H23" s="2112"/>
      <c r="I23" s="3644"/>
      <c r="J23" s="3645">
        <v>74</v>
      </c>
      <c r="K23" s="3646" t="s">
        <v>1937</v>
      </c>
      <c r="L23" s="3647" t="s">
        <v>1938</v>
      </c>
      <c r="M23" s="3618"/>
      <c r="N23" s="3656" t="s">
        <v>2079</v>
      </c>
      <c r="O23" s="3656" t="s">
        <v>1939</v>
      </c>
      <c r="P23" s="3635" t="s">
        <v>1940</v>
      </c>
      <c r="Q23" s="3657">
        <v>1</v>
      </c>
      <c r="R23" s="3659">
        <f>SUM(V23:V25)</f>
        <v>151768000000</v>
      </c>
      <c r="S23" s="3635" t="s">
        <v>1941</v>
      </c>
      <c r="T23" s="3567" t="s">
        <v>1942</v>
      </c>
      <c r="U23" s="3651" t="s">
        <v>1943</v>
      </c>
      <c r="V23" s="2096">
        <v>128238000000</v>
      </c>
      <c r="W23" s="2124">
        <v>27145659945</v>
      </c>
      <c r="X23" s="2125">
        <v>26695715115</v>
      </c>
      <c r="Y23" s="2126">
        <v>25</v>
      </c>
      <c r="Z23" s="2098" t="s">
        <v>1934</v>
      </c>
      <c r="AA23" s="3652">
        <v>20196</v>
      </c>
      <c r="AB23" s="3653">
        <v>20196</v>
      </c>
      <c r="AC23" s="3653">
        <v>20595</v>
      </c>
      <c r="AD23" s="3653">
        <v>20595</v>
      </c>
      <c r="AE23" s="3618">
        <v>29775</v>
      </c>
      <c r="AF23" s="3618">
        <v>29775</v>
      </c>
      <c r="AG23" s="3618">
        <v>9453</v>
      </c>
      <c r="AH23" s="3618">
        <v>9453</v>
      </c>
      <c r="AI23" s="3618">
        <v>1396</v>
      </c>
      <c r="AJ23" s="3618">
        <v>1396</v>
      </c>
      <c r="AK23" s="3618">
        <v>167</v>
      </c>
      <c r="AL23" s="3618">
        <v>167</v>
      </c>
      <c r="AM23" s="3618">
        <v>274</v>
      </c>
      <c r="AN23" s="3618">
        <v>274</v>
      </c>
      <c r="AO23" s="3618">
        <v>330</v>
      </c>
      <c r="AP23" s="3618">
        <v>330</v>
      </c>
      <c r="AQ23" s="3618">
        <v>0</v>
      </c>
      <c r="AR23" s="3618">
        <v>0</v>
      </c>
      <c r="AS23" s="3618">
        <v>0</v>
      </c>
      <c r="AT23" s="3618">
        <v>0</v>
      </c>
      <c r="AU23" s="3618">
        <v>0</v>
      </c>
      <c r="AV23" s="3618">
        <v>0</v>
      </c>
      <c r="AW23" s="3618">
        <v>0</v>
      </c>
      <c r="AX23" s="3618">
        <v>0</v>
      </c>
      <c r="AY23" s="3660">
        <v>3097</v>
      </c>
      <c r="AZ23" s="3660">
        <v>3097</v>
      </c>
      <c r="BA23" s="3660">
        <v>2611</v>
      </c>
      <c r="BB23" s="3660">
        <v>2611</v>
      </c>
      <c r="BC23" s="3660">
        <v>50</v>
      </c>
      <c r="BD23" s="3660">
        <v>50</v>
      </c>
      <c r="BE23" s="3673">
        <v>40791</v>
      </c>
      <c r="BF23" s="3673">
        <v>40791</v>
      </c>
      <c r="BG23" s="3673">
        <v>1</v>
      </c>
      <c r="BH23" s="3668">
        <f>+W23+W25</f>
        <v>33887985917</v>
      </c>
      <c r="BI23" s="3668">
        <f>+X23+X25</f>
        <v>33438041087</v>
      </c>
      <c r="BJ23" s="3670">
        <f>+BI23/BH23</f>
        <v>0.98672258566496029</v>
      </c>
      <c r="BK23" s="3664" t="s">
        <v>2075</v>
      </c>
      <c r="BL23" s="3673" t="s">
        <v>2080</v>
      </c>
      <c r="BM23" s="3662">
        <v>43466</v>
      </c>
      <c r="BN23" s="3662">
        <v>43466</v>
      </c>
      <c r="BO23" s="3662">
        <v>43830</v>
      </c>
      <c r="BP23" s="3662">
        <v>43830</v>
      </c>
      <c r="BQ23" s="3664" t="s">
        <v>2081</v>
      </c>
    </row>
    <row r="24" spans="1:69" s="2042" customFormat="1" ht="36" customHeight="1" x14ac:dyDescent="0.25">
      <c r="A24" s="2109"/>
      <c r="B24" s="2110"/>
      <c r="C24" s="2110"/>
      <c r="D24" s="3642"/>
      <c r="E24" s="2112"/>
      <c r="F24" s="3643"/>
      <c r="G24" s="3642"/>
      <c r="H24" s="2112"/>
      <c r="I24" s="3644"/>
      <c r="J24" s="3645"/>
      <c r="K24" s="3646"/>
      <c r="L24" s="3648"/>
      <c r="M24" s="3655"/>
      <c r="N24" s="3656"/>
      <c r="O24" s="3656"/>
      <c r="P24" s="3635"/>
      <c r="Q24" s="3658"/>
      <c r="R24" s="3659"/>
      <c r="S24" s="3635"/>
      <c r="T24" s="3567"/>
      <c r="U24" s="3651"/>
      <c r="V24" s="2096">
        <v>30000000</v>
      </c>
      <c r="W24" s="2124"/>
      <c r="X24" s="2125"/>
      <c r="Y24" s="2126">
        <v>9</v>
      </c>
      <c r="Z24" s="2088" t="s">
        <v>2082</v>
      </c>
      <c r="AA24" s="3643"/>
      <c r="AB24" s="3654"/>
      <c r="AC24" s="3654"/>
      <c r="AD24" s="3654"/>
      <c r="AE24" s="3655"/>
      <c r="AF24" s="3655"/>
      <c r="AG24" s="3655"/>
      <c r="AH24" s="3655"/>
      <c r="AI24" s="3655"/>
      <c r="AJ24" s="3655"/>
      <c r="AK24" s="3655"/>
      <c r="AL24" s="3655"/>
      <c r="AM24" s="3655"/>
      <c r="AN24" s="3655"/>
      <c r="AO24" s="3655"/>
      <c r="AP24" s="3655"/>
      <c r="AQ24" s="3655"/>
      <c r="AR24" s="3655"/>
      <c r="AS24" s="3655"/>
      <c r="AT24" s="3655"/>
      <c r="AU24" s="3655"/>
      <c r="AV24" s="3655"/>
      <c r="AW24" s="3655"/>
      <c r="AX24" s="3655"/>
      <c r="AY24" s="3661"/>
      <c r="AZ24" s="3661"/>
      <c r="BA24" s="3661"/>
      <c r="BB24" s="3661"/>
      <c r="BC24" s="3661"/>
      <c r="BD24" s="3661"/>
      <c r="BE24" s="3672"/>
      <c r="BF24" s="3672"/>
      <c r="BG24" s="3672"/>
      <c r="BH24" s="3669"/>
      <c r="BI24" s="3669"/>
      <c r="BJ24" s="3671"/>
      <c r="BK24" s="3672"/>
      <c r="BL24" s="3672"/>
      <c r="BM24" s="3663"/>
      <c r="BN24" s="3663"/>
      <c r="BO24" s="3663"/>
      <c r="BP24" s="3663"/>
      <c r="BQ24" s="3665"/>
    </row>
    <row r="25" spans="1:69" s="2042" customFormat="1" ht="60" customHeight="1" x14ac:dyDescent="0.25">
      <c r="A25" s="2109"/>
      <c r="B25" s="2110"/>
      <c r="C25" s="2110"/>
      <c r="D25" s="3642"/>
      <c r="E25" s="2112"/>
      <c r="F25" s="3643"/>
      <c r="G25" s="3642"/>
      <c r="H25" s="2112"/>
      <c r="I25" s="3644"/>
      <c r="J25" s="3645"/>
      <c r="K25" s="3646"/>
      <c r="L25" s="3648"/>
      <c r="M25" s="3655"/>
      <c r="N25" s="3656"/>
      <c r="O25" s="3656"/>
      <c r="P25" s="3635"/>
      <c r="Q25" s="3658"/>
      <c r="R25" s="3659"/>
      <c r="S25" s="3635"/>
      <c r="T25" s="3567"/>
      <c r="U25" s="3651"/>
      <c r="V25" s="2096">
        <v>23500000000</v>
      </c>
      <c r="W25" s="2124">
        <v>6742325972</v>
      </c>
      <c r="X25" s="2125">
        <v>6742325972</v>
      </c>
      <c r="Y25" s="2127">
        <v>26</v>
      </c>
      <c r="Z25" s="2088" t="s">
        <v>1944</v>
      </c>
      <c r="AA25" s="3643"/>
      <c r="AB25" s="3654"/>
      <c r="AC25" s="3654"/>
      <c r="AD25" s="3654"/>
      <c r="AE25" s="3655"/>
      <c r="AF25" s="3655"/>
      <c r="AG25" s="3655"/>
      <c r="AH25" s="3655"/>
      <c r="AI25" s="3655"/>
      <c r="AJ25" s="3655"/>
      <c r="AK25" s="3655"/>
      <c r="AL25" s="3655"/>
      <c r="AM25" s="3655"/>
      <c r="AN25" s="3655"/>
      <c r="AO25" s="3655"/>
      <c r="AP25" s="3655"/>
      <c r="AQ25" s="3655"/>
      <c r="AR25" s="3655"/>
      <c r="AS25" s="3655"/>
      <c r="AT25" s="3655"/>
      <c r="AU25" s="3655"/>
      <c r="AV25" s="3655"/>
      <c r="AW25" s="3655"/>
      <c r="AX25" s="3655"/>
      <c r="AY25" s="3661"/>
      <c r="AZ25" s="3661"/>
      <c r="BA25" s="3661"/>
      <c r="BB25" s="3661"/>
      <c r="BC25" s="3661"/>
      <c r="BD25" s="3661"/>
      <c r="BE25" s="3672"/>
      <c r="BF25" s="3672"/>
      <c r="BG25" s="3672"/>
      <c r="BH25" s="3669"/>
      <c r="BI25" s="3669"/>
      <c r="BJ25" s="3671"/>
      <c r="BK25" s="3672"/>
      <c r="BL25" s="3672"/>
      <c r="BM25" s="3663"/>
      <c r="BN25" s="3663"/>
      <c r="BO25" s="3663"/>
      <c r="BP25" s="3663"/>
      <c r="BQ25" s="3665"/>
    </row>
    <row r="26" spans="1:69" s="2042" customFormat="1" ht="15.75" x14ac:dyDescent="0.25">
      <c r="A26" s="2099"/>
      <c r="B26" s="2100"/>
      <c r="C26" s="2101"/>
      <c r="D26" s="2128">
        <v>6</v>
      </c>
      <c r="E26" s="2129" t="s">
        <v>1945</v>
      </c>
      <c r="F26" s="2129"/>
      <c r="G26" s="2129"/>
      <c r="H26" s="2129"/>
      <c r="I26" s="2129"/>
      <c r="J26" s="2129"/>
      <c r="K26" s="2130"/>
      <c r="L26" s="2048"/>
      <c r="M26" s="2131"/>
      <c r="N26" s="2049"/>
      <c r="O26" s="2049"/>
      <c r="P26" s="2048"/>
      <c r="Q26" s="2132"/>
      <c r="R26" s="2133"/>
      <c r="S26" s="2048"/>
      <c r="T26" s="2048"/>
      <c r="U26" s="2048"/>
      <c r="V26" s="2048"/>
      <c r="W26" s="2048"/>
      <c r="X26" s="2048"/>
      <c r="Y26" s="2048"/>
      <c r="Z26" s="2048"/>
      <c r="AA26" s="2049"/>
      <c r="AB26" s="2049"/>
      <c r="AC26" s="2049"/>
      <c r="AD26" s="2049"/>
      <c r="AE26" s="2131"/>
      <c r="AF26" s="2131"/>
      <c r="AG26" s="2131"/>
      <c r="AH26" s="2131"/>
      <c r="AI26" s="2131"/>
      <c r="AJ26" s="2131"/>
      <c r="AK26" s="2131"/>
      <c r="AL26" s="2131"/>
      <c r="AM26" s="2131"/>
      <c r="AN26" s="2131"/>
      <c r="AO26" s="2131"/>
      <c r="AP26" s="2131"/>
      <c r="AQ26" s="2131"/>
      <c r="AR26" s="2131"/>
      <c r="AS26" s="2134"/>
      <c r="AT26" s="2134"/>
      <c r="AU26" s="2134"/>
      <c r="AV26" s="2134"/>
      <c r="AW26" s="2053"/>
      <c r="AX26" s="2053"/>
      <c r="AY26" s="2053"/>
      <c r="AZ26" s="2053"/>
      <c r="BA26" s="2053"/>
      <c r="BB26" s="2053"/>
      <c r="BC26" s="2053"/>
      <c r="BD26" s="2053"/>
      <c r="BE26" s="2053"/>
      <c r="BF26" s="2053"/>
      <c r="BG26" s="2053"/>
      <c r="BH26" s="2135"/>
      <c r="BI26" s="2135"/>
      <c r="BJ26" s="2053"/>
      <c r="BK26" s="2053"/>
      <c r="BL26" s="2053"/>
      <c r="BM26" s="2053"/>
      <c r="BN26" s="2053"/>
      <c r="BO26" s="2053"/>
      <c r="BP26" s="2053"/>
      <c r="BQ26" s="2136"/>
    </row>
    <row r="27" spans="1:69" s="2042" customFormat="1" ht="15.75" x14ac:dyDescent="0.25">
      <c r="A27" s="2099"/>
      <c r="B27" s="2137"/>
      <c r="C27" s="2137"/>
      <c r="D27" s="2138"/>
      <c r="E27" s="2139"/>
      <c r="F27" s="2140"/>
      <c r="G27" s="2141">
        <v>19</v>
      </c>
      <c r="H27" s="2061" t="s">
        <v>1946</v>
      </c>
      <c r="I27" s="2061"/>
      <c r="J27" s="2061"/>
      <c r="K27" s="2062"/>
      <c r="L27" s="2062"/>
      <c r="M27" s="2104"/>
      <c r="N27" s="2142"/>
      <c r="O27" s="2104"/>
      <c r="P27" s="2062"/>
      <c r="Q27" s="2104"/>
      <c r="R27" s="2106"/>
      <c r="S27" s="2062"/>
      <c r="T27" s="2062"/>
      <c r="U27" s="2062"/>
      <c r="V27" s="2062"/>
      <c r="W27" s="2062"/>
      <c r="X27" s="2062"/>
      <c r="Y27" s="2062"/>
      <c r="Z27" s="2062"/>
      <c r="AA27" s="2104"/>
      <c r="AB27" s="2104"/>
      <c r="AC27" s="2104"/>
      <c r="AD27" s="2104"/>
      <c r="AE27" s="2104"/>
      <c r="AF27" s="2104"/>
      <c r="AG27" s="2104"/>
      <c r="AH27" s="2104"/>
      <c r="AI27" s="2104"/>
      <c r="AJ27" s="2104"/>
      <c r="AK27" s="2104"/>
      <c r="AL27" s="2104"/>
      <c r="AM27" s="2104"/>
      <c r="AN27" s="2104"/>
      <c r="AO27" s="2104"/>
      <c r="AP27" s="2104"/>
      <c r="AQ27" s="2104"/>
      <c r="AR27" s="2104"/>
      <c r="AS27" s="2104"/>
      <c r="AT27" s="2104"/>
      <c r="AU27" s="2104"/>
      <c r="AV27" s="2104"/>
      <c r="AW27" s="2072"/>
      <c r="AX27" s="2072"/>
      <c r="AY27" s="2072"/>
      <c r="AZ27" s="2072"/>
      <c r="BA27" s="2072"/>
      <c r="BB27" s="2072"/>
      <c r="BC27" s="2072"/>
      <c r="BD27" s="2072"/>
      <c r="BE27" s="2072"/>
      <c r="BF27" s="2072"/>
      <c r="BG27" s="2072"/>
      <c r="BH27" s="2107"/>
      <c r="BI27" s="2107"/>
      <c r="BJ27" s="2072"/>
      <c r="BK27" s="2072"/>
      <c r="BL27" s="2072"/>
      <c r="BM27" s="2072"/>
      <c r="BN27" s="2072"/>
      <c r="BO27" s="2072"/>
      <c r="BP27" s="2072"/>
      <c r="BQ27" s="2108"/>
    </row>
    <row r="28" spans="1:69" s="2042" customFormat="1" ht="15.75" x14ac:dyDescent="0.25">
      <c r="A28" s="2111"/>
      <c r="B28" s="2112"/>
      <c r="C28" s="2112"/>
      <c r="D28" s="2111"/>
      <c r="E28" s="2112"/>
      <c r="F28" s="2113"/>
      <c r="G28" s="2141">
        <v>20</v>
      </c>
      <c r="H28" s="2061" t="s">
        <v>2083</v>
      </c>
      <c r="I28" s="2061"/>
      <c r="J28" s="2061"/>
      <c r="K28" s="2062"/>
      <c r="L28" s="2062"/>
      <c r="M28" s="2104"/>
      <c r="N28" s="2142"/>
      <c r="O28" s="2104"/>
      <c r="P28" s="2062"/>
      <c r="Q28" s="2104"/>
      <c r="R28" s="2106"/>
      <c r="S28" s="2062"/>
      <c r="T28" s="2062"/>
      <c r="U28" s="2062"/>
      <c r="V28" s="2062"/>
      <c r="W28" s="2062"/>
      <c r="X28" s="2062"/>
      <c r="Y28" s="2062"/>
      <c r="Z28" s="2062"/>
      <c r="AA28" s="2104"/>
      <c r="AB28" s="2104"/>
      <c r="AC28" s="2104"/>
      <c r="AD28" s="2104"/>
      <c r="AE28" s="2104"/>
      <c r="AF28" s="2104"/>
      <c r="AG28" s="2104"/>
      <c r="AH28" s="2104"/>
      <c r="AI28" s="2104"/>
      <c r="AJ28" s="2104"/>
      <c r="AK28" s="2104"/>
      <c r="AL28" s="2104"/>
      <c r="AM28" s="2104"/>
      <c r="AN28" s="2104"/>
      <c r="AO28" s="2104"/>
      <c r="AP28" s="2104"/>
      <c r="AQ28" s="2104"/>
      <c r="AR28" s="2104"/>
      <c r="AS28" s="2104"/>
      <c r="AT28" s="2104"/>
      <c r="AU28" s="2104"/>
      <c r="AV28" s="2104"/>
      <c r="AW28" s="2072"/>
      <c r="AX28" s="2072"/>
      <c r="AY28" s="2072"/>
      <c r="AZ28" s="2072"/>
      <c r="BA28" s="2072"/>
      <c r="BB28" s="2072"/>
      <c r="BC28" s="2072"/>
      <c r="BD28" s="2072"/>
      <c r="BE28" s="2072"/>
      <c r="BF28" s="2072"/>
      <c r="BG28" s="2072"/>
      <c r="BH28" s="2107"/>
      <c r="BI28" s="2143"/>
      <c r="BJ28" s="2072"/>
      <c r="BK28" s="2072"/>
      <c r="BL28" s="2072"/>
      <c r="BM28" s="2072"/>
      <c r="BN28" s="2072"/>
      <c r="BO28" s="2072"/>
      <c r="BP28" s="2072"/>
      <c r="BQ28" s="2108"/>
    </row>
    <row r="29" spans="1:69" s="2042" customFormat="1" ht="51" customHeight="1" x14ac:dyDescent="0.25">
      <c r="A29" s="2144"/>
      <c r="B29" s="2030"/>
      <c r="C29" s="2030"/>
      <c r="D29" s="2145"/>
      <c r="E29" s="2146"/>
      <c r="F29" s="2147"/>
      <c r="G29" s="3666"/>
      <c r="H29" s="3666"/>
      <c r="I29" s="3667"/>
      <c r="J29" s="2114">
        <v>83</v>
      </c>
      <c r="K29" s="2148" t="s">
        <v>1947</v>
      </c>
      <c r="L29" s="2148" t="s">
        <v>1948</v>
      </c>
      <c r="M29" s="2149"/>
      <c r="N29" s="3599" t="s">
        <v>2084</v>
      </c>
      <c r="O29" s="3566" t="s">
        <v>1949</v>
      </c>
      <c r="P29" s="3611" t="s">
        <v>1950</v>
      </c>
      <c r="Q29" s="2150">
        <f>V29/R29</f>
        <v>0.28680777360809767</v>
      </c>
      <c r="R29" s="3649">
        <f>SUM(V29:V39)</f>
        <v>214778000</v>
      </c>
      <c r="S29" s="3611" t="s">
        <v>1951</v>
      </c>
      <c r="T29" s="2148" t="s">
        <v>1952</v>
      </c>
      <c r="U29" s="2148" t="s">
        <v>1953</v>
      </c>
      <c r="V29" s="2151">
        <v>61600000</v>
      </c>
      <c r="W29" s="2151">
        <v>20600000</v>
      </c>
      <c r="X29" s="2151"/>
      <c r="Y29" s="2152">
        <v>20</v>
      </c>
      <c r="Z29" s="2153" t="s">
        <v>70</v>
      </c>
      <c r="AA29" s="3592">
        <v>20196</v>
      </c>
      <c r="AB29" s="3592">
        <v>20196</v>
      </c>
      <c r="AC29" s="3592">
        <v>20595</v>
      </c>
      <c r="AD29" s="3592">
        <v>20595</v>
      </c>
      <c r="AE29" s="3678">
        <v>29775</v>
      </c>
      <c r="AF29" s="3678">
        <v>29775</v>
      </c>
      <c r="AG29" s="3678">
        <v>94543</v>
      </c>
      <c r="AH29" s="3678">
        <v>94543</v>
      </c>
      <c r="AI29" s="3678">
        <v>1396</v>
      </c>
      <c r="AJ29" s="3678">
        <v>1396</v>
      </c>
      <c r="AK29" s="3678">
        <v>167</v>
      </c>
      <c r="AL29" s="3678">
        <v>167</v>
      </c>
      <c r="AM29" s="3678">
        <v>274</v>
      </c>
      <c r="AN29" s="3678">
        <v>274</v>
      </c>
      <c r="AO29" s="3678">
        <v>330</v>
      </c>
      <c r="AP29" s="3678">
        <v>330</v>
      </c>
      <c r="AQ29" s="3678">
        <v>0</v>
      </c>
      <c r="AR29" s="3678">
        <v>0</v>
      </c>
      <c r="AS29" s="3678">
        <v>0</v>
      </c>
      <c r="AT29" s="3678">
        <v>0</v>
      </c>
      <c r="AU29" s="3678">
        <v>0</v>
      </c>
      <c r="AV29" s="3678">
        <v>0</v>
      </c>
      <c r="AW29" s="3678">
        <v>0</v>
      </c>
      <c r="AX29" s="3678">
        <v>0</v>
      </c>
      <c r="AY29" s="3678">
        <v>3097</v>
      </c>
      <c r="AZ29" s="3678">
        <v>3097</v>
      </c>
      <c r="BA29" s="3678">
        <v>2611</v>
      </c>
      <c r="BB29" s="3678">
        <v>2611</v>
      </c>
      <c r="BC29" s="3678">
        <v>50</v>
      </c>
      <c r="BD29" s="3678">
        <v>50</v>
      </c>
      <c r="BE29" s="3678">
        <v>40791</v>
      </c>
      <c r="BF29" s="3678">
        <v>40791</v>
      </c>
      <c r="BG29" s="2154">
        <v>3</v>
      </c>
      <c r="BH29" s="2155">
        <f>+W29</f>
        <v>20600000</v>
      </c>
      <c r="BI29" s="2155">
        <f>+X29</f>
        <v>0</v>
      </c>
      <c r="BJ29" s="2156">
        <f>+BI29/BH29</f>
        <v>0</v>
      </c>
      <c r="BK29" s="3686" t="s">
        <v>70</v>
      </c>
      <c r="BL29" s="3689" t="s">
        <v>2085</v>
      </c>
      <c r="BM29" s="2157">
        <v>43862</v>
      </c>
      <c r="BN29" s="2157">
        <v>43862</v>
      </c>
      <c r="BO29" s="2157">
        <v>43982</v>
      </c>
      <c r="BP29" s="2157">
        <v>43982</v>
      </c>
      <c r="BQ29" s="3664" t="s">
        <v>2068</v>
      </c>
    </row>
    <row r="30" spans="1:69" s="2042" customFormat="1" ht="37.5" customHeight="1" x14ac:dyDescent="0.25">
      <c r="A30" s="2144"/>
      <c r="B30" s="2030"/>
      <c r="C30" s="2030"/>
      <c r="D30" s="2145"/>
      <c r="E30" s="2146"/>
      <c r="F30" s="2147"/>
      <c r="G30" s="3666"/>
      <c r="H30" s="3666"/>
      <c r="I30" s="3667"/>
      <c r="J30" s="3592">
        <v>87</v>
      </c>
      <c r="K30" s="3674" t="s">
        <v>1954</v>
      </c>
      <c r="L30" s="3674" t="s">
        <v>1955</v>
      </c>
      <c r="M30" s="3592"/>
      <c r="N30" s="3566"/>
      <c r="O30" s="3566"/>
      <c r="P30" s="3611"/>
      <c r="Q30" s="3676">
        <f>(+V30+V31)/R29</f>
        <v>0.20951866578513628</v>
      </c>
      <c r="R30" s="3649"/>
      <c r="S30" s="3611"/>
      <c r="T30" s="3610" t="s">
        <v>1956</v>
      </c>
      <c r="U30" s="3610" t="s">
        <v>1957</v>
      </c>
      <c r="V30" s="2151">
        <v>25000000</v>
      </c>
      <c r="W30" s="2151"/>
      <c r="X30" s="2151"/>
      <c r="Y30" s="2158">
        <v>21</v>
      </c>
      <c r="Z30" s="2153" t="s">
        <v>2086</v>
      </c>
      <c r="AA30" s="3593"/>
      <c r="AB30" s="3593"/>
      <c r="AC30" s="3593"/>
      <c r="AD30" s="3593"/>
      <c r="AE30" s="3679"/>
      <c r="AF30" s="3679"/>
      <c r="AG30" s="3679"/>
      <c r="AH30" s="3679"/>
      <c r="AI30" s="3679"/>
      <c r="AJ30" s="3679"/>
      <c r="AK30" s="3679"/>
      <c r="AL30" s="3679"/>
      <c r="AM30" s="3679"/>
      <c r="AN30" s="3679"/>
      <c r="AO30" s="3679"/>
      <c r="AP30" s="3679"/>
      <c r="AQ30" s="3679"/>
      <c r="AR30" s="3679"/>
      <c r="AS30" s="3679"/>
      <c r="AT30" s="3679"/>
      <c r="AU30" s="3679"/>
      <c r="AV30" s="3679"/>
      <c r="AW30" s="3679"/>
      <c r="AX30" s="3679"/>
      <c r="AY30" s="3679"/>
      <c r="AZ30" s="3679"/>
      <c r="BA30" s="3679"/>
      <c r="BB30" s="3679"/>
      <c r="BC30" s="3679"/>
      <c r="BD30" s="3679"/>
      <c r="BE30" s="3679"/>
      <c r="BF30" s="3679"/>
      <c r="BG30" s="3684"/>
      <c r="BH30" s="3622"/>
      <c r="BI30" s="3622"/>
      <c r="BJ30" s="3624"/>
      <c r="BK30" s="3687"/>
      <c r="BL30" s="3690"/>
      <c r="BM30" s="3680"/>
      <c r="BN30" s="3680"/>
      <c r="BO30" s="3680"/>
      <c r="BP30" s="3680"/>
      <c r="BQ30" s="3665"/>
    </row>
    <row r="31" spans="1:69" s="2042" customFormat="1" ht="40.5" customHeight="1" x14ac:dyDescent="0.25">
      <c r="A31" s="2144"/>
      <c r="B31" s="2030"/>
      <c r="C31" s="2030"/>
      <c r="D31" s="2145"/>
      <c r="E31" s="2146"/>
      <c r="F31" s="2147"/>
      <c r="G31" s="3666"/>
      <c r="H31" s="3666"/>
      <c r="I31" s="3667"/>
      <c r="J31" s="3606"/>
      <c r="K31" s="3675"/>
      <c r="L31" s="3675"/>
      <c r="M31" s="3606"/>
      <c r="N31" s="3566"/>
      <c r="O31" s="3566"/>
      <c r="P31" s="3611"/>
      <c r="Q31" s="3677"/>
      <c r="R31" s="3649"/>
      <c r="S31" s="3611"/>
      <c r="T31" s="3591"/>
      <c r="U31" s="3591"/>
      <c r="V31" s="2151">
        <v>20000000</v>
      </c>
      <c r="W31" s="2151"/>
      <c r="X31" s="2151"/>
      <c r="Y31" s="2158">
        <v>20</v>
      </c>
      <c r="Z31" s="2153" t="s">
        <v>70</v>
      </c>
      <c r="AA31" s="3593"/>
      <c r="AB31" s="3593"/>
      <c r="AC31" s="3593"/>
      <c r="AD31" s="3593"/>
      <c r="AE31" s="3679"/>
      <c r="AF31" s="3679"/>
      <c r="AG31" s="3679"/>
      <c r="AH31" s="3679"/>
      <c r="AI31" s="3679"/>
      <c r="AJ31" s="3679"/>
      <c r="AK31" s="3679"/>
      <c r="AL31" s="3679"/>
      <c r="AM31" s="3679"/>
      <c r="AN31" s="3679"/>
      <c r="AO31" s="3679"/>
      <c r="AP31" s="3679"/>
      <c r="AQ31" s="3679"/>
      <c r="AR31" s="3679"/>
      <c r="AS31" s="3679"/>
      <c r="AT31" s="3679"/>
      <c r="AU31" s="3679"/>
      <c r="AV31" s="3679"/>
      <c r="AW31" s="3679"/>
      <c r="AX31" s="3679"/>
      <c r="AY31" s="3679"/>
      <c r="AZ31" s="3679"/>
      <c r="BA31" s="3679"/>
      <c r="BB31" s="3679"/>
      <c r="BC31" s="3679"/>
      <c r="BD31" s="3679"/>
      <c r="BE31" s="3679"/>
      <c r="BF31" s="3679"/>
      <c r="BG31" s="3685"/>
      <c r="BH31" s="3623"/>
      <c r="BI31" s="3623"/>
      <c r="BJ31" s="3625"/>
      <c r="BK31" s="3687"/>
      <c r="BL31" s="3690"/>
      <c r="BM31" s="3681"/>
      <c r="BN31" s="3681"/>
      <c r="BO31" s="3681"/>
      <c r="BP31" s="3681"/>
      <c r="BQ31" s="3665"/>
    </row>
    <row r="32" spans="1:69" s="2042" customFormat="1" ht="45" x14ac:dyDescent="0.25">
      <c r="A32" s="2144"/>
      <c r="B32" s="2030"/>
      <c r="C32" s="2030"/>
      <c r="D32" s="2145"/>
      <c r="E32" s="2146"/>
      <c r="F32" s="2147"/>
      <c r="G32" s="3666"/>
      <c r="H32" s="3666"/>
      <c r="I32" s="3667"/>
      <c r="J32" s="3599">
        <v>88</v>
      </c>
      <c r="K32" s="3610" t="s">
        <v>1958</v>
      </c>
      <c r="L32" s="3610" t="s">
        <v>1959</v>
      </c>
      <c r="M32" s="3599"/>
      <c r="N32" s="3566"/>
      <c r="O32" s="3566"/>
      <c r="P32" s="3611"/>
      <c r="Q32" s="3676">
        <f>(+V32+V33+V34)/R29</f>
        <v>0.16192533685945487</v>
      </c>
      <c r="R32" s="3649"/>
      <c r="S32" s="3611"/>
      <c r="T32" s="3610" t="s">
        <v>1960</v>
      </c>
      <c r="U32" s="2091" t="s">
        <v>1961</v>
      </c>
      <c r="V32" s="2159">
        <v>14553500</v>
      </c>
      <c r="W32" s="2159"/>
      <c r="X32" s="2159"/>
      <c r="Y32" s="2158">
        <v>20</v>
      </c>
      <c r="Z32" s="2153" t="s">
        <v>70</v>
      </c>
      <c r="AA32" s="3593"/>
      <c r="AB32" s="3593"/>
      <c r="AC32" s="3593"/>
      <c r="AD32" s="3593"/>
      <c r="AE32" s="3679"/>
      <c r="AF32" s="3679"/>
      <c r="AG32" s="3679"/>
      <c r="AH32" s="3679"/>
      <c r="AI32" s="3679"/>
      <c r="AJ32" s="3679"/>
      <c r="AK32" s="3679"/>
      <c r="AL32" s="3679"/>
      <c r="AM32" s="3679"/>
      <c r="AN32" s="3679"/>
      <c r="AO32" s="3679"/>
      <c r="AP32" s="3679"/>
      <c r="AQ32" s="3679"/>
      <c r="AR32" s="3679"/>
      <c r="AS32" s="3679"/>
      <c r="AT32" s="3679"/>
      <c r="AU32" s="3679"/>
      <c r="AV32" s="3679"/>
      <c r="AW32" s="3679"/>
      <c r="AX32" s="3679"/>
      <c r="AY32" s="3679"/>
      <c r="AZ32" s="3679"/>
      <c r="BA32" s="3679"/>
      <c r="BB32" s="3679"/>
      <c r="BC32" s="3679"/>
      <c r="BD32" s="3679"/>
      <c r="BE32" s="3679"/>
      <c r="BF32" s="3679"/>
      <c r="BG32" s="3678"/>
      <c r="BH32" s="3622"/>
      <c r="BI32" s="3622"/>
      <c r="BJ32" s="3624"/>
      <c r="BK32" s="3687"/>
      <c r="BL32" s="3690"/>
      <c r="BM32" s="3680"/>
      <c r="BN32" s="3680"/>
      <c r="BO32" s="3680"/>
      <c r="BP32" s="3680"/>
      <c r="BQ32" s="3665"/>
    </row>
    <row r="33" spans="1:69" s="2042" customFormat="1" ht="60" x14ac:dyDescent="0.25">
      <c r="A33" s="2144"/>
      <c r="B33" s="2030"/>
      <c r="C33" s="2030"/>
      <c r="D33" s="2145"/>
      <c r="E33" s="2146"/>
      <c r="F33" s="2147"/>
      <c r="G33" s="3666"/>
      <c r="H33" s="3666"/>
      <c r="I33" s="3667"/>
      <c r="J33" s="3566"/>
      <c r="K33" s="3611"/>
      <c r="L33" s="3611"/>
      <c r="M33" s="3566"/>
      <c r="N33" s="3566"/>
      <c r="O33" s="3566"/>
      <c r="P33" s="3611"/>
      <c r="Q33" s="3682"/>
      <c r="R33" s="3649"/>
      <c r="S33" s="3611"/>
      <c r="T33" s="3611"/>
      <c r="U33" s="2160" t="s">
        <v>1962</v>
      </c>
      <c r="V33" s="2161">
        <v>14553500</v>
      </c>
      <c r="W33" s="2161"/>
      <c r="X33" s="2161"/>
      <c r="Y33" s="2162">
        <v>20</v>
      </c>
      <c r="Z33" s="2163" t="s">
        <v>70</v>
      </c>
      <c r="AA33" s="3593"/>
      <c r="AB33" s="3593"/>
      <c r="AC33" s="3593"/>
      <c r="AD33" s="3593"/>
      <c r="AE33" s="3679"/>
      <c r="AF33" s="3679"/>
      <c r="AG33" s="3679"/>
      <c r="AH33" s="3679"/>
      <c r="AI33" s="3679"/>
      <c r="AJ33" s="3679"/>
      <c r="AK33" s="3679"/>
      <c r="AL33" s="3679"/>
      <c r="AM33" s="3679"/>
      <c r="AN33" s="3679"/>
      <c r="AO33" s="3679"/>
      <c r="AP33" s="3679"/>
      <c r="AQ33" s="3679"/>
      <c r="AR33" s="3679"/>
      <c r="AS33" s="3679"/>
      <c r="AT33" s="3679"/>
      <c r="AU33" s="3679"/>
      <c r="AV33" s="3679"/>
      <c r="AW33" s="3679"/>
      <c r="AX33" s="3679"/>
      <c r="AY33" s="3679"/>
      <c r="AZ33" s="3679"/>
      <c r="BA33" s="3679"/>
      <c r="BB33" s="3679"/>
      <c r="BC33" s="3679"/>
      <c r="BD33" s="3679"/>
      <c r="BE33" s="3679"/>
      <c r="BF33" s="3679"/>
      <c r="BG33" s="3679"/>
      <c r="BH33" s="3649"/>
      <c r="BI33" s="3649"/>
      <c r="BJ33" s="3694"/>
      <c r="BK33" s="3687"/>
      <c r="BL33" s="3690"/>
      <c r="BM33" s="3691"/>
      <c r="BN33" s="3691"/>
      <c r="BO33" s="3691"/>
      <c r="BP33" s="3691"/>
      <c r="BQ33" s="3665"/>
    </row>
    <row r="34" spans="1:69" s="2042" customFormat="1" ht="31.5" x14ac:dyDescent="0.25">
      <c r="A34" s="2144"/>
      <c r="B34" s="2030"/>
      <c r="C34" s="2030"/>
      <c r="D34" s="2145"/>
      <c r="E34" s="2146"/>
      <c r="F34" s="2147"/>
      <c r="G34" s="3666"/>
      <c r="H34" s="3666"/>
      <c r="I34" s="3667"/>
      <c r="J34" s="3600"/>
      <c r="K34" s="3591"/>
      <c r="L34" s="3591"/>
      <c r="M34" s="3600"/>
      <c r="N34" s="3566"/>
      <c r="O34" s="3566"/>
      <c r="P34" s="3611"/>
      <c r="Q34" s="3677"/>
      <c r="R34" s="3649"/>
      <c r="S34" s="3611"/>
      <c r="T34" s="3683"/>
      <c r="U34" s="2164" t="s">
        <v>2087</v>
      </c>
      <c r="V34" s="2165">
        <v>5671000</v>
      </c>
      <c r="W34" s="2165"/>
      <c r="X34" s="2165"/>
      <c r="Y34" s="2166">
        <v>20</v>
      </c>
      <c r="Z34" s="2088" t="s">
        <v>70</v>
      </c>
      <c r="AA34" s="3702"/>
      <c r="AB34" s="3593"/>
      <c r="AC34" s="3593"/>
      <c r="AD34" s="3593"/>
      <c r="AE34" s="3679"/>
      <c r="AF34" s="3679"/>
      <c r="AG34" s="3679"/>
      <c r="AH34" s="3679"/>
      <c r="AI34" s="3679"/>
      <c r="AJ34" s="3679"/>
      <c r="AK34" s="3679"/>
      <c r="AL34" s="3679"/>
      <c r="AM34" s="3679"/>
      <c r="AN34" s="3679"/>
      <c r="AO34" s="3679"/>
      <c r="AP34" s="3679"/>
      <c r="AQ34" s="3679"/>
      <c r="AR34" s="3679"/>
      <c r="AS34" s="3679"/>
      <c r="AT34" s="3679"/>
      <c r="AU34" s="3679"/>
      <c r="AV34" s="3679"/>
      <c r="AW34" s="3679"/>
      <c r="AX34" s="3679"/>
      <c r="AY34" s="3679"/>
      <c r="AZ34" s="3679"/>
      <c r="BA34" s="3679"/>
      <c r="BB34" s="3679"/>
      <c r="BC34" s="3679"/>
      <c r="BD34" s="3679"/>
      <c r="BE34" s="3679"/>
      <c r="BF34" s="3679"/>
      <c r="BG34" s="3693"/>
      <c r="BH34" s="3623"/>
      <c r="BI34" s="3623"/>
      <c r="BJ34" s="3625"/>
      <c r="BK34" s="3687"/>
      <c r="BL34" s="3690"/>
      <c r="BM34" s="3681"/>
      <c r="BN34" s="3681"/>
      <c r="BO34" s="3681"/>
      <c r="BP34" s="3681"/>
      <c r="BQ34" s="3665"/>
    </row>
    <row r="35" spans="1:69" s="2042" customFormat="1" ht="30" x14ac:dyDescent="0.25">
      <c r="A35" s="2144"/>
      <c r="B35" s="2030"/>
      <c r="C35" s="2030"/>
      <c r="D35" s="2145"/>
      <c r="E35" s="2146"/>
      <c r="F35" s="2147"/>
      <c r="G35" s="3666"/>
      <c r="H35" s="3666"/>
      <c r="I35" s="3667"/>
      <c r="J35" s="3566">
        <v>86</v>
      </c>
      <c r="K35" s="3599" t="s">
        <v>1963</v>
      </c>
      <c r="L35" s="3599" t="s">
        <v>1964</v>
      </c>
      <c r="M35" s="3599"/>
      <c r="N35" s="3566"/>
      <c r="O35" s="3566"/>
      <c r="P35" s="3611"/>
      <c r="Q35" s="3676">
        <f>V36/R29</f>
        <v>2.5142239894216354E-2</v>
      </c>
      <c r="R35" s="3649"/>
      <c r="S35" s="3651"/>
      <c r="T35" s="3692" t="s">
        <v>1956</v>
      </c>
      <c r="U35" s="2167" t="s">
        <v>1965</v>
      </c>
      <c r="V35" s="2168">
        <v>0</v>
      </c>
      <c r="W35" s="2168"/>
      <c r="X35" s="2168"/>
      <c r="Y35" s="2158">
        <v>20</v>
      </c>
      <c r="Z35" s="2153" t="s">
        <v>70</v>
      </c>
      <c r="AA35" s="3593"/>
      <c r="AB35" s="3593"/>
      <c r="AC35" s="3593"/>
      <c r="AD35" s="3593"/>
      <c r="AE35" s="3679"/>
      <c r="AF35" s="3679"/>
      <c r="AG35" s="3679"/>
      <c r="AH35" s="3679"/>
      <c r="AI35" s="3679"/>
      <c r="AJ35" s="3679"/>
      <c r="AK35" s="3679"/>
      <c r="AL35" s="3679"/>
      <c r="AM35" s="3679"/>
      <c r="AN35" s="3679"/>
      <c r="AO35" s="3679"/>
      <c r="AP35" s="3679"/>
      <c r="AQ35" s="3679"/>
      <c r="AR35" s="3679"/>
      <c r="AS35" s="3679"/>
      <c r="AT35" s="3679"/>
      <c r="AU35" s="3679"/>
      <c r="AV35" s="3679"/>
      <c r="AW35" s="3679"/>
      <c r="AX35" s="3679"/>
      <c r="AY35" s="3679"/>
      <c r="AZ35" s="3679"/>
      <c r="BA35" s="3679"/>
      <c r="BB35" s="3679"/>
      <c r="BC35" s="3679"/>
      <c r="BD35" s="3679"/>
      <c r="BE35" s="3679"/>
      <c r="BF35" s="3679"/>
      <c r="BG35" s="3678"/>
      <c r="BH35" s="3622"/>
      <c r="BI35" s="3622"/>
      <c r="BJ35" s="3624"/>
      <c r="BK35" s="3687"/>
      <c r="BL35" s="3690"/>
      <c r="BM35" s="3680"/>
      <c r="BN35" s="3680"/>
      <c r="BO35" s="3680"/>
      <c r="BP35" s="3680"/>
      <c r="BQ35" s="3665"/>
    </row>
    <row r="36" spans="1:69" s="2042" customFormat="1" ht="30" x14ac:dyDescent="0.25">
      <c r="A36" s="2144"/>
      <c r="B36" s="2030"/>
      <c r="C36" s="2030"/>
      <c r="D36" s="2145"/>
      <c r="E36" s="2146"/>
      <c r="F36" s="2147"/>
      <c r="G36" s="3666"/>
      <c r="H36" s="3666"/>
      <c r="I36" s="3667"/>
      <c r="J36" s="3600"/>
      <c r="K36" s="3600"/>
      <c r="L36" s="3600"/>
      <c r="M36" s="3600"/>
      <c r="N36" s="3566"/>
      <c r="O36" s="3566"/>
      <c r="P36" s="3611"/>
      <c r="Q36" s="3677"/>
      <c r="R36" s="3649"/>
      <c r="S36" s="3651"/>
      <c r="T36" s="3692"/>
      <c r="U36" s="2169" t="s">
        <v>2088</v>
      </c>
      <c r="V36" s="2168">
        <v>5400000</v>
      </c>
      <c r="W36" s="2168"/>
      <c r="X36" s="2168"/>
      <c r="Y36" s="2158">
        <v>20</v>
      </c>
      <c r="Z36" s="2153" t="s">
        <v>70</v>
      </c>
      <c r="AA36" s="3593"/>
      <c r="AB36" s="3593"/>
      <c r="AC36" s="3593"/>
      <c r="AD36" s="3593"/>
      <c r="AE36" s="3679"/>
      <c r="AF36" s="3679"/>
      <c r="AG36" s="3679"/>
      <c r="AH36" s="3679"/>
      <c r="AI36" s="3679"/>
      <c r="AJ36" s="3679"/>
      <c r="AK36" s="3679"/>
      <c r="AL36" s="3679"/>
      <c r="AM36" s="3679"/>
      <c r="AN36" s="3679"/>
      <c r="AO36" s="3679"/>
      <c r="AP36" s="3679"/>
      <c r="AQ36" s="3679"/>
      <c r="AR36" s="3679"/>
      <c r="AS36" s="3679"/>
      <c r="AT36" s="3679"/>
      <c r="AU36" s="3679"/>
      <c r="AV36" s="3679"/>
      <c r="AW36" s="3679"/>
      <c r="AX36" s="3679"/>
      <c r="AY36" s="3679"/>
      <c r="AZ36" s="3679"/>
      <c r="BA36" s="3679"/>
      <c r="BB36" s="3679"/>
      <c r="BC36" s="3679"/>
      <c r="BD36" s="3679"/>
      <c r="BE36" s="3679"/>
      <c r="BF36" s="3679"/>
      <c r="BG36" s="3693"/>
      <c r="BH36" s="3623"/>
      <c r="BI36" s="3623"/>
      <c r="BJ36" s="3625"/>
      <c r="BK36" s="3687"/>
      <c r="BL36" s="3690"/>
      <c r="BM36" s="3681"/>
      <c r="BN36" s="3681"/>
      <c r="BO36" s="3681"/>
      <c r="BP36" s="3681"/>
      <c r="BQ36" s="3665"/>
    </row>
    <row r="37" spans="1:69" s="2042" customFormat="1" ht="45" x14ac:dyDescent="0.25">
      <c r="A37" s="2144"/>
      <c r="B37" s="2030"/>
      <c r="C37" s="2030"/>
      <c r="D37" s="2145"/>
      <c r="E37" s="2146"/>
      <c r="F37" s="2147"/>
      <c r="G37" s="3666"/>
      <c r="H37" s="3666"/>
      <c r="I37" s="3667"/>
      <c r="J37" s="2114">
        <v>90</v>
      </c>
      <c r="K37" s="2160" t="s">
        <v>1966</v>
      </c>
      <c r="L37" s="2160" t="s">
        <v>1967</v>
      </c>
      <c r="M37" s="2170"/>
      <c r="N37" s="3566"/>
      <c r="O37" s="3566"/>
      <c r="P37" s="3611"/>
      <c r="Q37" s="2171">
        <f>+(V37)/R29</f>
        <v>0.11639925876952016</v>
      </c>
      <c r="R37" s="3649"/>
      <c r="S37" s="3651"/>
      <c r="T37" s="2172" t="s">
        <v>1968</v>
      </c>
      <c r="U37" s="2173" t="s">
        <v>1969</v>
      </c>
      <c r="V37" s="2174">
        <v>25000000</v>
      </c>
      <c r="W37" s="2174">
        <f>13060000+5300000</f>
        <v>18360000</v>
      </c>
      <c r="X37" s="2174">
        <v>18360000</v>
      </c>
      <c r="Y37" s="2158">
        <v>20</v>
      </c>
      <c r="Z37" s="2153" t="s">
        <v>70</v>
      </c>
      <c r="AA37" s="3593"/>
      <c r="AB37" s="3593"/>
      <c r="AC37" s="3593"/>
      <c r="AD37" s="3593"/>
      <c r="AE37" s="3679"/>
      <c r="AF37" s="3679"/>
      <c r="AG37" s="3679"/>
      <c r="AH37" s="3679"/>
      <c r="AI37" s="3679"/>
      <c r="AJ37" s="3679"/>
      <c r="AK37" s="3679"/>
      <c r="AL37" s="3679"/>
      <c r="AM37" s="3679"/>
      <c r="AN37" s="3679"/>
      <c r="AO37" s="3679"/>
      <c r="AP37" s="3679"/>
      <c r="AQ37" s="3679"/>
      <c r="AR37" s="3679"/>
      <c r="AS37" s="3679"/>
      <c r="AT37" s="3679"/>
      <c r="AU37" s="3679"/>
      <c r="AV37" s="3679"/>
      <c r="AW37" s="3679"/>
      <c r="AX37" s="3679"/>
      <c r="AY37" s="3679"/>
      <c r="AZ37" s="3679"/>
      <c r="BA37" s="3679"/>
      <c r="BB37" s="3679"/>
      <c r="BC37" s="3679"/>
      <c r="BD37" s="3679"/>
      <c r="BE37" s="3679"/>
      <c r="BF37" s="3679"/>
      <c r="BG37" s="2154">
        <v>2</v>
      </c>
      <c r="BH37" s="2155">
        <f>+W37</f>
        <v>18360000</v>
      </c>
      <c r="BI37" s="2155">
        <f>+X37</f>
        <v>18360000</v>
      </c>
      <c r="BJ37" s="2156">
        <f>+BI37/BH37</f>
        <v>1</v>
      </c>
      <c r="BK37" s="3687"/>
      <c r="BL37" s="2175" t="s">
        <v>2089</v>
      </c>
      <c r="BM37" s="2157">
        <v>43889</v>
      </c>
      <c r="BN37" s="2157">
        <v>43889</v>
      </c>
      <c r="BO37" s="2157">
        <v>43889</v>
      </c>
      <c r="BP37" s="2157">
        <v>43889</v>
      </c>
      <c r="BQ37" s="3665"/>
    </row>
    <row r="38" spans="1:69" s="2042" customFormat="1" ht="42" customHeight="1" x14ac:dyDescent="0.25">
      <c r="A38" s="2144"/>
      <c r="B38" s="2030"/>
      <c r="C38" s="2030"/>
      <c r="D38" s="2145"/>
      <c r="E38" s="2146"/>
      <c r="F38" s="2147"/>
      <c r="G38" s="3666"/>
      <c r="H38" s="3666"/>
      <c r="I38" s="3667"/>
      <c r="J38" s="3592">
        <v>91</v>
      </c>
      <c r="K38" s="3610" t="s">
        <v>1970</v>
      </c>
      <c r="L38" s="3610" t="s">
        <v>1971</v>
      </c>
      <c r="M38" s="3698"/>
      <c r="N38" s="3566"/>
      <c r="O38" s="3566"/>
      <c r="P38" s="3611"/>
      <c r="Q38" s="3700">
        <f>(V38+V39)/R29</f>
        <v>0.20020672508357468</v>
      </c>
      <c r="R38" s="3649"/>
      <c r="S38" s="3611"/>
      <c r="T38" s="3611" t="s">
        <v>1972</v>
      </c>
      <c r="U38" s="3610" t="s">
        <v>1973</v>
      </c>
      <c r="V38" s="2151">
        <v>25000000</v>
      </c>
      <c r="W38" s="2151"/>
      <c r="X38" s="2151"/>
      <c r="Y38" s="2158">
        <v>21</v>
      </c>
      <c r="Z38" s="2153" t="s">
        <v>2090</v>
      </c>
      <c r="AA38" s="3593"/>
      <c r="AB38" s="3593"/>
      <c r="AC38" s="3593"/>
      <c r="AD38" s="3593"/>
      <c r="AE38" s="3679"/>
      <c r="AF38" s="3679"/>
      <c r="AG38" s="3679"/>
      <c r="AH38" s="3679"/>
      <c r="AI38" s="3679"/>
      <c r="AJ38" s="3679"/>
      <c r="AK38" s="3679"/>
      <c r="AL38" s="3679"/>
      <c r="AM38" s="3679"/>
      <c r="AN38" s="3679"/>
      <c r="AO38" s="3679"/>
      <c r="AP38" s="3679"/>
      <c r="AQ38" s="3679"/>
      <c r="AR38" s="3679"/>
      <c r="AS38" s="3679"/>
      <c r="AT38" s="3679"/>
      <c r="AU38" s="3679"/>
      <c r="AV38" s="3679"/>
      <c r="AW38" s="3679"/>
      <c r="AX38" s="3679"/>
      <c r="AY38" s="3679"/>
      <c r="AZ38" s="3679"/>
      <c r="BA38" s="3679"/>
      <c r="BB38" s="3679"/>
      <c r="BC38" s="3679"/>
      <c r="BD38" s="3679"/>
      <c r="BE38" s="3679"/>
      <c r="BF38" s="3679"/>
      <c r="BG38" s="3678"/>
      <c r="BH38" s="3622"/>
      <c r="BI38" s="3622"/>
      <c r="BJ38" s="3624"/>
      <c r="BK38" s="3687"/>
      <c r="BL38" s="3679"/>
      <c r="BM38" s="3680"/>
      <c r="BN38" s="3680"/>
      <c r="BO38" s="3680"/>
      <c r="BP38" s="3680"/>
      <c r="BQ38" s="3665"/>
    </row>
    <row r="39" spans="1:69" s="2042" customFormat="1" ht="45" customHeight="1" x14ac:dyDescent="0.25">
      <c r="A39" s="2144"/>
      <c r="B39" s="2030"/>
      <c r="C39" s="2030"/>
      <c r="D39" s="2145"/>
      <c r="E39" s="2146"/>
      <c r="F39" s="2147"/>
      <c r="G39" s="3666"/>
      <c r="H39" s="3666"/>
      <c r="I39" s="3667"/>
      <c r="J39" s="3606"/>
      <c r="K39" s="3591"/>
      <c r="L39" s="3591"/>
      <c r="M39" s="3699"/>
      <c r="N39" s="3600"/>
      <c r="O39" s="3566"/>
      <c r="P39" s="3611"/>
      <c r="Q39" s="3701"/>
      <c r="R39" s="3649"/>
      <c r="S39" s="3611"/>
      <c r="T39" s="3591"/>
      <c r="U39" s="3591"/>
      <c r="V39" s="2151">
        <v>18000000</v>
      </c>
      <c r="W39" s="2151"/>
      <c r="X39" s="2151"/>
      <c r="Y39" s="2158">
        <v>25</v>
      </c>
      <c r="Z39" s="2153" t="s">
        <v>2086</v>
      </c>
      <c r="AA39" s="3593"/>
      <c r="AB39" s="3593"/>
      <c r="AC39" s="3593"/>
      <c r="AD39" s="3593"/>
      <c r="AE39" s="3679"/>
      <c r="AF39" s="3679"/>
      <c r="AG39" s="3679"/>
      <c r="AH39" s="3679"/>
      <c r="AI39" s="3679"/>
      <c r="AJ39" s="3679"/>
      <c r="AK39" s="3679"/>
      <c r="AL39" s="3679"/>
      <c r="AM39" s="3679"/>
      <c r="AN39" s="3679"/>
      <c r="AO39" s="3679"/>
      <c r="AP39" s="3679"/>
      <c r="AQ39" s="3679"/>
      <c r="AR39" s="3679"/>
      <c r="AS39" s="3679"/>
      <c r="AT39" s="3679"/>
      <c r="AU39" s="3679"/>
      <c r="AV39" s="3679"/>
      <c r="AW39" s="3679"/>
      <c r="AX39" s="3679"/>
      <c r="AY39" s="3679"/>
      <c r="AZ39" s="3679"/>
      <c r="BA39" s="3679"/>
      <c r="BB39" s="3679"/>
      <c r="BC39" s="3679"/>
      <c r="BD39" s="3679"/>
      <c r="BE39" s="3679"/>
      <c r="BF39" s="3679"/>
      <c r="BG39" s="3693"/>
      <c r="BH39" s="3623"/>
      <c r="BI39" s="3623"/>
      <c r="BJ39" s="3625"/>
      <c r="BK39" s="3688"/>
      <c r="BL39" s="3679"/>
      <c r="BM39" s="3681"/>
      <c r="BN39" s="3681"/>
      <c r="BO39" s="3681"/>
      <c r="BP39" s="3681"/>
      <c r="BQ39" s="3665"/>
    </row>
    <row r="40" spans="1:69" s="2042" customFormat="1" ht="15.75" x14ac:dyDescent="0.25">
      <c r="A40" s="2111"/>
      <c r="B40" s="2112"/>
      <c r="C40" s="2112"/>
      <c r="D40" s="2111"/>
      <c r="E40" s="2112"/>
      <c r="F40" s="2113"/>
      <c r="G40" s="2141">
        <v>21</v>
      </c>
      <c r="H40" s="2061" t="s">
        <v>2091</v>
      </c>
      <c r="I40" s="2061"/>
      <c r="J40" s="2061"/>
      <c r="K40" s="2062"/>
      <c r="L40" s="2062"/>
      <c r="M40" s="2104"/>
      <c r="N40" s="2142"/>
      <c r="O40" s="2104"/>
      <c r="P40" s="2062"/>
      <c r="Q40" s="2176"/>
      <c r="R40" s="2106"/>
      <c r="S40" s="2062"/>
      <c r="T40" s="2177"/>
      <c r="U40" s="2177"/>
      <c r="V40" s="2177"/>
      <c r="W40" s="2177"/>
      <c r="X40" s="2177"/>
      <c r="Y40" s="2177"/>
      <c r="Z40" s="2177"/>
      <c r="AA40" s="2177"/>
      <c r="AB40" s="2104"/>
      <c r="AC40" s="2104"/>
      <c r="AD40" s="2104"/>
      <c r="AE40" s="2104"/>
      <c r="AF40" s="2104"/>
      <c r="AG40" s="2104"/>
      <c r="AH40" s="2104"/>
      <c r="AI40" s="2104"/>
      <c r="AJ40" s="2104"/>
      <c r="AK40" s="2104"/>
      <c r="AL40" s="2104"/>
      <c r="AM40" s="2104"/>
      <c r="AN40" s="2104"/>
      <c r="AO40" s="2104"/>
      <c r="AP40" s="2104"/>
      <c r="AQ40" s="2104"/>
      <c r="AR40" s="2104"/>
      <c r="AS40" s="2104"/>
      <c r="AT40" s="2104"/>
      <c r="AU40" s="2104"/>
      <c r="AV40" s="2104"/>
      <c r="AW40" s="2072"/>
      <c r="AX40" s="2072"/>
      <c r="AY40" s="2072"/>
      <c r="AZ40" s="2072"/>
      <c r="BA40" s="2072"/>
      <c r="BB40" s="2072"/>
      <c r="BC40" s="2072"/>
      <c r="BD40" s="2072"/>
      <c r="BE40" s="2072"/>
      <c r="BF40" s="2072"/>
      <c r="BG40" s="2072"/>
      <c r="BH40" s="2107"/>
      <c r="BI40" s="2178"/>
      <c r="BJ40" s="2072"/>
      <c r="BK40" s="2072"/>
      <c r="BL40" s="2072"/>
      <c r="BM40" s="2072"/>
      <c r="BN40" s="2072"/>
      <c r="BO40" s="2072"/>
      <c r="BP40" s="2072"/>
      <c r="BQ40" s="2108"/>
    </row>
    <row r="41" spans="1:69" s="2042" customFormat="1" ht="15.75" x14ac:dyDescent="0.25">
      <c r="A41" s="2111"/>
      <c r="B41" s="2112"/>
      <c r="C41" s="2112"/>
      <c r="D41" s="2111"/>
      <c r="E41" s="2112"/>
      <c r="F41" s="2113"/>
      <c r="G41" s="2141">
        <v>22</v>
      </c>
      <c r="H41" s="2061" t="s">
        <v>1974</v>
      </c>
      <c r="I41" s="2061"/>
      <c r="J41" s="2061"/>
      <c r="K41" s="2062"/>
      <c r="L41" s="2062"/>
      <c r="M41" s="2104"/>
      <c r="N41" s="2142"/>
      <c r="O41" s="2104"/>
      <c r="P41" s="2179"/>
      <c r="Q41" s="2104"/>
      <c r="R41" s="2106"/>
      <c r="S41" s="2062"/>
      <c r="T41" s="2062"/>
      <c r="U41" s="2177"/>
      <c r="V41" s="2177"/>
      <c r="W41" s="2177"/>
      <c r="X41" s="2177"/>
      <c r="Y41" s="2177"/>
      <c r="Z41" s="2177"/>
      <c r="AA41" s="2177"/>
      <c r="AB41" s="2177"/>
      <c r="AC41" s="2177"/>
      <c r="AD41" s="2177"/>
      <c r="AE41" s="2177"/>
      <c r="AF41" s="2177"/>
      <c r="AG41" s="2177"/>
      <c r="AH41" s="2177"/>
      <c r="AI41" s="2177"/>
      <c r="AJ41" s="2177"/>
      <c r="AK41" s="2177"/>
      <c r="AL41" s="2177"/>
      <c r="AM41" s="2177"/>
      <c r="AN41" s="2177"/>
      <c r="AO41" s="2177"/>
      <c r="AP41" s="2177"/>
      <c r="AQ41" s="2177"/>
      <c r="AR41" s="2177"/>
      <c r="AS41" s="2177"/>
      <c r="AT41" s="2177"/>
      <c r="AU41" s="2177"/>
      <c r="AV41" s="2177"/>
      <c r="AW41" s="2177"/>
      <c r="AX41" s="2177"/>
      <c r="AY41" s="2177"/>
      <c r="AZ41" s="2177"/>
      <c r="BA41" s="2177"/>
      <c r="BB41" s="2177"/>
      <c r="BC41" s="2177"/>
      <c r="BD41" s="2177"/>
      <c r="BE41" s="2177"/>
      <c r="BF41" s="2177"/>
      <c r="BG41" s="2072"/>
      <c r="BH41" s="2107"/>
      <c r="BI41" s="2107"/>
      <c r="BJ41" s="2072"/>
      <c r="BK41" s="2072"/>
      <c r="BL41" s="2072"/>
      <c r="BM41" s="2072"/>
      <c r="BN41" s="2072"/>
      <c r="BO41" s="2072"/>
      <c r="BP41" s="2072"/>
      <c r="BQ41" s="2108"/>
    </row>
    <row r="42" spans="1:69" s="2042" customFormat="1" ht="15.75" x14ac:dyDescent="0.25">
      <c r="A42" s="2180"/>
      <c r="B42" s="2181"/>
      <c r="C42" s="2181"/>
      <c r="D42" s="2180"/>
      <c r="E42" s="2181"/>
      <c r="F42" s="2182"/>
      <c r="G42" s="3695"/>
      <c r="H42" s="3695"/>
      <c r="I42" s="3583"/>
      <c r="J42" s="3592">
        <v>97</v>
      </c>
      <c r="K42" s="3584" t="s">
        <v>1975</v>
      </c>
      <c r="L42" s="3584" t="s">
        <v>1976</v>
      </c>
      <c r="M42" s="3653"/>
      <c r="N42" s="2183"/>
      <c r="O42" s="3601" t="s">
        <v>1977</v>
      </c>
      <c r="P42" s="3584" t="s">
        <v>1978</v>
      </c>
      <c r="Q42" s="3703">
        <f>(+SUM(V42:V47)/R42)</f>
        <v>1</v>
      </c>
      <c r="R42" s="3706">
        <f>+V42+V43+V47</f>
        <v>20000000</v>
      </c>
      <c r="S42" s="3584" t="s">
        <v>1979</v>
      </c>
      <c r="T42" s="3709" t="s">
        <v>1980</v>
      </c>
      <c r="U42" s="3711" t="s">
        <v>1981</v>
      </c>
      <c r="V42" s="3714">
        <v>5000000</v>
      </c>
      <c r="W42" s="3717">
        <v>4200000</v>
      </c>
      <c r="X42" s="3720"/>
      <c r="Y42" s="3721">
        <v>20</v>
      </c>
      <c r="Z42" s="3724" t="s">
        <v>2092</v>
      </c>
      <c r="AA42" s="3727">
        <v>20196</v>
      </c>
      <c r="AB42" s="3653">
        <v>20196</v>
      </c>
      <c r="AC42" s="3654">
        <v>20595</v>
      </c>
      <c r="AD42" s="3653">
        <v>20595</v>
      </c>
      <c r="AE42" s="3654">
        <v>29775</v>
      </c>
      <c r="AF42" s="3653">
        <v>29775</v>
      </c>
      <c r="AG42" s="3654">
        <v>9453</v>
      </c>
      <c r="AH42" s="3653">
        <v>9453</v>
      </c>
      <c r="AI42" s="3654">
        <v>1396</v>
      </c>
      <c r="AJ42" s="3653">
        <v>1396</v>
      </c>
      <c r="AK42" s="3654">
        <v>167</v>
      </c>
      <c r="AL42" s="3653">
        <v>167</v>
      </c>
      <c r="AM42" s="3654">
        <v>274</v>
      </c>
      <c r="AN42" s="3653">
        <v>274</v>
      </c>
      <c r="AO42" s="3654">
        <v>330</v>
      </c>
      <c r="AP42" s="3653">
        <v>330</v>
      </c>
      <c r="AQ42" s="3654">
        <v>0</v>
      </c>
      <c r="AR42" s="3653">
        <v>0</v>
      </c>
      <c r="AS42" s="3654">
        <v>0</v>
      </c>
      <c r="AT42" s="3653">
        <v>0</v>
      </c>
      <c r="AU42" s="3654">
        <v>0</v>
      </c>
      <c r="AV42" s="3653">
        <v>0</v>
      </c>
      <c r="AW42" s="3654">
        <v>0</v>
      </c>
      <c r="AX42" s="3653">
        <v>0</v>
      </c>
      <c r="AY42" s="3655">
        <v>3097</v>
      </c>
      <c r="AZ42" s="3618">
        <v>3097</v>
      </c>
      <c r="BA42" s="3655">
        <v>2611</v>
      </c>
      <c r="BB42" s="3618">
        <v>2611</v>
      </c>
      <c r="BC42" s="3655">
        <v>50</v>
      </c>
      <c r="BD42" s="3618">
        <v>50</v>
      </c>
      <c r="BE42" s="3654">
        <v>40791</v>
      </c>
      <c r="BF42" s="3653">
        <v>40791</v>
      </c>
      <c r="BG42" s="3653"/>
      <c r="BH42" s="3733"/>
      <c r="BI42" s="3733"/>
      <c r="BJ42" s="3734"/>
      <c r="BK42" s="3601" t="s">
        <v>2092</v>
      </c>
      <c r="BL42" s="3601" t="s">
        <v>2093</v>
      </c>
      <c r="BM42" s="3729">
        <v>43862</v>
      </c>
      <c r="BN42" s="3729">
        <v>43862</v>
      </c>
      <c r="BO42" s="3729">
        <v>44073</v>
      </c>
      <c r="BP42" s="3729">
        <v>44073</v>
      </c>
      <c r="BQ42" s="3664" t="s">
        <v>2068</v>
      </c>
    </row>
    <row r="43" spans="1:69" s="2042" customFormat="1" ht="15.75" x14ac:dyDescent="0.25">
      <c r="A43" s="2180"/>
      <c r="B43" s="2181"/>
      <c r="C43" s="2181"/>
      <c r="D43" s="2180"/>
      <c r="E43" s="2181"/>
      <c r="F43" s="2182"/>
      <c r="G43" s="3695"/>
      <c r="H43" s="3695"/>
      <c r="I43" s="3583"/>
      <c r="J43" s="3593"/>
      <c r="K43" s="3567"/>
      <c r="L43" s="3567"/>
      <c r="M43" s="3654"/>
      <c r="N43" s="2183"/>
      <c r="O43" s="3568"/>
      <c r="P43" s="3567"/>
      <c r="Q43" s="3704"/>
      <c r="R43" s="3707"/>
      <c r="S43" s="3567"/>
      <c r="T43" s="3587"/>
      <c r="U43" s="3712"/>
      <c r="V43" s="3715"/>
      <c r="W43" s="3718"/>
      <c r="X43" s="3720"/>
      <c r="Y43" s="3722"/>
      <c r="Z43" s="3725"/>
      <c r="AA43" s="3727"/>
      <c r="AB43" s="3654"/>
      <c r="AC43" s="3654"/>
      <c r="AD43" s="3654"/>
      <c r="AE43" s="3654"/>
      <c r="AF43" s="3654"/>
      <c r="AG43" s="3654"/>
      <c r="AH43" s="3654"/>
      <c r="AI43" s="3654"/>
      <c r="AJ43" s="3654"/>
      <c r="AK43" s="3654"/>
      <c r="AL43" s="3654"/>
      <c r="AM43" s="3654"/>
      <c r="AN43" s="3654"/>
      <c r="AO43" s="3654"/>
      <c r="AP43" s="3654"/>
      <c r="AQ43" s="3654"/>
      <c r="AR43" s="3654"/>
      <c r="AS43" s="3654"/>
      <c r="AT43" s="3654"/>
      <c r="AU43" s="3654"/>
      <c r="AV43" s="3654"/>
      <c r="AW43" s="3654"/>
      <c r="AX43" s="3654"/>
      <c r="AY43" s="3655"/>
      <c r="AZ43" s="3655"/>
      <c r="BA43" s="3655"/>
      <c r="BB43" s="3655"/>
      <c r="BC43" s="3655"/>
      <c r="BD43" s="3655"/>
      <c r="BE43" s="3654"/>
      <c r="BF43" s="3654"/>
      <c r="BG43" s="3654"/>
      <c r="BH43" s="3733"/>
      <c r="BI43" s="3733"/>
      <c r="BJ43" s="3735"/>
      <c r="BK43" s="3568"/>
      <c r="BL43" s="3568"/>
      <c r="BM43" s="3730"/>
      <c r="BN43" s="3730"/>
      <c r="BO43" s="3730"/>
      <c r="BP43" s="3654"/>
      <c r="BQ43" s="3665"/>
    </row>
    <row r="44" spans="1:69" s="2042" customFormat="1" ht="15.75" x14ac:dyDescent="0.25">
      <c r="A44" s="2180"/>
      <c r="B44" s="2181"/>
      <c r="C44" s="2181"/>
      <c r="D44" s="2180"/>
      <c r="E44" s="2181"/>
      <c r="F44" s="2182"/>
      <c r="G44" s="3695"/>
      <c r="H44" s="3695"/>
      <c r="I44" s="3583"/>
      <c r="J44" s="3593"/>
      <c r="K44" s="3567"/>
      <c r="L44" s="3567"/>
      <c r="M44" s="3654"/>
      <c r="N44" s="2183" t="s">
        <v>1982</v>
      </c>
      <c r="O44" s="3568"/>
      <c r="P44" s="3567"/>
      <c r="Q44" s="3704"/>
      <c r="R44" s="3707"/>
      <c r="S44" s="3567"/>
      <c r="T44" s="3587"/>
      <c r="U44" s="3712"/>
      <c r="V44" s="3715"/>
      <c r="W44" s="3718"/>
      <c r="X44" s="3720"/>
      <c r="Y44" s="3722"/>
      <c r="Z44" s="3725"/>
      <c r="AA44" s="3727"/>
      <c r="AB44" s="3654"/>
      <c r="AC44" s="3654"/>
      <c r="AD44" s="3654"/>
      <c r="AE44" s="3654"/>
      <c r="AF44" s="3654"/>
      <c r="AG44" s="3654"/>
      <c r="AH44" s="3654"/>
      <c r="AI44" s="3654"/>
      <c r="AJ44" s="3654"/>
      <c r="AK44" s="3654"/>
      <c r="AL44" s="3654"/>
      <c r="AM44" s="3654"/>
      <c r="AN44" s="3654"/>
      <c r="AO44" s="3654"/>
      <c r="AP44" s="3654"/>
      <c r="AQ44" s="3654"/>
      <c r="AR44" s="3654"/>
      <c r="AS44" s="3654"/>
      <c r="AT44" s="3654"/>
      <c r="AU44" s="3654"/>
      <c r="AV44" s="3654"/>
      <c r="AW44" s="3654"/>
      <c r="AX44" s="3654"/>
      <c r="AY44" s="3655"/>
      <c r="AZ44" s="3655"/>
      <c r="BA44" s="3655"/>
      <c r="BB44" s="3655"/>
      <c r="BC44" s="3655"/>
      <c r="BD44" s="3655"/>
      <c r="BE44" s="3654"/>
      <c r="BF44" s="3654"/>
      <c r="BG44" s="3654"/>
      <c r="BH44" s="3733"/>
      <c r="BI44" s="3733"/>
      <c r="BJ44" s="3735"/>
      <c r="BK44" s="3568"/>
      <c r="BL44" s="3568"/>
      <c r="BM44" s="3730"/>
      <c r="BN44" s="3730"/>
      <c r="BO44" s="3730"/>
      <c r="BP44" s="3654"/>
      <c r="BQ44" s="3665"/>
    </row>
    <row r="45" spans="1:69" s="2042" customFormat="1" ht="15.75" x14ac:dyDescent="0.25">
      <c r="A45" s="2180"/>
      <c r="B45" s="2181"/>
      <c r="C45" s="2181"/>
      <c r="D45" s="2180"/>
      <c r="E45" s="2181"/>
      <c r="F45" s="2182"/>
      <c r="G45" s="3695"/>
      <c r="H45" s="3695"/>
      <c r="I45" s="3583"/>
      <c r="J45" s="3593"/>
      <c r="K45" s="3567"/>
      <c r="L45" s="3567"/>
      <c r="M45" s="3654"/>
      <c r="N45" s="2183" t="s">
        <v>2094</v>
      </c>
      <c r="O45" s="3568"/>
      <c r="P45" s="3567"/>
      <c r="Q45" s="3704"/>
      <c r="R45" s="3707"/>
      <c r="S45" s="3567"/>
      <c r="T45" s="3587"/>
      <c r="U45" s="3712"/>
      <c r="V45" s="3715"/>
      <c r="W45" s="3718"/>
      <c r="X45" s="3720"/>
      <c r="Y45" s="3722"/>
      <c r="Z45" s="3725"/>
      <c r="AA45" s="3727"/>
      <c r="AB45" s="3654"/>
      <c r="AC45" s="3654"/>
      <c r="AD45" s="3654"/>
      <c r="AE45" s="3654"/>
      <c r="AF45" s="3654"/>
      <c r="AG45" s="3654"/>
      <c r="AH45" s="3654"/>
      <c r="AI45" s="3654"/>
      <c r="AJ45" s="3654"/>
      <c r="AK45" s="3654"/>
      <c r="AL45" s="3654"/>
      <c r="AM45" s="3654"/>
      <c r="AN45" s="3654"/>
      <c r="AO45" s="3654"/>
      <c r="AP45" s="3654"/>
      <c r="AQ45" s="3654"/>
      <c r="AR45" s="3654"/>
      <c r="AS45" s="3654"/>
      <c r="AT45" s="3654"/>
      <c r="AU45" s="3654"/>
      <c r="AV45" s="3654"/>
      <c r="AW45" s="3654"/>
      <c r="AX45" s="3654"/>
      <c r="AY45" s="3655"/>
      <c r="AZ45" s="3655"/>
      <c r="BA45" s="3655"/>
      <c r="BB45" s="3655"/>
      <c r="BC45" s="3655"/>
      <c r="BD45" s="3655"/>
      <c r="BE45" s="3654"/>
      <c r="BF45" s="3654"/>
      <c r="BG45" s="3654"/>
      <c r="BH45" s="3733"/>
      <c r="BI45" s="3733"/>
      <c r="BJ45" s="3735"/>
      <c r="BK45" s="3568"/>
      <c r="BL45" s="3568"/>
      <c r="BM45" s="3730"/>
      <c r="BN45" s="3730"/>
      <c r="BO45" s="3730"/>
      <c r="BP45" s="3654"/>
      <c r="BQ45" s="3665"/>
    </row>
    <row r="46" spans="1:69" s="2042" customFormat="1" ht="15.75" x14ac:dyDescent="0.25">
      <c r="A46" s="2180"/>
      <c r="B46" s="2181"/>
      <c r="C46" s="2181"/>
      <c r="D46" s="2180"/>
      <c r="E46" s="2181"/>
      <c r="F46" s="2182"/>
      <c r="G46" s="3695"/>
      <c r="H46" s="3695"/>
      <c r="I46" s="3583"/>
      <c r="J46" s="3593"/>
      <c r="K46" s="3567"/>
      <c r="L46" s="3567"/>
      <c r="M46" s="3654"/>
      <c r="N46" s="2183"/>
      <c r="O46" s="3568"/>
      <c r="P46" s="3567"/>
      <c r="Q46" s="3704"/>
      <c r="R46" s="3707"/>
      <c r="S46" s="3567"/>
      <c r="T46" s="3587"/>
      <c r="U46" s="3713"/>
      <c r="V46" s="3716"/>
      <c r="W46" s="3719"/>
      <c r="X46" s="3720"/>
      <c r="Y46" s="3723"/>
      <c r="Z46" s="3726"/>
      <c r="AA46" s="3727"/>
      <c r="AB46" s="3654"/>
      <c r="AC46" s="3654"/>
      <c r="AD46" s="3654"/>
      <c r="AE46" s="3654"/>
      <c r="AF46" s="3654"/>
      <c r="AG46" s="3654"/>
      <c r="AH46" s="3654"/>
      <c r="AI46" s="3654"/>
      <c r="AJ46" s="3654"/>
      <c r="AK46" s="3654"/>
      <c r="AL46" s="3654"/>
      <c r="AM46" s="3654"/>
      <c r="AN46" s="3654"/>
      <c r="AO46" s="3654"/>
      <c r="AP46" s="3654"/>
      <c r="AQ46" s="3654"/>
      <c r="AR46" s="3654"/>
      <c r="AS46" s="3654"/>
      <c r="AT46" s="3654"/>
      <c r="AU46" s="3654"/>
      <c r="AV46" s="3654"/>
      <c r="AW46" s="3654"/>
      <c r="AX46" s="3654"/>
      <c r="AY46" s="3655"/>
      <c r="AZ46" s="3655"/>
      <c r="BA46" s="3655"/>
      <c r="BB46" s="3655"/>
      <c r="BC46" s="3655"/>
      <c r="BD46" s="3655"/>
      <c r="BE46" s="3654"/>
      <c r="BF46" s="3654"/>
      <c r="BG46" s="3696"/>
      <c r="BH46" s="3733"/>
      <c r="BI46" s="3733"/>
      <c r="BJ46" s="3736"/>
      <c r="BK46" s="3568"/>
      <c r="BL46" s="3568"/>
      <c r="BM46" s="3730"/>
      <c r="BN46" s="3730"/>
      <c r="BO46" s="3730"/>
      <c r="BP46" s="3654"/>
      <c r="BQ46" s="3665"/>
    </row>
    <row r="47" spans="1:69" s="2042" customFormat="1" ht="60" x14ac:dyDescent="0.25">
      <c r="A47" s="2180"/>
      <c r="B47" s="2181"/>
      <c r="C47" s="2181"/>
      <c r="D47" s="2184"/>
      <c r="E47" s="2185"/>
      <c r="F47" s="2186"/>
      <c r="G47" s="3695"/>
      <c r="H47" s="3695"/>
      <c r="I47" s="3583"/>
      <c r="J47" s="3606"/>
      <c r="K47" s="3617"/>
      <c r="L47" s="3617"/>
      <c r="M47" s="3696"/>
      <c r="N47" s="2183"/>
      <c r="O47" s="3697"/>
      <c r="P47" s="3617"/>
      <c r="Q47" s="3705"/>
      <c r="R47" s="3708"/>
      <c r="S47" s="3617"/>
      <c r="T47" s="3710"/>
      <c r="U47" s="2187" t="s">
        <v>2095</v>
      </c>
      <c r="V47" s="2188">
        <v>15000000</v>
      </c>
      <c r="W47" s="2189">
        <v>15000000</v>
      </c>
      <c r="X47" s="2190">
        <v>6400000</v>
      </c>
      <c r="Y47" s="2191">
        <v>20</v>
      </c>
      <c r="Z47" s="2192" t="s">
        <v>2092</v>
      </c>
      <c r="AA47" s="3728"/>
      <c r="AB47" s="3696"/>
      <c r="AC47" s="3696"/>
      <c r="AD47" s="3696"/>
      <c r="AE47" s="3696"/>
      <c r="AF47" s="3696"/>
      <c r="AG47" s="3696"/>
      <c r="AH47" s="3696"/>
      <c r="AI47" s="3696"/>
      <c r="AJ47" s="3696"/>
      <c r="AK47" s="3696"/>
      <c r="AL47" s="3696"/>
      <c r="AM47" s="3696"/>
      <c r="AN47" s="3696"/>
      <c r="AO47" s="3696"/>
      <c r="AP47" s="3696"/>
      <c r="AQ47" s="3696"/>
      <c r="AR47" s="3696"/>
      <c r="AS47" s="3696"/>
      <c r="AT47" s="3696"/>
      <c r="AU47" s="3696"/>
      <c r="AV47" s="3696"/>
      <c r="AW47" s="3696"/>
      <c r="AX47" s="3696"/>
      <c r="AY47" s="3619"/>
      <c r="AZ47" s="3619"/>
      <c r="BA47" s="3619"/>
      <c r="BB47" s="3619"/>
      <c r="BC47" s="3619"/>
      <c r="BD47" s="3619"/>
      <c r="BE47" s="3696"/>
      <c r="BF47" s="3696"/>
      <c r="BG47" s="2193">
        <v>1</v>
      </c>
      <c r="BH47" s="2194">
        <f>+W47</f>
        <v>15000000</v>
      </c>
      <c r="BI47" s="2195">
        <f>+X47</f>
        <v>6400000</v>
      </c>
      <c r="BJ47" s="2196">
        <f>+BI47/BH47</f>
        <v>0.42666666666666669</v>
      </c>
      <c r="BK47" s="3697"/>
      <c r="BL47" s="3697"/>
      <c r="BM47" s="3731"/>
      <c r="BN47" s="3731"/>
      <c r="BO47" s="3731"/>
      <c r="BP47" s="3696"/>
      <c r="BQ47" s="3732"/>
    </row>
    <row r="48" spans="1:69" s="2042" customFormat="1" ht="15.75" x14ac:dyDescent="0.25">
      <c r="A48" s="2197"/>
      <c r="B48" s="2198"/>
      <c r="C48" s="2199"/>
      <c r="D48" s="2128">
        <v>7</v>
      </c>
      <c r="E48" s="2129" t="s">
        <v>1983</v>
      </c>
      <c r="F48" s="2129"/>
      <c r="G48" s="2200"/>
      <c r="H48" s="2200"/>
      <c r="I48" s="2200"/>
      <c r="J48" s="2200"/>
      <c r="K48" s="2201"/>
      <c r="L48" s="2201"/>
      <c r="M48" s="2200"/>
      <c r="N48" s="2202"/>
      <c r="O48" s="2202"/>
      <c r="P48" s="2203"/>
      <c r="Q48" s="2204"/>
      <c r="R48" s="2205"/>
      <c r="S48" s="2201"/>
      <c r="T48" s="2201"/>
      <c r="U48" s="2201"/>
      <c r="V48" s="2201"/>
      <c r="W48" s="2201"/>
      <c r="X48" s="2201"/>
      <c r="Y48" s="2201"/>
      <c r="Z48" s="2201"/>
      <c r="AA48" s="2202"/>
      <c r="AB48" s="2202"/>
      <c r="AC48" s="2202"/>
      <c r="AD48" s="2202"/>
      <c r="AE48" s="2206"/>
      <c r="AF48" s="2206"/>
      <c r="AG48" s="2206"/>
      <c r="AH48" s="2206"/>
      <c r="AI48" s="2206"/>
      <c r="AJ48" s="2206"/>
      <c r="AK48" s="2206"/>
      <c r="AL48" s="2206"/>
      <c r="AM48" s="2206"/>
      <c r="AN48" s="2206"/>
      <c r="AO48" s="2206"/>
      <c r="AP48" s="2206"/>
      <c r="AQ48" s="2206"/>
      <c r="AR48" s="2206"/>
      <c r="AS48" s="2207"/>
      <c r="AT48" s="2207"/>
      <c r="AU48" s="2207"/>
      <c r="AV48" s="2207"/>
      <c r="AW48" s="2208"/>
      <c r="AX48" s="2208"/>
      <c r="AY48" s="2208"/>
      <c r="AZ48" s="2208"/>
      <c r="BA48" s="2209"/>
      <c r="BB48" s="2209"/>
      <c r="BC48" s="2208"/>
      <c r="BD48" s="2208"/>
      <c r="BE48" s="2210"/>
      <c r="BF48" s="2210"/>
      <c r="BG48" s="2210"/>
      <c r="BH48" s="2211"/>
      <c r="BI48" s="2211"/>
      <c r="BJ48" s="2212"/>
      <c r="BK48" s="2210"/>
      <c r="BL48" s="2210"/>
      <c r="BM48" s="2210"/>
      <c r="BN48" s="2210"/>
      <c r="BO48" s="2210"/>
      <c r="BP48" s="2210"/>
      <c r="BQ48" s="2213"/>
    </row>
    <row r="49" spans="1:69" s="2042" customFormat="1" ht="15.75" x14ac:dyDescent="0.25">
      <c r="A49" s="2197"/>
      <c r="B49" s="2198"/>
      <c r="C49" s="2198"/>
      <c r="D49" s="2057"/>
      <c r="E49" s="2058"/>
      <c r="F49" s="2059"/>
      <c r="G49" s="2214">
        <v>23</v>
      </c>
      <c r="H49" s="2215" t="s">
        <v>1984</v>
      </c>
      <c r="I49" s="2216"/>
      <c r="J49" s="2216"/>
      <c r="K49" s="2217"/>
      <c r="L49" s="2217"/>
      <c r="M49" s="2218"/>
      <c r="N49" s="2105"/>
      <c r="O49" s="2218"/>
      <c r="P49" s="2219"/>
      <c r="Q49" s="2218"/>
      <c r="R49" s="2220"/>
      <c r="S49" s="2217"/>
      <c r="T49" s="2217"/>
      <c r="U49" s="2217"/>
      <c r="V49" s="2217"/>
      <c r="W49" s="2217"/>
      <c r="X49" s="2217"/>
      <c r="Y49" s="2217"/>
      <c r="Z49" s="2217"/>
      <c r="AA49" s="2217"/>
      <c r="AB49" s="2217"/>
      <c r="AC49" s="2217"/>
      <c r="AD49" s="2218"/>
      <c r="AE49" s="2218"/>
      <c r="AF49" s="2218"/>
      <c r="AG49" s="2218"/>
      <c r="AH49" s="2218"/>
      <c r="AI49" s="2218"/>
      <c r="AJ49" s="2218"/>
      <c r="AK49" s="2218"/>
      <c r="AL49" s="2218"/>
      <c r="AM49" s="2218"/>
      <c r="AN49" s="2218"/>
      <c r="AO49" s="2218"/>
      <c r="AP49" s="2218"/>
      <c r="AQ49" s="2218"/>
      <c r="AR49" s="2218"/>
      <c r="AS49" s="2218"/>
      <c r="AT49" s="2218"/>
      <c r="AU49" s="2218"/>
      <c r="AV49" s="2218"/>
      <c r="AW49" s="2221"/>
      <c r="AX49" s="2221"/>
      <c r="AY49" s="2221"/>
      <c r="AZ49" s="2221"/>
      <c r="BA49" s="2222"/>
      <c r="BB49" s="2222"/>
      <c r="BC49" s="2221"/>
      <c r="BD49" s="2221"/>
      <c r="BE49" s="2221"/>
      <c r="BF49" s="2221"/>
      <c r="BG49" s="2221"/>
      <c r="BH49" s="2178"/>
      <c r="BI49" s="2178"/>
      <c r="BJ49" s="2221"/>
      <c r="BK49" s="2221"/>
      <c r="BL49" s="2221"/>
      <c r="BM49" s="2221"/>
      <c r="BN49" s="2221"/>
      <c r="BO49" s="2221"/>
      <c r="BP49" s="2221"/>
      <c r="BQ49" s="2223"/>
    </row>
    <row r="50" spans="1:69" s="2042" customFormat="1" ht="90" x14ac:dyDescent="0.25">
      <c r="A50" s="2197"/>
      <c r="B50" s="2198"/>
      <c r="C50" s="2198"/>
      <c r="D50" s="2074"/>
      <c r="E50" s="2075"/>
      <c r="F50" s="2076"/>
      <c r="G50" s="2224"/>
      <c r="H50" s="2224"/>
      <c r="I50" s="2225"/>
      <c r="J50" s="2114">
        <v>102</v>
      </c>
      <c r="K50" s="2226" t="s">
        <v>1985</v>
      </c>
      <c r="L50" s="2226" t="s">
        <v>1986</v>
      </c>
      <c r="M50" s="2227"/>
      <c r="N50" s="2228" t="s">
        <v>1987</v>
      </c>
      <c r="O50" s="2229" t="s">
        <v>1988</v>
      </c>
      <c r="P50" s="2230" t="s">
        <v>1989</v>
      </c>
      <c r="Q50" s="2231">
        <f>V50/R50</f>
        <v>1</v>
      </c>
      <c r="R50" s="2232">
        <f>+V50</f>
        <v>20000000</v>
      </c>
      <c r="S50" s="2233"/>
      <c r="T50" s="2226" t="s">
        <v>1990</v>
      </c>
      <c r="U50" s="2160" t="s">
        <v>1991</v>
      </c>
      <c r="V50" s="2234">
        <v>20000000</v>
      </c>
      <c r="W50" s="2234"/>
      <c r="X50" s="2234"/>
      <c r="Y50" s="2235">
        <v>20</v>
      </c>
      <c r="Z50" s="2236" t="s">
        <v>2092</v>
      </c>
      <c r="AA50" s="2193">
        <v>20196</v>
      </c>
      <c r="AB50" s="2237">
        <v>20196</v>
      </c>
      <c r="AC50" s="2193">
        <v>20595</v>
      </c>
      <c r="AD50" s="2237">
        <v>20595</v>
      </c>
      <c r="AE50" s="2238">
        <v>29775</v>
      </c>
      <c r="AF50" s="2239">
        <v>29775</v>
      </c>
      <c r="AG50" s="2238">
        <v>9453</v>
      </c>
      <c r="AH50" s="2239">
        <v>9453</v>
      </c>
      <c r="AI50" s="2238">
        <v>1396</v>
      </c>
      <c r="AJ50" s="2239">
        <v>1396</v>
      </c>
      <c r="AK50" s="2238">
        <v>167</v>
      </c>
      <c r="AL50" s="2239">
        <v>167</v>
      </c>
      <c r="AM50" s="2238">
        <v>274</v>
      </c>
      <c r="AN50" s="2239">
        <v>274</v>
      </c>
      <c r="AO50" s="2238">
        <v>330</v>
      </c>
      <c r="AP50" s="2239">
        <v>330</v>
      </c>
      <c r="AQ50" s="2238">
        <v>0</v>
      </c>
      <c r="AR50" s="2239">
        <v>0</v>
      </c>
      <c r="AS50" s="2238">
        <v>0</v>
      </c>
      <c r="AT50" s="2239">
        <v>0</v>
      </c>
      <c r="AU50" s="2238">
        <v>0</v>
      </c>
      <c r="AV50" s="2239">
        <v>0</v>
      </c>
      <c r="AW50" s="2240">
        <v>0</v>
      </c>
      <c r="AX50" s="2241">
        <v>0</v>
      </c>
      <c r="AY50" s="2240">
        <v>3097</v>
      </c>
      <c r="AZ50" s="2241">
        <v>3097</v>
      </c>
      <c r="BA50" s="2240">
        <v>2611</v>
      </c>
      <c r="BB50" s="2241">
        <v>2611</v>
      </c>
      <c r="BC50" s="2240">
        <v>50</v>
      </c>
      <c r="BD50" s="2241">
        <v>50</v>
      </c>
      <c r="BE50" s="2242">
        <v>40791</v>
      </c>
      <c r="BF50" s="2243">
        <v>40791</v>
      </c>
      <c r="BG50" s="2243"/>
      <c r="BH50" s="2244"/>
      <c r="BI50" s="2244"/>
      <c r="BJ50" s="2243"/>
      <c r="BK50" s="2243"/>
      <c r="BL50" s="2243"/>
      <c r="BM50" s="2243"/>
      <c r="BN50" s="2243"/>
      <c r="BO50" s="2243"/>
      <c r="BP50" s="2243"/>
      <c r="BQ50" s="2245" t="s">
        <v>2078</v>
      </c>
    </row>
    <row r="51" spans="1:69" s="2042" customFormat="1" ht="15.75" x14ac:dyDescent="0.25">
      <c r="A51" s="2246"/>
      <c r="B51" s="2247"/>
      <c r="C51" s="2247"/>
      <c r="D51" s="2246"/>
      <c r="E51" s="2247"/>
      <c r="F51" s="2248"/>
      <c r="G51" s="2141">
        <v>24</v>
      </c>
      <c r="H51" s="2061" t="s">
        <v>1992</v>
      </c>
      <c r="I51" s="2061"/>
      <c r="J51" s="2061"/>
      <c r="K51" s="2062"/>
      <c r="L51" s="2062"/>
      <c r="M51" s="2061"/>
      <c r="N51" s="2142"/>
      <c r="O51" s="2061"/>
      <c r="P51" s="2179"/>
      <c r="Q51" s="2064"/>
      <c r="R51" s="2249"/>
      <c r="S51" s="2062"/>
      <c r="T51" s="2062"/>
      <c r="U51" s="2062"/>
      <c r="V51" s="2062"/>
      <c r="W51" s="2062"/>
      <c r="X51" s="2062"/>
      <c r="Y51" s="2062"/>
      <c r="Z51" s="2062"/>
      <c r="AA51" s="2061"/>
      <c r="AB51" s="2061"/>
      <c r="AC51" s="2061"/>
      <c r="AD51" s="2061"/>
      <c r="AE51" s="2061"/>
      <c r="AF51" s="2061"/>
      <c r="AG51" s="2061"/>
      <c r="AH51" s="2061"/>
      <c r="AI51" s="2061"/>
      <c r="AJ51" s="2061"/>
      <c r="AK51" s="2061"/>
      <c r="AL51" s="2061"/>
      <c r="AM51" s="2061"/>
      <c r="AN51" s="2061"/>
      <c r="AO51" s="2061"/>
      <c r="AP51" s="2061"/>
      <c r="AQ51" s="2061"/>
      <c r="AR51" s="2061"/>
      <c r="AS51" s="2071"/>
      <c r="AT51" s="2071"/>
      <c r="AU51" s="2071"/>
      <c r="AV51" s="2071"/>
      <c r="AW51" s="2072"/>
      <c r="AX51" s="2072"/>
      <c r="AY51" s="2072"/>
      <c r="AZ51" s="2072"/>
      <c r="BA51" s="2072"/>
      <c r="BB51" s="2072"/>
      <c r="BC51" s="2072"/>
      <c r="BD51" s="2072"/>
      <c r="BE51" s="2072"/>
      <c r="BF51" s="2072"/>
      <c r="BG51" s="2072"/>
      <c r="BH51" s="2107"/>
      <c r="BI51" s="2107"/>
      <c r="BJ51" s="2072"/>
      <c r="BK51" s="2072"/>
      <c r="BL51" s="2072"/>
      <c r="BM51" s="2072"/>
      <c r="BN51" s="2072"/>
      <c r="BO51" s="2072"/>
      <c r="BP51" s="2072"/>
      <c r="BQ51" s="2108"/>
    </row>
    <row r="52" spans="1:69" s="2042" customFormat="1" ht="45" x14ac:dyDescent="0.25">
      <c r="A52" s="2144"/>
      <c r="B52" s="2030"/>
      <c r="C52" s="2030"/>
      <c r="D52" s="2144"/>
      <c r="E52" s="2030"/>
      <c r="F52" s="2250"/>
      <c r="G52" s="2224"/>
      <c r="H52" s="2224"/>
      <c r="I52" s="2225"/>
      <c r="J52" s="3592">
        <v>104</v>
      </c>
      <c r="K52" s="3601" t="s">
        <v>2096</v>
      </c>
      <c r="L52" s="3601" t="s">
        <v>1993</v>
      </c>
      <c r="M52" s="3698"/>
      <c r="N52" s="3568" t="s">
        <v>2097</v>
      </c>
      <c r="O52" s="3568" t="s">
        <v>1994</v>
      </c>
      <c r="P52" s="3737" t="s">
        <v>1995</v>
      </c>
      <c r="Q52" s="3703">
        <f>V52/R52</f>
        <v>0.45</v>
      </c>
      <c r="R52" s="3586">
        <f>+V52+V53+V54+V55</f>
        <v>120000000</v>
      </c>
      <c r="S52" s="3738"/>
      <c r="T52" s="3737"/>
      <c r="U52" s="2115" t="s">
        <v>1998</v>
      </c>
      <c r="V52" s="2151">
        <f>20000000+46000000-12000000</f>
        <v>54000000</v>
      </c>
      <c r="W52" s="2251">
        <v>12513333</v>
      </c>
      <c r="X52" s="2251"/>
      <c r="Y52" s="2252" t="s">
        <v>939</v>
      </c>
      <c r="Z52" s="2153" t="s">
        <v>70</v>
      </c>
      <c r="AA52" s="3571">
        <v>20196</v>
      </c>
      <c r="AB52" s="3568">
        <v>20196</v>
      </c>
      <c r="AC52" s="3568">
        <v>20595</v>
      </c>
      <c r="AD52" s="3568">
        <v>20595</v>
      </c>
      <c r="AE52" s="3568">
        <v>29775</v>
      </c>
      <c r="AF52" s="3568">
        <v>29775</v>
      </c>
      <c r="AG52" s="3568">
        <v>9453</v>
      </c>
      <c r="AH52" s="3568">
        <v>9453</v>
      </c>
      <c r="AI52" s="3568">
        <v>1396</v>
      </c>
      <c r="AJ52" s="3568">
        <v>1396</v>
      </c>
      <c r="AK52" s="3568">
        <v>167</v>
      </c>
      <c r="AL52" s="3568">
        <v>167</v>
      </c>
      <c r="AM52" s="3568">
        <v>274</v>
      </c>
      <c r="AN52" s="3568">
        <v>274</v>
      </c>
      <c r="AO52" s="3568">
        <v>330</v>
      </c>
      <c r="AP52" s="3568">
        <v>330</v>
      </c>
      <c r="AQ52" s="3568">
        <v>0</v>
      </c>
      <c r="AR52" s="3568">
        <v>0</v>
      </c>
      <c r="AS52" s="3568">
        <v>0</v>
      </c>
      <c r="AT52" s="3568">
        <v>0</v>
      </c>
      <c r="AU52" s="3568">
        <v>0</v>
      </c>
      <c r="AV52" s="3568">
        <v>0</v>
      </c>
      <c r="AW52" s="3568">
        <v>0</v>
      </c>
      <c r="AX52" s="3568">
        <v>0</v>
      </c>
      <c r="AY52" s="3568">
        <v>3097</v>
      </c>
      <c r="AZ52" s="3568">
        <v>3097</v>
      </c>
      <c r="BA52" s="3568">
        <v>2611</v>
      </c>
      <c r="BB52" s="3568">
        <v>2611</v>
      </c>
      <c r="BC52" s="3568">
        <v>50</v>
      </c>
      <c r="BD52" s="3568">
        <v>50</v>
      </c>
      <c r="BE52" s="3568">
        <v>40791</v>
      </c>
      <c r="BF52" s="3568">
        <v>40791</v>
      </c>
      <c r="BG52" s="3601">
        <v>2</v>
      </c>
      <c r="BH52" s="3741">
        <f>+W52</f>
        <v>12513333</v>
      </c>
      <c r="BI52" s="3741"/>
      <c r="BJ52" s="3743">
        <f>+BI52/BH52</f>
        <v>0</v>
      </c>
      <c r="BK52" s="3664" t="s">
        <v>70</v>
      </c>
      <c r="BL52" s="3601" t="s">
        <v>2098</v>
      </c>
      <c r="BM52" s="3680">
        <v>43862</v>
      </c>
      <c r="BN52" s="3746">
        <v>43862</v>
      </c>
      <c r="BO52" s="3739">
        <v>43981</v>
      </c>
      <c r="BP52" s="3739">
        <v>43981</v>
      </c>
      <c r="BQ52" s="3664" t="s">
        <v>2068</v>
      </c>
    </row>
    <row r="53" spans="1:69" s="2042" customFormat="1" ht="30" x14ac:dyDescent="0.25">
      <c r="A53" s="2144"/>
      <c r="B53" s="2030"/>
      <c r="C53" s="2030"/>
      <c r="D53" s="2144"/>
      <c r="E53" s="2030"/>
      <c r="F53" s="2250"/>
      <c r="G53" s="2224"/>
      <c r="H53" s="2224"/>
      <c r="I53" s="2225"/>
      <c r="J53" s="3606"/>
      <c r="K53" s="3697"/>
      <c r="L53" s="3697"/>
      <c r="M53" s="3699"/>
      <c r="N53" s="3568"/>
      <c r="O53" s="3568"/>
      <c r="P53" s="3737"/>
      <c r="Q53" s="3705"/>
      <c r="R53" s="3586"/>
      <c r="S53" s="3738"/>
      <c r="T53" s="3737"/>
      <c r="U53" s="2163" t="s">
        <v>2099</v>
      </c>
      <c r="V53" s="2251">
        <v>12000000</v>
      </c>
      <c r="W53" s="2251"/>
      <c r="X53" s="2251"/>
      <c r="Y53" s="2252">
        <v>20</v>
      </c>
      <c r="Z53" s="2163" t="s">
        <v>70</v>
      </c>
      <c r="AA53" s="3571"/>
      <c r="AB53" s="3568"/>
      <c r="AC53" s="3568"/>
      <c r="AD53" s="3568"/>
      <c r="AE53" s="3568"/>
      <c r="AF53" s="3568"/>
      <c r="AG53" s="3568"/>
      <c r="AH53" s="3568"/>
      <c r="AI53" s="3568"/>
      <c r="AJ53" s="3568"/>
      <c r="AK53" s="3568"/>
      <c r="AL53" s="3568"/>
      <c r="AM53" s="3568"/>
      <c r="AN53" s="3568"/>
      <c r="AO53" s="3568"/>
      <c r="AP53" s="3568"/>
      <c r="AQ53" s="3568"/>
      <c r="AR53" s="3568"/>
      <c r="AS53" s="3568"/>
      <c r="AT53" s="3568"/>
      <c r="AU53" s="3568"/>
      <c r="AV53" s="3568"/>
      <c r="AW53" s="3568"/>
      <c r="AX53" s="3568"/>
      <c r="AY53" s="3568"/>
      <c r="AZ53" s="3568"/>
      <c r="BA53" s="3568"/>
      <c r="BB53" s="3568"/>
      <c r="BC53" s="3568"/>
      <c r="BD53" s="3568"/>
      <c r="BE53" s="3568"/>
      <c r="BF53" s="3568"/>
      <c r="BG53" s="3697"/>
      <c r="BH53" s="3742"/>
      <c r="BI53" s="3742"/>
      <c r="BJ53" s="3744"/>
      <c r="BK53" s="3665"/>
      <c r="BL53" s="3697"/>
      <c r="BM53" s="3745"/>
      <c r="BN53" s="3746"/>
      <c r="BO53" s="3740"/>
      <c r="BP53" s="3740"/>
      <c r="BQ53" s="3665"/>
    </row>
    <row r="54" spans="1:69" s="2042" customFormat="1" ht="60" x14ac:dyDescent="0.25">
      <c r="A54" s="2144"/>
      <c r="B54" s="2030"/>
      <c r="C54" s="2030"/>
      <c r="D54" s="2144"/>
      <c r="E54" s="2030"/>
      <c r="F54" s="2250"/>
      <c r="G54" s="2224"/>
      <c r="H54" s="2224"/>
      <c r="I54" s="2225"/>
      <c r="J54" s="2114">
        <v>105</v>
      </c>
      <c r="K54" s="2115" t="s">
        <v>1999</v>
      </c>
      <c r="L54" s="2115" t="s">
        <v>1993</v>
      </c>
      <c r="M54" s="2149"/>
      <c r="N54" s="3568"/>
      <c r="O54" s="3568"/>
      <c r="P54" s="3737"/>
      <c r="Q54" s="2253">
        <f>V54/R52</f>
        <v>3.1987500000000002E-2</v>
      </c>
      <c r="R54" s="3586"/>
      <c r="S54" s="3738"/>
      <c r="T54" s="3737"/>
      <c r="U54" s="2148" t="s">
        <v>2000</v>
      </c>
      <c r="V54" s="2251">
        <f>50000000-46161500</f>
        <v>3838500</v>
      </c>
      <c r="W54" s="2251"/>
      <c r="X54" s="2251"/>
      <c r="Y54" s="2252" t="s">
        <v>939</v>
      </c>
      <c r="Z54" s="2163" t="s">
        <v>70</v>
      </c>
      <c r="AA54" s="3571"/>
      <c r="AB54" s="3568"/>
      <c r="AC54" s="3568"/>
      <c r="AD54" s="3568"/>
      <c r="AE54" s="3568"/>
      <c r="AF54" s="3568"/>
      <c r="AG54" s="3568"/>
      <c r="AH54" s="3568"/>
      <c r="AI54" s="3568"/>
      <c r="AJ54" s="3568"/>
      <c r="AK54" s="3568"/>
      <c r="AL54" s="3568"/>
      <c r="AM54" s="3568"/>
      <c r="AN54" s="3568"/>
      <c r="AO54" s="3568"/>
      <c r="AP54" s="3568"/>
      <c r="AQ54" s="3568"/>
      <c r="AR54" s="3568"/>
      <c r="AS54" s="3568"/>
      <c r="AT54" s="3568"/>
      <c r="AU54" s="3568"/>
      <c r="AV54" s="3568"/>
      <c r="AW54" s="3568"/>
      <c r="AX54" s="3568"/>
      <c r="AY54" s="3568"/>
      <c r="AZ54" s="3568"/>
      <c r="BA54" s="3568"/>
      <c r="BB54" s="3568"/>
      <c r="BC54" s="3568"/>
      <c r="BD54" s="3568"/>
      <c r="BE54" s="3568"/>
      <c r="BF54" s="3568"/>
      <c r="BG54" s="2254"/>
      <c r="BH54" s="2255"/>
      <c r="BI54" s="2255"/>
      <c r="BJ54" s="2256"/>
      <c r="BK54" s="3665"/>
      <c r="BL54" s="2257"/>
      <c r="BM54" s="2258"/>
      <c r="BN54" s="2258"/>
      <c r="BO54" s="2258"/>
      <c r="BP54" s="2258"/>
      <c r="BQ54" s="3665"/>
    </row>
    <row r="55" spans="1:69" s="2042" customFormat="1" ht="45" x14ac:dyDescent="0.25">
      <c r="A55" s="2144"/>
      <c r="B55" s="2030"/>
      <c r="C55" s="2030"/>
      <c r="D55" s="2144"/>
      <c r="E55" s="2030"/>
      <c r="F55" s="2250"/>
      <c r="G55" s="2224"/>
      <c r="H55" s="2224"/>
      <c r="I55" s="2225"/>
      <c r="J55" s="2114">
        <v>106</v>
      </c>
      <c r="K55" s="2115" t="s">
        <v>2001</v>
      </c>
      <c r="L55" s="2115" t="s">
        <v>2002</v>
      </c>
      <c r="M55" s="2114"/>
      <c r="N55" s="3568"/>
      <c r="O55" s="3568"/>
      <c r="P55" s="3737"/>
      <c r="Q55" s="2253">
        <f>V55/R52</f>
        <v>0.41801250000000001</v>
      </c>
      <c r="R55" s="3586"/>
      <c r="S55" s="3738"/>
      <c r="T55" s="3737"/>
      <c r="U55" s="2259" t="s">
        <v>2003</v>
      </c>
      <c r="V55" s="2260">
        <f>50000000+161500</f>
        <v>50161500</v>
      </c>
      <c r="W55" s="2261"/>
      <c r="X55" s="2151"/>
      <c r="Y55" s="2152" t="s">
        <v>939</v>
      </c>
      <c r="Z55" s="2262" t="s">
        <v>70</v>
      </c>
      <c r="AA55" s="3571"/>
      <c r="AB55" s="3568"/>
      <c r="AC55" s="3568"/>
      <c r="AD55" s="3568"/>
      <c r="AE55" s="3568"/>
      <c r="AF55" s="3568"/>
      <c r="AG55" s="3568"/>
      <c r="AH55" s="3568"/>
      <c r="AI55" s="3568"/>
      <c r="AJ55" s="3568"/>
      <c r="AK55" s="3568"/>
      <c r="AL55" s="3568"/>
      <c r="AM55" s="3568"/>
      <c r="AN55" s="3568"/>
      <c r="AO55" s="3568"/>
      <c r="AP55" s="3568"/>
      <c r="AQ55" s="3568"/>
      <c r="AR55" s="3568"/>
      <c r="AS55" s="3568"/>
      <c r="AT55" s="3568"/>
      <c r="AU55" s="3568"/>
      <c r="AV55" s="3568"/>
      <c r="AW55" s="3568"/>
      <c r="AX55" s="3568"/>
      <c r="AY55" s="3568"/>
      <c r="AZ55" s="3568"/>
      <c r="BA55" s="3568"/>
      <c r="BB55" s="3568"/>
      <c r="BC55" s="3568"/>
      <c r="BD55" s="3568"/>
      <c r="BE55" s="3568"/>
      <c r="BF55" s="3568"/>
      <c r="BG55" s="2254"/>
      <c r="BH55" s="2255"/>
      <c r="BI55" s="2255"/>
      <c r="BJ55" s="2256"/>
      <c r="BK55" s="3732"/>
      <c r="BL55" s="2263"/>
      <c r="BM55" s="2258"/>
      <c r="BN55" s="2264"/>
      <c r="BO55" s="2258"/>
      <c r="BP55" s="2258"/>
      <c r="BQ55" s="3665"/>
    </row>
    <row r="56" spans="1:69" s="2042" customFormat="1" ht="30" customHeight="1" x14ac:dyDescent="0.25">
      <c r="A56" s="2144"/>
      <c r="B56" s="2030"/>
      <c r="C56" s="2030"/>
      <c r="D56" s="2144"/>
      <c r="E56" s="2030"/>
      <c r="F56" s="2250"/>
      <c r="G56" s="2224"/>
      <c r="H56" s="2224"/>
      <c r="I56" s="2224"/>
      <c r="J56" s="3612">
        <v>107</v>
      </c>
      <c r="K56" s="3692" t="s">
        <v>2004</v>
      </c>
      <c r="L56" s="3692" t="s">
        <v>2005</v>
      </c>
      <c r="M56" s="3612"/>
      <c r="N56" s="3599" t="s">
        <v>2100</v>
      </c>
      <c r="O56" s="3612" t="s">
        <v>2006</v>
      </c>
      <c r="P56" s="3748" t="s">
        <v>2007</v>
      </c>
      <c r="Q56" s="3749">
        <f>SUM(V56:V58)/R56</f>
        <v>1</v>
      </c>
      <c r="R56" s="3594">
        <f>SUM(V56:V58)</f>
        <v>200000000</v>
      </c>
      <c r="S56" s="3692" t="s">
        <v>1996</v>
      </c>
      <c r="T56" s="3692" t="s">
        <v>1997</v>
      </c>
      <c r="U56" s="3752" t="s">
        <v>2008</v>
      </c>
      <c r="V56" s="2151">
        <v>50000000</v>
      </c>
      <c r="W56" s="2265"/>
      <c r="X56" s="2151"/>
      <c r="Y56" s="2266">
        <v>20</v>
      </c>
      <c r="Z56" s="2267" t="s">
        <v>2101</v>
      </c>
      <c r="AA56" s="3596">
        <v>20196</v>
      </c>
      <c r="AB56" s="3599">
        <v>20196</v>
      </c>
      <c r="AC56" s="3612">
        <v>20595</v>
      </c>
      <c r="AD56" s="3592">
        <v>20595</v>
      </c>
      <c r="AE56" s="3747">
        <v>29775</v>
      </c>
      <c r="AF56" s="3686">
        <v>29775</v>
      </c>
      <c r="AG56" s="3753">
        <v>9453</v>
      </c>
      <c r="AH56" s="3678">
        <v>9453</v>
      </c>
      <c r="AI56" s="3747">
        <v>1396</v>
      </c>
      <c r="AJ56" s="3686">
        <v>1396</v>
      </c>
      <c r="AK56" s="3753">
        <v>167</v>
      </c>
      <c r="AL56" s="3678">
        <v>167</v>
      </c>
      <c r="AM56" s="3753">
        <v>274</v>
      </c>
      <c r="AN56" s="3678">
        <v>274</v>
      </c>
      <c r="AO56" s="3747">
        <v>330</v>
      </c>
      <c r="AP56" s="3686">
        <v>330</v>
      </c>
      <c r="AQ56" s="3753">
        <v>0</v>
      </c>
      <c r="AR56" s="3678">
        <v>0</v>
      </c>
      <c r="AS56" s="3753">
        <v>0</v>
      </c>
      <c r="AT56" s="3678">
        <v>0</v>
      </c>
      <c r="AU56" s="3753">
        <v>0</v>
      </c>
      <c r="AV56" s="3678">
        <v>0</v>
      </c>
      <c r="AW56" s="3754">
        <v>0</v>
      </c>
      <c r="AX56" s="3755">
        <v>0</v>
      </c>
      <c r="AY56" s="3754">
        <v>3097</v>
      </c>
      <c r="AZ56" s="3755">
        <v>3097</v>
      </c>
      <c r="BA56" s="3754">
        <v>2611</v>
      </c>
      <c r="BB56" s="3755">
        <v>2611</v>
      </c>
      <c r="BC56" s="3754">
        <v>50</v>
      </c>
      <c r="BD56" s="3755">
        <v>50</v>
      </c>
      <c r="BE56" s="3762">
        <v>40791</v>
      </c>
      <c r="BF56" s="3664">
        <v>40791</v>
      </c>
      <c r="BG56" s="3664">
        <v>1</v>
      </c>
      <c r="BH56" s="3763">
        <f>+W58</f>
        <v>100000000</v>
      </c>
      <c r="BI56" s="3763">
        <f>SUM(X56:X58)</f>
        <v>100000000</v>
      </c>
      <c r="BJ56" s="3766">
        <f>BI56/BH56</f>
        <v>1</v>
      </c>
      <c r="BK56" s="3664" t="s">
        <v>70</v>
      </c>
      <c r="BL56" s="3664" t="s">
        <v>2102</v>
      </c>
      <c r="BM56" s="3739">
        <v>43881</v>
      </c>
      <c r="BN56" s="3759">
        <v>43881</v>
      </c>
      <c r="BO56" s="3759">
        <v>43881</v>
      </c>
      <c r="BP56" s="3759">
        <v>43881</v>
      </c>
      <c r="BQ56" s="3665"/>
    </row>
    <row r="57" spans="1:69" s="2042" customFormat="1" ht="29.25" customHeight="1" x14ac:dyDescent="0.25">
      <c r="A57" s="2144"/>
      <c r="B57" s="2030"/>
      <c r="C57" s="2030"/>
      <c r="D57" s="2144"/>
      <c r="E57" s="2030"/>
      <c r="F57" s="2250"/>
      <c r="G57" s="2224"/>
      <c r="H57" s="2224"/>
      <c r="I57" s="2224"/>
      <c r="J57" s="3612"/>
      <c r="K57" s="3692"/>
      <c r="L57" s="3692"/>
      <c r="M57" s="3612"/>
      <c r="N57" s="3566"/>
      <c r="O57" s="3612"/>
      <c r="P57" s="3748"/>
      <c r="Q57" s="3750"/>
      <c r="R57" s="3594"/>
      <c r="S57" s="3692"/>
      <c r="T57" s="3692"/>
      <c r="U57" s="3637"/>
      <c r="V57" s="2151">
        <v>50000000</v>
      </c>
      <c r="W57" s="2265"/>
      <c r="X57" s="2268"/>
      <c r="Y57" s="2269">
        <v>35</v>
      </c>
      <c r="Z57" s="2153" t="s">
        <v>1916</v>
      </c>
      <c r="AA57" s="3596"/>
      <c r="AB57" s="3566"/>
      <c r="AC57" s="3612"/>
      <c r="AD57" s="3593"/>
      <c r="AE57" s="3747"/>
      <c r="AF57" s="3687"/>
      <c r="AG57" s="3753"/>
      <c r="AH57" s="3679"/>
      <c r="AI57" s="3747"/>
      <c r="AJ57" s="3687"/>
      <c r="AK57" s="3753"/>
      <c r="AL57" s="3679"/>
      <c r="AM57" s="3753"/>
      <c r="AN57" s="3679"/>
      <c r="AO57" s="3747"/>
      <c r="AP57" s="3687"/>
      <c r="AQ57" s="3753"/>
      <c r="AR57" s="3679"/>
      <c r="AS57" s="3753"/>
      <c r="AT57" s="3679"/>
      <c r="AU57" s="3753"/>
      <c r="AV57" s="3679"/>
      <c r="AW57" s="3754"/>
      <c r="AX57" s="3756"/>
      <c r="AY57" s="3754"/>
      <c r="AZ57" s="3756"/>
      <c r="BA57" s="3754"/>
      <c r="BB57" s="3756"/>
      <c r="BC57" s="3754"/>
      <c r="BD57" s="3756"/>
      <c r="BE57" s="3762"/>
      <c r="BF57" s="3665"/>
      <c r="BG57" s="3665"/>
      <c r="BH57" s="3764"/>
      <c r="BI57" s="3764"/>
      <c r="BJ57" s="3767"/>
      <c r="BK57" s="3665"/>
      <c r="BL57" s="3665"/>
      <c r="BM57" s="3758"/>
      <c r="BN57" s="3760"/>
      <c r="BO57" s="3760"/>
      <c r="BP57" s="3760"/>
      <c r="BQ57" s="3665"/>
    </row>
    <row r="58" spans="1:69" s="2042" customFormat="1" ht="45" x14ac:dyDescent="0.25">
      <c r="A58" s="2144"/>
      <c r="B58" s="2030"/>
      <c r="C58" s="2030"/>
      <c r="D58" s="2144"/>
      <c r="E58" s="2270"/>
      <c r="F58" s="2250"/>
      <c r="G58" s="2224"/>
      <c r="H58" s="2224"/>
      <c r="I58" s="2224"/>
      <c r="J58" s="3612"/>
      <c r="K58" s="3692"/>
      <c r="L58" s="3692"/>
      <c r="M58" s="3612"/>
      <c r="N58" s="3600"/>
      <c r="O58" s="3612"/>
      <c r="P58" s="3748"/>
      <c r="Q58" s="3751"/>
      <c r="R58" s="3594"/>
      <c r="S58" s="3692"/>
      <c r="T58" s="3692"/>
      <c r="U58" s="2091" t="s">
        <v>2009</v>
      </c>
      <c r="V58" s="2271">
        <v>100000000</v>
      </c>
      <c r="W58" s="2272">
        <v>100000000</v>
      </c>
      <c r="X58" s="2272">
        <v>100000000</v>
      </c>
      <c r="Y58" s="2152">
        <v>20</v>
      </c>
      <c r="Z58" s="2153" t="s">
        <v>2101</v>
      </c>
      <c r="AA58" s="3596"/>
      <c r="AB58" s="3600"/>
      <c r="AC58" s="3612"/>
      <c r="AD58" s="3606"/>
      <c r="AE58" s="3747"/>
      <c r="AF58" s="3688"/>
      <c r="AG58" s="3753"/>
      <c r="AH58" s="3693"/>
      <c r="AI58" s="3747"/>
      <c r="AJ58" s="3688"/>
      <c r="AK58" s="3753"/>
      <c r="AL58" s="3693"/>
      <c r="AM58" s="3753"/>
      <c r="AN58" s="3693"/>
      <c r="AO58" s="3747"/>
      <c r="AP58" s="3688"/>
      <c r="AQ58" s="3753"/>
      <c r="AR58" s="3693"/>
      <c r="AS58" s="3753"/>
      <c r="AT58" s="3693"/>
      <c r="AU58" s="3753"/>
      <c r="AV58" s="3693"/>
      <c r="AW58" s="3754"/>
      <c r="AX58" s="3757"/>
      <c r="AY58" s="3754"/>
      <c r="AZ58" s="3757"/>
      <c r="BA58" s="3754"/>
      <c r="BB58" s="3757"/>
      <c r="BC58" s="3754"/>
      <c r="BD58" s="3757"/>
      <c r="BE58" s="3762"/>
      <c r="BF58" s="3732"/>
      <c r="BG58" s="3732"/>
      <c r="BH58" s="3765"/>
      <c r="BI58" s="3765"/>
      <c r="BJ58" s="3768"/>
      <c r="BK58" s="3732"/>
      <c r="BL58" s="3732"/>
      <c r="BM58" s="3740"/>
      <c r="BN58" s="3761"/>
      <c r="BO58" s="3761"/>
      <c r="BP58" s="3761"/>
      <c r="BQ58" s="3732"/>
    </row>
    <row r="59" spans="1:69" s="2042" customFormat="1" ht="15.75" x14ac:dyDescent="0.25">
      <c r="A59" s="2197"/>
      <c r="B59" s="2198"/>
      <c r="C59" s="2199"/>
      <c r="D59" s="2128">
        <v>8</v>
      </c>
      <c r="E59" s="2129" t="s">
        <v>2010</v>
      </c>
      <c r="F59" s="2129"/>
      <c r="G59" s="2047"/>
      <c r="H59" s="2047"/>
      <c r="I59" s="2047"/>
      <c r="J59" s="2129"/>
      <c r="K59" s="2130"/>
      <c r="L59" s="2130"/>
      <c r="M59" s="2273"/>
      <c r="N59" s="2274"/>
      <c r="O59" s="2274"/>
      <c r="P59" s="2275"/>
      <c r="Q59" s="2276"/>
      <c r="R59" s="2277"/>
      <c r="S59" s="2130"/>
      <c r="T59" s="2130"/>
      <c r="U59" s="2130"/>
      <c r="V59" s="2130"/>
      <c r="W59" s="2130"/>
      <c r="X59" s="2130"/>
      <c r="Y59" s="2130"/>
      <c r="Z59" s="2130"/>
      <c r="AA59" s="2130"/>
      <c r="AB59" s="2130"/>
      <c r="AC59" s="2274"/>
      <c r="AD59" s="2274"/>
      <c r="AE59" s="2278"/>
      <c r="AF59" s="2278"/>
      <c r="AG59" s="2278"/>
      <c r="AH59" s="2278"/>
      <c r="AI59" s="2278"/>
      <c r="AJ59" s="2278"/>
      <c r="AK59" s="2278"/>
      <c r="AL59" s="2278"/>
      <c r="AM59" s="2278"/>
      <c r="AN59" s="2278"/>
      <c r="AO59" s="2278"/>
      <c r="AP59" s="2278"/>
      <c r="AQ59" s="2278"/>
      <c r="AR59" s="2278"/>
      <c r="AS59" s="2279"/>
      <c r="AT59" s="2279"/>
      <c r="AU59" s="2279"/>
      <c r="AV59" s="2279"/>
      <c r="AW59" s="2280"/>
      <c r="AX59" s="2280"/>
      <c r="AY59" s="2280"/>
      <c r="AZ59" s="2280"/>
      <c r="BA59" s="2280"/>
      <c r="BB59" s="2280"/>
      <c r="BC59" s="2280"/>
      <c r="BD59" s="2280"/>
      <c r="BE59" s="2281"/>
      <c r="BF59" s="2281"/>
      <c r="BG59" s="2281"/>
      <c r="BH59" s="2282"/>
      <c r="BI59" s="2282"/>
      <c r="BJ59" s="2281"/>
      <c r="BK59" s="2281"/>
      <c r="BL59" s="2281"/>
      <c r="BM59" s="2281"/>
      <c r="BN59" s="2281"/>
      <c r="BO59" s="2281"/>
      <c r="BP59" s="2281"/>
      <c r="BQ59" s="2283"/>
    </row>
    <row r="60" spans="1:69" s="2042" customFormat="1" ht="15.75" x14ac:dyDescent="0.25">
      <c r="A60" s="2197"/>
      <c r="B60" s="2198"/>
      <c r="C60" s="2198"/>
      <c r="D60" s="2284"/>
      <c r="E60" s="2285"/>
      <c r="F60" s="2286"/>
      <c r="G60" s="2141">
        <v>25</v>
      </c>
      <c r="H60" s="2061" t="s">
        <v>2011</v>
      </c>
      <c r="I60" s="2061"/>
      <c r="J60" s="2061"/>
      <c r="K60" s="2062"/>
      <c r="L60" s="2062"/>
      <c r="M60" s="2104"/>
      <c r="N60" s="2142"/>
      <c r="O60" s="2104"/>
      <c r="P60" s="2179"/>
      <c r="Q60" s="2104"/>
      <c r="R60" s="2106"/>
      <c r="S60" s="2062"/>
      <c r="T60" s="2062"/>
      <c r="U60" s="2062"/>
      <c r="V60" s="2062"/>
      <c r="W60" s="2062"/>
      <c r="X60" s="2062"/>
      <c r="Y60" s="2062"/>
      <c r="Z60" s="2062"/>
      <c r="AA60" s="2062"/>
      <c r="AB60" s="2062"/>
      <c r="AC60" s="2104"/>
      <c r="AD60" s="2104"/>
      <c r="AE60" s="2104"/>
      <c r="AF60" s="2104"/>
      <c r="AG60" s="2104"/>
      <c r="AH60" s="2104"/>
      <c r="AI60" s="2104"/>
      <c r="AJ60" s="2104"/>
      <c r="AK60" s="2104"/>
      <c r="AL60" s="2104"/>
      <c r="AM60" s="2104"/>
      <c r="AN60" s="2104"/>
      <c r="AO60" s="2104"/>
      <c r="AP60" s="2104"/>
      <c r="AQ60" s="2104"/>
      <c r="AR60" s="2104"/>
      <c r="AS60" s="2104"/>
      <c r="AT60" s="2104"/>
      <c r="AU60" s="2104"/>
      <c r="AV60" s="2104"/>
      <c r="AW60" s="2072"/>
      <c r="AX60" s="2072"/>
      <c r="AY60" s="2072"/>
      <c r="AZ60" s="2072"/>
      <c r="BA60" s="2072"/>
      <c r="BB60" s="2072"/>
      <c r="BC60" s="2072"/>
      <c r="BD60" s="2072"/>
      <c r="BE60" s="2072"/>
      <c r="BF60" s="2072"/>
      <c r="BG60" s="2072"/>
      <c r="BH60" s="2107"/>
      <c r="BI60" s="2107"/>
      <c r="BJ60" s="2072"/>
      <c r="BK60" s="2072"/>
      <c r="BL60" s="2072"/>
      <c r="BM60" s="2072"/>
      <c r="BN60" s="2072"/>
      <c r="BO60" s="2072"/>
      <c r="BP60" s="2072"/>
      <c r="BQ60" s="2108"/>
    </row>
    <row r="61" spans="1:69" s="2042" customFormat="1" ht="15.75" x14ac:dyDescent="0.25">
      <c r="A61" s="2197"/>
      <c r="B61" s="2198"/>
      <c r="C61" s="2198"/>
      <c r="D61" s="2287"/>
      <c r="E61" s="2288"/>
      <c r="F61" s="2289"/>
      <c r="G61" s="2290"/>
      <c r="H61" s="2290"/>
      <c r="I61" s="2290"/>
      <c r="J61" s="3592">
        <v>108</v>
      </c>
      <c r="K61" s="3769" t="s">
        <v>2012</v>
      </c>
      <c r="L61" s="3769" t="s">
        <v>2013</v>
      </c>
      <c r="M61" s="3698"/>
      <c r="N61" s="3601" t="s">
        <v>2014</v>
      </c>
      <c r="O61" s="3601" t="s">
        <v>2015</v>
      </c>
      <c r="P61" s="3567" t="s">
        <v>2016</v>
      </c>
      <c r="Q61" s="3703">
        <f>(+V61+V62)/R61</f>
        <v>0.5</v>
      </c>
      <c r="R61" s="3586">
        <f>+V61+V63</f>
        <v>20000000</v>
      </c>
      <c r="S61" s="3567" t="s">
        <v>2017</v>
      </c>
      <c r="T61" s="3769" t="s">
        <v>2018</v>
      </c>
      <c r="U61" s="3752" t="s">
        <v>2019</v>
      </c>
      <c r="V61" s="3771">
        <v>10000000</v>
      </c>
      <c r="W61" s="3771"/>
      <c r="X61" s="3771"/>
      <c r="Y61" s="3772">
        <v>20</v>
      </c>
      <c r="Z61" s="3773" t="s">
        <v>2020</v>
      </c>
      <c r="AA61" s="3653">
        <v>20196</v>
      </c>
      <c r="AB61" s="3653">
        <v>20196</v>
      </c>
      <c r="AC61" s="3653">
        <v>20595</v>
      </c>
      <c r="AD61" s="3653">
        <v>20595</v>
      </c>
      <c r="AE61" s="3653">
        <v>29775</v>
      </c>
      <c r="AF61" s="3653">
        <v>29775</v>
      </c>
      <c r="AG61" s="3653">
        <v>9453</v>
      </c>
      <c r="AH61" s="3653">
        <v>9453</v>
      </c>
      <c r="AI61" s="3653">
        <v>1396</v>
      </c>
      <c r="AJ61" s="3653">
        <v>1396</v>
      </c>
      <c r="AK61" s="3653">
        <v>167</v>
      </c>
      <c r="AL61" s="3653">
        <v>167</v>
      </c>
      <c r="AM61" s="3653">
        <v>274</v>
      </c>
      <c r="AN61" s="3653">
        <v>274</v>
      </c>
      <c r="AO61" s="3653">
        <v>330</v>
      </c>
      <c r="AP61" s="3653">
        <v>330</v>
      </c>
      <c r="AQ61" s="3653">
        <v>0</v>
      </c>
      <c r="AR61" s="3653">
        <v>0</v>
      </c>
      <c r="AS61" s="3653">
        <v>0</v>
      </c>
      <c r="AT61" s="3653">
        <v>0</v>
      </c>
      <c r="AU61" s="3653">
        <v>0</v>
      </c>
      <c r="AV61" s="3653">
        <v>0</v>
      </c>
      <c r="AW61" s="3653">
        <v>0</v>
      </c>
      <c r="AX61" s="3653">
        <v>0</v>
      </c>
      <c r="AY61" s="3653">
        <v>3097</v>
      </c>
      <c r="AZ61" s="3653">
        <v>3097</v>
      </c>
      <c r="BA61" s="3653">
        <v>2611</v>
      </c>
      <c r="BB61" s="3653">
        <v>2611</v>
      </c>
      <c r="BC61" s="3653">
        <v>50</v>
      </c>
      <c r="BD61" s="3653">
        <v>50</v>
      </c>
      <c r="BE61" s="3653">
        <v>40791</v>
      </c>
      <c r="BF61" s="3653">
        <v>40791</v>
      </c>
      <c r="BG61" s="3653"/>
      <c r="BH61" s="3741"/>
      <c r="BI61" s="3789">
        <f>+X61</f>
        <v>0</v>
      </c>
      <c r="BJ61" s="3734">
        <v>0</v>
      </c>
      <c r="BK61" s="2227"/>
      <c r="BL61" s="2227"/>
      <c r="BM61" s="3680"/>
      <c r="BN61" s="3662"/>
      <c r="BO61" s="3662"/>
      <c r="BP61" s="3662"/>
      <c r="BQ61" s="3664" t="s">
        <v>2068</v>
      </c>
    </row>
    <row r="62" spans="1:69" s="2042" customFormat="1" ht="15.75" x14ac:dyDescent="0.25">
      <c r="A62" s="2197"/>
      <c r="B62" s="2198"/>
      <c r="C62" s="2198"/>
      <c r="D62" s="2287"/>
      <c r="E62" s="2288"/>
      <c r="F62" s="2289"/>
      <c r="G62" s="2290"/>
      <c r="H62" s="2290"/>
      <c r="I62" s="2290"/>
      <c r="J62" s="3606"/>
      <c r="K62" s="3770"/>
      <c r="L62" s="3770"/>
      <c r="M62" s="3699"/>
      <c r="N62" s="3568"/>
      <c r="O62" s="3568"/>
      <c r="P62" s="3567"/>
      <c r="Q62" s="3705"/>
      <c r="R62" s="3586"/>
      <c r="S62" s="3567"/>
      <c r="T62" s="3770"/>
      <c r="U62" s="3637"/>
      <c r="V62" s="3639"/>
      <c r="W62" s="3639"/>
      <c r="X62" s="3639"/>
      <c r="Y62" s="3772"/>
      <c r="Z62" s="3773"/>
      <c r="AA62" s="3654"/>
      <c r="AB62" s="3654"/>
      <c r="AC62" s="3654"/>
      <c r="AD62" s="3654"/>
      <c r="AE62" s="3654"/>
      <c r="AF62" s="3654"/>
      <c r="AG62" s="3654"/>
      <c r="AH62" s="3654"/>
      <c r="AI62" s="3654"/>
      <c r="AJ62" s="3654"/>
      <c r="AK62" s="3654"/>
      <c r="AL62" s="3654"/>
      <c r="AM62" s="3654"/>
      <c r="AN62" s="3654"/>
      <c r="AO62" s="3654"/>
      <c r="AP62" s="3654"/>
      <c r="AQ62" s="3654"/>
      <c r="AR62" s="3654"/>
      <c r="AS62" s="3654"/>
      <c r="AT62" s="3654"/>
      <c r="AU62" s="3654"/>
      <c r="AV62" s="3654"/>
      <c r="AW62" s="3654"/>
      <c r="AX62" s="3654"/>
      <c r="AY62" s="3654"/>
      <c r="AZ62" s="3654"/>
      <c r="BA62" s="3654"/>
      <c r="BB62" s="3654"/>
      <c r="BC62" s="3654"/>
      <c r="BD62" s="3654"/>
      <c r="BE62" s="3654"/>
      <c r="BF62" s="3654"/>
      <c r="BG62" s="3654"/>
      <c r="BH62" s="3586"/>
      <c r="BI62" s="3790"/>
      <c r="BJ62" s="3736"/>
      <c r="BK62" s="2183"/>
      <c r="BL62" s="2183"/>
      <c r="BM62" s="3691"/>
      <c r="BN62" s="3663"/>
      <c r="BO62" s="3663"/>
      <c r="BP62" s="3663"/>
      <c r="BQ62" s="3665"/>
    </row>
    <row r="63" spans="1:69" s="2042" customFormat="1" ht="45" x14ac:dyDescent="0.25">
      <c r="A63" s="2197"/>
      <c r="B63" s="2198"/>
      <c r="C63" s="2198"/>
      <c r="D63" s="2287"/>
      <c r="E63" s="2288"/>
      <c r="F63" s="2289"/>
      <c r="G63" s="2290"/>
      <c r="H63" s="2290"/>
      <c r="I63" s="2290"/>
      <c r="J63" s="2114">
        <v>109</v>
      </c>
      <c r="K63" s="2226" t="s">
        <v>2021</v>
      </c>
      <c r="L63" s="2226" t="s">
        <v>2022</v>
      </c>
      <c r="M63" s="2149"/>
      <c r="N63" s="3697"/>
      <c r="O63" s="3697"/>
      <c r="P63" s="3567"/>
      <c r="Q63" s="2253">
        <f>(V63)/R61</f>
        <v>0.5</v>
      </c>
      <c r="R63" s="3586"/>
      <c r="S63" s="3567"/>
      <c r="T63" s="2226" t="s">
        <v>2023</v>
      </c>
      <c r="U63" s="2291" t="s">
        <v>2103</v>
      </c>
      <c r="V63" s="2251">
        <v>10000000</v>
      </c>
      <c r="W63" s="2251"/>
      <c r="X63" s="2251"/>
      <c r="Y63" s="2152">
        <v>20</v>
      </c>
      <c r="Z63" s="2153" t="s">
        <v>70</v>
      </c>
      <c r="AA63" s="3696"/>
      <c r="AB63" s="3696"/>
      <c r="AC63" s="3696"/>
      <c r="AD63" s="3696"/>
      <c r="AE63" s="3696"/>
      <c r="AF63" s="3696"/>
      <c r="AG63" s="3696"/>
      <c r="AH63" s="3696"/>
      <c r="AI63" s="3696"/>
      <c r="AJ63" s="3696"/>
      <c r="AK63" s="3696"/>
      <c r="AL63" s="3696"/>
      <c r="AM63" s="3696"/>
      <c r="AN63" s="3696"/>
      <c r="AO63" s="3696"/>
      <c r="AP63" s="3696"/>
      <c r="AQ63" s="3696"/>
      <c r="AR63" s="3696"/>
      <c r="AS63" s="3696"/>
      <c r="AT63" s="3696"/>
      <c r="AU63" s="3696"/>
      <c r="AV63" s="3696"/>
      <c r="AW63" s="3696"/>
      <c r="AX63" s="3696"/>
      <c r="AY63" s="3696"/>
      <c r="AZ63" s="3696"/>
      <c r="BA63" s="3696"/>
      <c r="BB63" s="3696"/>
      <c r="BC63" s="3696"/>
      <c r="BD63" s="3696"/>
      <c r="BE63" s="3696"/>
      <c r="BF63" s="3696"/>
      <c r="BG63" s="3696"/>
      <c r="BH63" s="3742"/>
      <c r="BI63" s="3791"/>
      <c r="BJ63" s="2292">
        <v>0</v>
      </c>
      <c r="BK63" s="2183"/>
      <c r="BL63" s="2183"/>
      <c r="BM63" s="3681"/>
      <c r="BN63" s="3796"/>
      <c r="BO63" s="3796"/>
      <c r="BP63" s="3796"/>
      <c r="BQ63" s="3732"/>
    </row>
    <row r="64" spans="1:69" s="2042" customFormat="1" ht="15.75" x14ac:dyDescent="0.25">
      <c r="A64" s="2246"/>
      <c r="B64" s="2247"/>
      <c r="C64" s="2247"/>
      <c r="D64" s="2246"/>
      <c r="E64" s="2247"/>
      <c r="F64" s="2248"/>
      <c r="G64" s="2141">
        <v>26</v>
      </c>
      <c r="H64" s="2061" t="s">
        <v>2024</v>
      </c>
      <c r="I64" s="2061"/>
      <c r="J64" s="2061"/>
      <c r="K64" s="2062"/>
      <c r="L64" s="2062"/>
      <c r="M64" s="2104"/>
      <c r="N64" s="2142"/>
      <c r="O64" s="2104"/>
      <c r="P64" s="2179"/>
      <c r="Q64" s="2104"/>
      <c r="R64" s="2106"/>
      <c r="S64" s="2062"/>
      <c r="T64" s="2062"/>
      <c r="U64" s="2062"/>
      <c r="V64" s="2062"/>
      <c r="W64" s="2062"/>
      <c r="X64" s="2062"/>
      <c r="Y64" s="2062"/>
      <c r="Z64" s="2062"/>
      <c r="AA64" s="2062"/>
      <c r="AB64" s="2062"/>
      <c r="AC64" s="2062"/>
      <c r="AD64" s="2062"/>
      <c r="AE64" s="2104"/>
      <c r="AF64" s="2104"/>
      <c r="AG64" s="2104"/>
      <c r="AH64" s="2104"/>
      <c r="AI64" s="2104"/>
      <c r="AJ64" s="2104"/>
      <c r="AK64" s="2104"/>
      <c r="AL64" s="2104"/>
      <c r="AM64" s="2104"/>
      <c r="AN64" s="2104"/>
      <c r="AO64" s="2104"/>
      <c r="AP64" s="2104"/>
      <c r="AQ64" s="2104"/>
      <c r="AR64" s="2104"/>
      <c r="AS64" s="2104"/>
      <c r="AT64" s="2104"/>
      <c r="AU64" s="2104"/>
      <c r="AV64" s="2104"/>
      <c r="AW64" s="2072"/>
      <c r="AX64" s="2072"/>
      <c r="AY64" s="2072"/>
      <c r="AZ64" s="2072"/>
      <c r="BA64" s="2072"/>
      <c r="BB64" s="2072"/>
      <c r="BC64" s="2072"/>
      <c r="BD64" s="2072"/>
      <c r="BE64" s="2072"/>
      <c r="BF64" s="2072"/>
      <c r="BG64" s="2072"/>
      <c r="BH64" s="2107"/>
      <c r="BI64" s="2107"/>
      <c r="BJ64" s="2072"/>
      <c r="BK64" s="2072"/>
      <c r="BL64" s="2072"/>
      <c r="BM64" s="2072"/>
      <c r="BN64" s="2072"/>
      <c r="BO64" s="2072"/>
      <c r="BP64" s="2072"/>
      <c r="BQ64" s="2108"/>
    </row>
    <row r="65" spans="1:69" s="2042" customFormat="1" ht="60" x14ac:dyDescent="0.25">
      <c r="A65" s="2197" t="s">
        <v>320</v>
      </c>
      <c r="B65" s="2198"/>
      <c r="C65" s="2198"/>
      <c r="D65" s="2197"/>
      <c r="E65" s="2198"/>
      <c r="F65" s="2199"/>
      <c r="G65" s="3774"/>
      <c r="H65" s="3775"/>
      <c r="I65" s="3776"/>
      <c r="J65" s="2293">
        <v>110</v>
      </c>
      <c r="K65" s="2294" t="s">
        <v>2025</v>
      </c>
      <c r="L65" s="2294" t="s">
        <v>2026</v>
      </c>
      <c r="M65" s="2295"/>
      <c r="N65" s="2257" t="s">
        <v>2104</v>
      </c>
      <c r="O65" s="2257" t="s">
        <v>2027</v>
      </c>
      <c r="P65" s="2294" t="s">
        <v>2028</v>
      </c>
      <c r="Q65" s="2296">
        <f>V65/R65</f>
        <v>1</v>
      </c>
      <c r="R65" s="2255">
        <f>+V65</f>
        <v>700000000</v>
      </c>
      <c r="S65" s="2254" t="s">
        <v>2029</v>
      </c>
      <c r="T65" s="2294" t="s">
        <v>2030</v>
      </c>
      <c r="U65" s="2091" t="s">
        <v>2031</v>
      </c>
      <c r="V65" s="2151">
        <v>700000000</v>
      </c>
      <c r="W65" s="2151"/>
      <c r="X65" s="2151"/>
      <c r="Y65" s="2152">
        <v>25</v>
      </c>
      <c r="Z65" s="2153" t="s">
        <v>2032</v>
      </c>
      <c r="AA65" s="2227">
        <v>20196</v>
      </c>
      <c r="AB65" s="2227">
        <v>20196</v>
      </c>
      <c r="AC65" s="2227">
        <v>20595</v>
      </c>
      <c r="AD65" s="2227">
        <v>20595</v>
      </c>
      <c r="AE65" s="2227">
        <v>29775</v>
      </c>
      <c r="AF65" s="2227">
        <v>29775</v>
      </c>
      <c r="AG65" s="2227">
        <v>9453</v>
      </c>
      <c r="AH65" s="2227">
        <v>9453</v>
      </c>
      <c r="AI65" s="2227">
        <v>1396</v>
      </c>
      <c r="AJ65" s="2227">
        <v>1396</v>
      </c>
      <c r="AK65" s="2227">
        <v>167</v>
      </c>
      <c r="AL65" s="2227">
        <v>167</v>
      </c>
      <c r="AM65" s="2227">
        <v>274</v>
      </c>
      <c r="AN65" s="2227">
        <v>274</v>
      </c>
      <c r="AO65" s="2227">
        <v>330</v>
      </c>
      <c r="AP65" s="2227">
        <v>330</v>
      </c>
      <c r="AQ65" s="2227">
        <v>0</v>
      </c>
      <c r="AR65" s="2227">
        <v>0</v>
      </c>
      <c r="AS65" s="2227">
        <v>0</v>
      </c>
      <c r="AT65" s="2227">
        <v>0</v>
      </c>
      <c r="AU65" s="2227">
        <v>0</v>
      </c>
      <c r="AV65" s="2227">
        <v>0</v>
      </c>
      <c r="AW65" s="2227">
        <v>0</v>
      </c>
      <c r="AX65" s="2227">
        <v>0</v>
      </c>
      <c r="AY65" s="2227">
        <v>3097</v>
      </c>
      <c r="AZ65" s="2227">
        <v>3097</v>
      </c>
      <c r="BA65" s="2227">
        <v>2611</v>
      </c>
      <c r="BB65" s="2227">
        <v>2611</v>
      </c>
      <c r="BC65" s="2227">
        <v>50</v>
      </c>
      <c r="BD65" s="2227">
        <v>50</v>
      </c>
      <c r="BE65" s="2227">
        <v>40791</v>
      </c>
      <c r="BF65" s="2227">
        <v>40791</v>
      </c>
      <c r="BG65" s="2227"/>
      <c r="BH65" s="2297">
        <f>W65</f>
        <v>0</v>
      </c>
      <c r="BI65" s="2297">
        <f>X65</f>
        <v>0</v>
      </c>
      <c r="BJ65" s="2298">
        <v>0</v>
      </c>
      <c r="BK65" s="2299" t="s">
        <v>70</v>
      </c>
      <c r="BL65" s="2299"/>
      <c r="BM65" s="2300"/>
      <c r="BN65" s="2300"/>
      <c r="BO65" s="2300"/>
      <c r="BP65" s="2300"/>
      <c r="BQ65" s="2245" t="s">
        <v>2068</v>
      </c>
    </row>
    <row r="66" spans="1:69" s="2042" customFormat="1" ht="15.75" x14ac:dyDescent="0.25">
      <c r="A66" s="2246"/>
      <c r="B66" s="2247"/>
      <c r="C66" s="2247"/>
      <c r="D66" s="2246"/>
      <c r="E66" s="2247"/>
      <c r="F66" s="2248"/>
      <c r="G66" s="2141">
        <v>27</v>
      </c>
      <c r="H66" s="2061" t="s">
        <v>2033</v>
      </c>
      <c r="I66" s="2061"/>
      <c r="J66" s="2061"/>
      <c r="K66" s="2062"/>
      <c r="L66" s="2062"/>
      <c r="M66" s="2104"/>
      <c r="N66" s="2142"/>
      <c r="O66" s="2104"/>
      <c r="P66" s="2179"/>
      <c r="Q66" s="2104"/>
      <c r="R66" s="2106"/>
      <c r="S66" s="2062"/>
      <c r="T66" s="2062"/>
      <c r="U66" s="2062"/>
      <c r="V66" s="2062"/>
      <c r="W66" s="2062"/>
      <c r="X66" s="2062"/>
      <c r="Y66" s="2062"/>
      <c r="Z66" s="2062"/>
      <c r="AA66" s="2062"/>
      <c r="AB66" s="2062"/>
      <c r="AC66" s="2062"/>
      <c r="AD66" s="2062"/>
      <c r="AE66" s="2104"/>
      <c r="AF66" s="2104"/>
      <c r="AG66" s="2104"/>
      <c r="AH66" s="2104"/>
      <c r="AI66" s="2104"/>
      <c r="AJ66" s="2104"/>
      <c r="AK66" s="2104"/>
      <c r="AL66" s="2104"/>
      <c r="AM66" s="2104"/>
      <c r="AN66" s="2104"/>
      <c r="AO66" s="2104"/>
      <c r="AP66" s="2104"/>
      <c r="AQ66" s="2104"/>
      <c r="AR66" s="2104"/>
      <c r="AS66" s="2104"/>
      <c r="AT66" s="2104"/>
      <c r="AU66" s="2104"/>
      <c r="AV66" s="2104"/>
      <c r="AW66" s="2072"/>
      <c r="AX66" s="2072"/>
      <c r="AY66" s="2072"/>
      <c r="AZ66" s="2072"/>
      <c r="BA66" s="2072"/>
      <c r="BB66" s="2072"/>
      <c r="BC66" s="2072"/>
      <c r="BD66" s="2072"/>
      <c r="BE66" s="2072"/>
      <c r="BF66" s="2072"/>
      <c r="BG66" s="2072"/>
      <c r="BH66" s="2107"/>
      <c r="BI66" s="2107"/>
      <c r="BJ66" s="2072"/>
      <c r="BK66" s="2072"/>
      <c r="BL66" s="2072"/>
      <c r="BM66" s="2072"/>
      <c r="BN66" s="2072"/>
      <c r="BO66" s="2072"/>
      <c r="BP66" s="2072"/>
      <c r="BQ66" s="2108"/>
    </row>
    <row r="67" spans="1:69" s="2042" customFormat="1" ht="45" x14ac:dyDescent="0.25">
      <c r="A67" s="2246"/>
      <c r="B67" s="2247"/>
      <c r="C67" s="2247"/>
      <c r="D67" s="2246"/>
      <c r="E67" s="2247"/>
      <c r="F67" s="2248"/>
      <c r="G67" s="3777"/>
      <c r="H67" s="3778"/>
      <c r="I67" s="3779"/>
      <c r="J67" s="3612">
        <v>111</v>
      </c>
      <c r="K67" s="3769" t="s">
        <v>2034</v>
      </c>
      <c r="L67" s="3787" t="s">
        <v>2035</v>
      </c>
      <c r="M67" s="3788"/>
      <c r="N67" s="3792" t="s">
        <v>2105</v>
      </c>
      <c r="O67" s="3656" t="s">
        <v>2036</v>
      </c>
      <c r="P67" s="3776" t="s">
        <v>2037</v>
      </c>
      <c r="Q67" s="3794">
        <f>SUM(V67:V72)/R67</f>
        <v>1</v>
      </c>
      <c r="R67" s="3733">
        <f>V67+V68+V69+V70+V71+V72</f>
        <v>3762000000</v>
      </c>
      <c r="S67" s="3795" t="s">
        <v>2038</v>
      </c>
      <c r="T67" s="3795" t="s">
        <v>2039</v>
      </c>
      <c r="U67" s="2301" t="s">
        <v>2040</v>
      </c>
      <c r="V67" s="2302">
        <v>28000000</v>
      </c>
      <c r="W67" s="2151"/>
      <c r="X67" s="2151"/>
      <c r="Y67" s="2252">
        <v>25</v>
      </c>
      <c r="Z67" s="2303" t="s">
        <v>1934</v>
      </c>
      <c r="AA67" s="3787">
        <v>20196</v>
      </c>
      <c r="AB67" s="3787">
        <v>20196</v>
      </c>
      <c r="AC67" s="3787">
        <v>20595</v>
      </c>
      <c r="AD67" s="3787">
        <v>20595</v>
      </c>
      <c r="AE67" s="3797">
        <v>29775</v>
      </c>
      <c r="AF67" s="3797">
        <v>29775</v>
      </c>
      <c r="AG67" s="3797">
        <v>9453</v>
      </c>
      <c r="AH67" s="3797">
        <v>9453</v>
      </c>
      <c r="AI67" s="3797">
        <v>1396</v>
      </c>
      <c r="AJ67" s="3797">
        <v>1396</v>
      </c>
      <c r="AK67" s="3797">
        <v>167</v>
      </c>
      <c r="AL67" s="3797">
        <v>167</v>
      </c>
      <c r="AM67" s="3797">
        <v>274</v>
      </c>
      <c r="AN67" s="3797">
        <v>274</v>
      </c>
      <c r="AO67" s="3797">
        <v>330</v>
      </c>
      <c r="AP67" s="3797">
        <v>330</v>
      </c>
      <c r="AQ67" s="3799">
        <v>0</v>
      </c>
      <c r="AR67" s="3618">
        <v>0</v>
      </c>
      <c r="AS67" s="3618">
        <v>0</v>
      </c>
      <c r="AT67" s="3618">
        <v>0</v>
      </c>
      <c r="AU67" s="3618">
        <v>0</v>
      </c>
      <c r="AV67" s="3618">
        <v>0</v>
      </c>
      <c r="AW67" s="3660">
        <v>0</v>
      </c>
      <c r="AX67" s="3660">
        <v>0</v>
      </c>
      <c r="AY67" s="3755">
        <v>3097</v>
      </c>
      <c r="AZ67" s="3660">
        <v>3097</v>
      </c>
      <c r="BA67" s="3660">
        <v>2611</v>
      </c>
      <c r="BB67" s="3755">
        <v>2611</v>
      </c>
      <c r="BC67" s="3660">
        <v>50</v>
      </c>
      <c r="BD67" s="3660">
        <v>50</v>
      </c>
      <c r="BE67" s="3673">
        <f>AA67+AC67</f>
        <v>40791</v>
      </c>
      <c r="BF67" s="3673">
        <v>40791</v>
      </c>
      <c r="BG67" s="3673">
        <v>1</v>
      </c>
      <c r="BH67" s="3668">
        <f>W68+W70</f>
        <v>469040586</v>
      </c>
      <c r="BI67" s="3668">
        <v>469040586</v>
      </c>
      <c r="BJ67" s="3670">
        <f>BI67/BH67</f>
        <v>1</v>
      </c>
      <c r="BK67" s="3673" t="s">
        <v>1934</v>
      </c>
      <c r="BL67" s="3664" t="s">
        <v>2102</v>
      </c>
      <c r="BM67" s="3680">
        <v>43831</v>
      </c>
      <c r="BN67" s="3805" t="s">
        <v>2106</v>
      </c>
      <c r="BO67" s="3805">
        <v>44196</v>
      </c>
      <c r="BP67" s="3805">
        <v>44196</v>
      </c>
      <c r="BQ67" s="3664" t="s">
        <v>2068</v>
      </c>
    </row>
    <row r="68" spans="1:69" s="2042" customFormat="1" ht="30" x14ac:dyDescent="0.25">
      <c r="A68" s="2246"/>
      <c r="B68" s="2247"/>
      <c r="C68" s="2247"/>
      <c r="D68" s="2246"/>
      <c r="E68" s="2247"/>
      <c r="F68" s="2248"/>
      <c r="G68" s="3780"/>
      <c r="H68" s="3781"/>
      <c r="I68" s="3782"/>
      <c r="J68" s="3612"/>
      <c r="K68" s="3786"/>
      <c r="L68" s="3787"/>
      <c r="M68" s="3788"/>
      <c r="N68" s="3792"/>
      <c r="O68" s="3656"/>
      <c r="P68" s="3571"/>
      <c r="Q68" s="3794"/>
      <c r="R68" s="3733"/>
      <c r="S68" s="3795"/>
      <c r="T68" s="3795"/>
      <c r="U68" s="2304" t="s">
        <v>2107</v>
      </c>
      <c r="V68" s="2305">
        <v>2169000000</v>
      </c>
      <c r="W68" s="2151">
        <v>361629927</v>
      </c>
      <c r="X68" s="2151">
        <v>361629927</v>
      </c>
      <c r="Y68" s="2252">
        <v>25</v>
      </c>
      <c r="Z68" s="2303" t="s">
        <v>1934</v>
      </c>
      <c r="AA68" s="3787"/>
      <c r="AB68" s="3787"/>
      <c r="AC68" s="3787"/>
      <c r="AD68" s="3787"/>
      <c r="AE68" s="3797"/>
      <c r="AF68" s="3797"/>
      <c r="AG68" s="3797"/>
      <c r="AH68" s="3797"/>
      <c r="AI68" s="3797"/>
      <c r="AJ68" s="3797"/>
      <c r="AK68" s="3797"/>
      <c r="AL68" s="3797"/>
      <c r="AM68" s="3797"/>
      <c r="AN68" s="3797"/>
      <c r="AO68" s="3797"/>
      <c r="AP68" s="3797"/>
      <c r="AQ68" s="3800"/>
      <c r="AR68" s="3655"/>
      <c r="AS68" s="3655"/>
      <c r="AT68" s="3655"/>
      <c r="AU68" s="3655"/>
      <c r="AV68" s="3655"/>
      <c r="AW68" s="3661"/>
      <c r="AX68" s="3661"/>
      <c r="AY68" s="3756"/>
      <c r="AZ68" s="3661"/>
      <c r="BA68" s="3661"/>
      <c r="BB68" s="3756"/>
      <c r="BC68" s="3661"/>
      <c r="BD68" s="3661"/>
      <c r="BE68" s="3672"/>
      <c r="BF68" s="3672"/>
      <c r="BG68" s="3672"/>
      <c r="BH68" s="3669"/>
      <c r="BI68" s="3669"/>
      <c r="BJ68" s="3671"/>
      <c r="BK68" s="3672"/>
      <c r="BL68" s="3665"/>
      <c r="BM68" s="3691"/>
      <c r="BN68" s="3641"/>
      <c r="BO68" s="3641"/>
      <c r="BP68" s="3641"/>
      <c r="BQ68" s="3665"/>
    </row>
    <row r="69" spans="1:69" s="2042" customFormat="1" ht="27.75" customHeight="1" x14ac:dyDescent="0.25">
      <c r="A69" s="2246"/>
      <c r="B69" s="2247"/>
      <c r="C69" s="2247"/>
      <c r="D69" s="2246"/>
      <c r="E69" s="2247"/>
      <c r="F69" s="2248"/>
      <c r="G69" s="3780"/>
      <c r="H69" s="3781"/>
      <c r="I69" s="3782"/>
      <c r="J69" s="3612"/>
      <c r="K69" s="3786"/>
      <c r="L69" s="3787"/>
      <c r="M69" s="3788"/>
      <c r="N69" s="3792"/>
      <c r="O69" s="3656"/>
      <c r="P69" s="3571"/>
      <c r="Q69" s="3794"/>
      <c r="R69" s="3733"/>
      <c r="S69" s="3795"/>
      <c r="T69" s="3795"/>
      <c r="U69" s="2304" t="s">
        <v>2108</v>
      </c>
      <c r="V69" s="2306">
        <v>349000000</v>
      </c>
      <c r="W69" s="2151"/>
      <c r="X69" s="2151"/>
      <c r="Y69" s="2252">
        <v>25</v>
      </c>
      <c r="Z69" s="2303" t="s">
        <v>1934</v>
      </c>
      <c r="AA69" s="3787"/>
      <c r="AB69" s="3787"/>
      <c r="AC69" s="3787"/>
      <c r="AD69" s="3787"/>
      <c r="AE69" s="3797"/>
      <c r="AF69" s="3797"/>
      <c r="AG69" s="3797"/>
      <c r="AH69" s="3797"/>
      <c r="AI69" s="3797"/>
      <c r="AJ69" s="3797"/>
      <c r="AK69" s="3797"/>
      <c r="AL69" s="3797"/>
      <c r="AM69" s="3797"/>
      <c r="AN69" s="3797"/>
      <c r="AO69" s="3797"/>
      <c r="AP69" s="3797"/>
      <c r="AQ69" s="3800"/>
      <c r="AR69" s="3655"/>
      <c r="AS69" s="3655"/>
      <c r="AT69" s="3655"/>
      <c r="AU69" s="3655"/>
      <c r="AV69" s="3655"/>
      <c r="AW69" s="3661"/>
      <c r="AX69" s="3661"/>
      <c r="AY69" s="3756"/>
      <c r="AZ69" s="3661"/>
      <c r="BA69" s="3661"/>
      <c r="BB69" s="3756"/>
      <c r="BC69" s="3661"/>
      <c r="BD69" s="3661"/>
      <c r="BE69" s="3672"/>
      <c r="BF69" s="3672"/>
      <c r="BG69" s="3672"/>
      <c r="BH69" s="3669"/>
      <c r="BI69" s="3669"/>
      <c r="BJ69" s="3671"/>
      <c r="BK69" s="3672"/>
      <c r="BL69" s="3665"/>
      <c r="BM69" s="3691"/>
      <c r="BN69" s="3641"/>
      <c r="BO69" s="3641"/>
      <c r="BP69" s="3641"/>
      <c r="BQ69" s="3665"/>
    </row>
    <row r="70" spans="1:69" s="2042" customFormat="1" ht="30" customHeight="1" x14ac:dyDescent="0.25">
      <c r="A70" s="2246"/>
      <c r="B70" s="2247"/>
      <c r="C70" s="2247"/>
      <c r="D70" s="2246"/>
      <c r="E70" s="2247"/>
      <c r="F70" s="2248"/>
      <c r="G70" s="3780"/>
      <c r="H70" s="3781"/>
      <c r="I70" s="3782"/>
      <c r="J70" s="3612"/>
      <c r="K70" s="3786"/>
      <c r="L70" s="3787"/>
      <c r="M70" s="3788"/>
      <c r="N70" s="3792"/>
      <c r="O70" s="3656"/>
      <c r="P70" s="3571"/>
      <c r="Q70" s="3794"/>
      <c r="R70" s="3733"/>
      <c r="S70" s="3795"/>
      <c r="T70" s="3795"/>
      <c r="U70" s="2304" t="s">
        <v>2109</v>
      </c>
      <c r="V70" s="2306">
        <v>847000000</v>
      </c>
      <c r="W70" s="2151">
        <v>107410659</v>
      </c>
      <c r="X70" s="2151">
        <v>107410659</v>
      </c>
      <c r="Y70" s="2252">
        <v>25</v>
      </c>
      <c r="Z70" s="2303" t="s">
        <v>1934</v>
      </c>
      <c r="AA70" s="3787"/>
      <c r="AB70" s="3787"/>
      <c r="AC70" s="3787"/>
      <c r="AD70" s="3787"/>
      <c r="AE70" s="3797"/>
      <c r="AF70" s="3797"/>
      <c r="AG70" s="3797"/>
      <c r="AH70" s="3797"/>
      <c r="AI70" s="3797"/>
      <c r="AJ70" s="3797"/>
      <c r="AK70" s="3797"/>
      <c r="AL70" s="3797"/>
      <c r="AM70" s="3797"/>
      <c r="AN70" s="3797"/>
      <c r="AO70" s="3797"/>
      <c r="AP70" s="3797"/>
      <c r="AQ70" s="3800"/>
      <c r="AR70" s="3655"/>
      <c r="AS70" s="3655"/>
      <c r="AT70" s="3655"/>
      <c r="AU70" s="3655"/>
      <c r="AV70" s="3655"/>
      <c r="AW70" s="3661"/>
      <c r="AX70" s="3661"/>
      <c r="AY70" s="3756"/>
      <c r="AZ70" s="3661"/>
      <c r="BA70" s="3661"/>
      <c r="BB70" s="3756"/>
      <c r="BC70" s="3661"/>
      <c r="BD70" s="3661"/>
      <c r="BE70" s="3672"/>
      <c r="BF70" s="3672"/>
      <c r="BG70" s="3672"/>
      <c r="BH70" s="3669"/>
      <c r="BI70" s="3669"/>
      <c r="BJ70" s="3671"/>
      <c r="BK70" s="3672"/>
      <c r="BL70" s="3665"/>
      <c r="BM70" s="3691"/>
      <c r="BN70" s="3641"/>
      <c r="BO70" s="3641"/>
      <c r="BP70" s="3641"/>
      <c r="BQ70" s="3665"/>
    </row>
    <row r="71" spans="1:69" s="2042" customFormat="1" ht="23.25" customHeight="1" x14ac:dyDescent="0.25">
      <c r="A71" s="2246"/>
      <c r="B71" s="2247"/>
      <c r="C71" s="2247"/>
      <c r="D71" s="2246"/>
      <c r="E71" s="2247"/>
      <c r="F71" s="2248"/>
      <c r="G71" s="3780"/>
      <c r="H71" s="3781"/>
      <c r="I71" s="3782"/>
      <c r="J71" s="3612"/>
      <c r="K71" s="3786"/>
      <c r="L71" s="3787"/>
      <c r="M71" s="3788"/>
      <c r="N71" s="3792"/>
      <c r="O71" s="3656"/>
      <c r="P71" s="3571"/>
      <c r="Q71" s="3794"/>
      <c r="R71" s="3733"/>
      <c r="S71" s="3795"/>
      <c r="T71" s="3795"/>
      <c r="U71" s="2301" t="s">
        <v>2110</v>
      </c>
      <c r="V71" s="2306">
        <v>165000000</v>
      </c>
      <c r="W71" s="2151"/>
      <c r="X71" s="2151"/>
      <c r="Y71" s="2252">
        <v>25</v>
      </c>
      <c r="Z71" s="2303" t="s">
        <v>1934</v>
      </c>
      <c r="AA71" s="3787"/>
      <c r="AB71" s="3787"/>
      <c r="AC71" s="3787"/>
      <c r="AD71" s="3787"/>
      <c r="AE71" s="3797"/>
      <c r="AF71" s="3797"/>
      <c r="AG71" s="3797"/>
      <c r="AH71" s="3797"/>
      <c r="AI71" s="3797"/>
      <c r="AJ71" s="3797"/>
      <c r="AK71" s="3797"/>
      <c r="AL71" s="3797"/>
      <c r="AM71" s="3797"/>
      <c r="AN71" s="3797"/>
      <c r="AO71" s="3797"/>
      <c r="AP71" s="3797"/>
      <c r="AQ71" s="3800"/>
      <c r="AR71" s="3655"/>
      <c r="AS71" s="3655"/>
      <c r="AT71" s="3655"/>
      <c r="AU71" s="3655"/>
      <c r="AV71" s="3655"/>
      <c r="AW71" s="3661"/>
      <c r="AX71" s="3661"/>
      <c r="AY71" s="3756"/>
      <c r="AZ71" s="3661"/>
      <c r="BA71" s="3661"/>
      <c r="BB71" s="3756"/>
      <c r="BC71" s="3661"/>
      <c r="BD71" s="3661"/>
      <c r="BE71" s="3672"/>
      <c r="BF71" s="3672"/>
      <c r="BG71" s="3672"/>
      <c r="BH71" s="3669"/>
      <c r="BI71" s="3669"/>
      <c r="BJ71" s="3671"/>
      <c r="BK71" s="3672"/>
      <c r="BL71" s="3665"/>
      <c r="BM71" s="3691"/>
      <c r="BN71" s="3641"/>
      <c r="BO71" s="3641"/>
      <c r="BP71" s="3641"/>
      <c r="BQ71" s="3665"/>
    </row>
    <row r="72" spans="1:69" s="2042" customFormat="1" ht="27" customHeight="1" x14ac:dyDescent="0.25">
      <c r="A72" s="2246"/>
      <c r="B72" s="2247"/>
      <c r="C72" s="2247"/>
      <c r="D72" s="2246"/>
      <c r="E72" s="2247"/>
      <c r="F72" s="2248"/>
      <c r="G72" s="3783"/>
      <c r="H72" s="3784"/>
      <c r="I72" s="3785"/>
      <c r="J72" s="3612"/>
      <c r="K72" s="3770"/>
      <c r="L72" s="3787"/>
      <c r="M72" s="3788"/>
      <c r="N72" s="3792"/>
      <c r="O72" s="3656"/>
      <c r="P72" s="3793"/>
      <c r="Q72" s="3794"/>
      <c r="R72" s="3733"/>
      <c r="S72" s="3795"/>
      <c r="T72" s="3795"/>
      <c r="U72" s="2307" t="s">
        <v>2111</v>
      </c>
      <c r="V72" s="2151">
        <v>204000000</v>
      </c>
      <c r="W72" s="2151"/>
      <c r="X72" s="2151"/>
      <c r="Y72" s="2252">
        <v>25</v>
      </c>
      <c r="Z72" s="2303" t="s">
        <v>1934</v>
      </c>
      <c r="AA72" s="3787"/>
      <c r="AB72" s="3787"/>
      <c r="AC72" s="3787"/>
      <c r="AD72" s="3787"/>
      <c r="AE72" s="3797"/>
      <c r="AF72" s="3797"/>
      <c r="AG72" s="3797"/>
      <c r="AH72" s="3797"/>
      <c r="AI72" s="3797"/>
      <c r="AJ72" s="3797"/>
      <c r="AK72" s="3797"/>
      <c r="AL72" s="3797"/>
      <c r="AM72" s="3797"/>
      <c r="AN72" s="3797"/>
      <c r="AO72" s="3797"/>
      <c r="AP72" s="3797"/>
      <c r="AQ72" s="3801"/>
      <c r="AR72" s="3619"/>
      <c r="AS72" s="3619"/>
      <c r="AT72" s="3619"/>
      <c r="AU72" s="3619"/>
      <c r="AV72" s="3619"/>
      <c r="AW72" s="3798"/>
      <c r="AX72" s="3798"/>
      <c r="AY72" s="3757"/>
      <c r="AZ72" s="3798"/>
      <c r="BA72" s="3798"/>
      <c r="BB72" s="3757"/>
      <c r="BC72" s="3798"/>
      <c r="BD72" s="3798"/>
      <c r="BE72" s="3745"/>
      <c r="BF72" s="3745"/>
      <c r="BG72" s="3745"/>
      <c r="BH72" s="3802"/>
      <c r="BI72" s="3802"/>
      <c r="BJ72" s="3807"/>
      <c r="BK72" s="3745"/>
      <c r="BL72" s="3732"/>
      <c r="BM72" s="3681"/>
      <c r="BN72" s="3806"/>
      <c r="BO72" s="3806"/>
      <c r="BP72" s="3806"/>
      <c r="BQ72" s="3732"/>
    </row>
    <row r="73" spans="1:69" s="2042" customFormat="1" ht="15.75" x14ac:dyDescent="0.25">
      <c r="A73" s="2246"/>
      <c r="B73" s="2247"/>
      <c r="C73" s="2247"/>
      <c r="D73" s="2246"/>
      <c r="E73" s="2247"/>
      <c r="F73" s="2248"/>
      <c r="G73" s="2141">
        <v>28</v>
      </c>
      <c r="H73" s="2061" t="s">
        <v>2041</v>
      </c>
      <c r="I73" s="2061"/>
      <c r="J73" s="2061"/>
      <c r="K73" s="2062"/>
      <c r="L73" s="2062"/>
      <c r="M73" s="2104"/>
      <c r="N73" s="2142"/>
      <c r="O73" s="2142"/>
      <c r="P73" s="2179"/>
      <c r="Q73" s="2308"/>
      <c r="R73" s="2106"/>
      <c r="S73" s="2062"/>
      <c r="T73" s="2062"/>
      <c r="U73" s="2062"/>
      <c r="V73" s="2062"/>
      <c r="W73" s="2062"/>
      <c r="X73" s="2062"/>
      <c r="Y73" s="2062"/>
      <c r="Z73" s="2062"/>
      <c r="AA73" s="2062"/>
      <c r="AB73" s="2062"/>
      <c r="AC73" s="2142"/>
      <c r="AD73" s="2142"/>
      <c r="AE73" s="2104"/>
      <c r="AF73" s="2104"/>
      <c r="AG73" s="2104"/>
      <c r="AH73" s="2104"/>
      <c r="AI73" s="2104"/>
      <c r="AJ73" s="2104"/>
      <c r="AK73" s="2104"/>
      <c r="AL73" s="2104"/>
      <c r="AM73" s="2104"/>
      <c r="AN73" s="2104"/>
      <c r="AO73" s="2104"/>
      <c r="AP73" s="2104"/>
      <c r="AQ73" s="2104"/>
      <c r="AR73" s="2104"/>
      <c r="AS73" s="2309"/>
      <c r="AT73" s="2309"/>
      <c r="AU73" s="2309"/>
      <c r="AV73" s="2309"/>
      <c r="AW73" s="2072"/>
      <c r="AX73" s="2072"/>
      <c r="AY73" s="2072"/>
      <c r="AZ73" s="2072"/>
      <c r="BA73" s="2072"/>
      <c r="BB73" s="2072"/>
      <c r="BC73" s="2072"/>
      <c r="BD73" s="2072"/>
      <c r="BE73" s="2072"/>
      <c r="BF73" s="2072"/>
      <c r="BG73" s="2072"/>
      <c r="BH73" s="2107"/>
      <c r="BI73" s="2107"/>
      <c r="BJ73" s="2072"/>
      <c r="BK73" s="2072"/>
      <c r="BL73" s="2072"/>
      <c r="BM73" s="2310"/>
      <c r="BN73" s="2311"/>
      <c r="BO73" s="2072"/>
      <c r="BP73" s="2072"/>
      <c r="BQ73" s="2108"/>
    </row>
    <row r="74" spans="1:69" s="2042" customFormat="1" ht="22.5" customHeight="1" x14ac:dyDescent="0.25">
      <c r="A74" s="2246"/>
      <c r="B74" s="2247"/>
      <c r="C74" s="2247"/>
      <c r="D74" s="2287"/>
      <c r="E74" s="2288"/>
      <c r="F74" s="2289"/>
      <c r="G74" s="2224"/>
      <c r="H74" s="2224"/>
      <c r="I74" s="2224"/>
      <c r="J74" s="3593">
        <v>112</v>
      </c>
      <c r="K74" s="3567" t="s">
        <v>2042</v>
      </c>
      <c r="L74" s="3567" t="s">
        <v>2043</v>
      </c>
      <c r="M74" s="3654"/>
      <c r="N74" s="3568" t="s">
        <v>2044</v>
      </c>
      <c r="O74" s="3568" t="s">
        <v>2045</v>
      </c>
      <c r="P74" s="3567" t="s">
        <v>2046</v>
      </c>
      <c r="Q74" s="3704">
        <f>+V74/R74</f>
        <v>0.125</v>
      </c>
      <c r="R74" s="3707">
        <f>+V74+V76</f>
        <v>40000000</v>
      </c>
      <c r="S74" s="3584" t="s">
        <v>2047</v>
      </c>
      <c r="T74" s="3567" t="s">
        <v>2048</v>
      </c>
      <c r="U74" s="3567" t="s">
        <v>2049</v>
      </c>
      <c r="V74" s="3803">
        <v>5000000</v>
      </c>
      <c r="W74" s="3803"/>
      <c r="X74" s="3803"/>
      <c r="Y74" s="3772">
        <v>20</v>
      </c>
      <c r="Z74" s="3773" t="s">
        <v>70</v>
      </c>
      <c r="AA74" s="3654">
        <v>20196</v>
      </c>
      <c r="AB74" s="3653">
        <v>20196</v>
      </c>
      <c r="AC74" s="3653">
        <v>20595</v>
      </c>
      <c r="AD74" s="3653">
        <v>20595</v>
      </c>
      <c r="AE74" s="3653">
        <v>29775</v>
      </c>
      <c r="AF74" s="3653">
        <v>29775</v>
      </c>
      <c r="AG74" s="3653">
        <v>9453</v>
      </c>
      <c r="AH74" s="3653">
        <v>9453</v>
      </c>
      <c r="AI74" s="3653">
        <v>1396</v>
      </c>
      <c r="AJ74" s="3653">
        <v>1396</v>
      </c>
      <c r="AK74" s="3653">
        <v>167</v>
      </c>
      <c r="AL74" s="3653">
        <v>167</v>
      </c>
      <c r="AM74" s="3653">
        <v>274</v>
      </c>
      <c r="AN74" s="3653">
        <v>274</v>
      </c>
      <c r="AO74" s="3653">
        <v>330</v>
      </c>
      <c r="AP74" s="3653">
        <v>330</v>
      </c>
      <c r="AQ74" s="3653">
        <v>0</v>
      </c>
      <c r="AR74" s="3653">
        <v>0</v>
      </c>
      <c r="AS74" s="3653">
        <v>0</v>
      </c>
      <c r="AT74" s="3653">
        <v>0</v>
      </c>
      <c r="AU74" s="3653">
        <v>0</v>
      </c>
      <c r="AV74" s="3653">
        <v>0</v>
      </c>
      <c r="AW74" s="3653">
        <v>0</v>
      </c>
      <c r="AX74" s="3653">
        <v>0</v>
      </c>
      <c r="AY74" s="3653">
        <v>3097</v>
      </c>
      <c r="AZ74" s="3653">
        <v>3097</v>
      </c>
      <c r="BA74" s="3653">
        <v>2611</v>
      </c>
      <c r="BB74" s="3653">
        <v>2611</v>
      </c>
      <c r="BC74" s="3653">
        <v>50</v>
      </c>
      <c r="BD74" s="3653">
        <v>50</v>
      </c>
      <c r="BE74" s="3653">
        <f>AA74+AC74</f>
        <v>40791</v>
      </c>
      <c r="BF74" s="3653">
        <v>40791</v>
      </c>
      <c r="BG74" s="3653"/>
      <c r="BH74" s="3706">
        <f>SUM(W74:W76)</f>
        <v>0</v>
      </c>
      <c r="BI74" s="3706">
        <f>X74-X76</f>
        <v>0</v>
      </c>
      <c r="BJ74" s="3817">
        <v>0</v>
      </c>
      <c r="BK74" s="3653" t="s">
        <v>70</v>
      </c>
      <c r="BL74" s="3653"/>
      <c r="BM74" s="3662"/>
      <c r="BN74" s="3662"/>
      <c r="BO74" s="3680"/>
      <c r="BP74" s="3680"/>
      <c r="BQ74" s="3665" t="s">
        <v>2068</v>
      </c>
    </row>
    <row r="75" spans="1:69" s="2042" customFormat="1" ht="45.75" customHeight="1" x14ac:dyDescent="0.25">
      <c r="A75" s="2246"/>
      <c r="B75" s="2247"/>
      <c r="C75" s="2247"/>
      <c r="D75" s="2287"/>
      <c r="E75" s="2288"/>
      <c r="F75" s="2289"/>
      <c r="G75" s="2224"/>
      <c r="H75" s="2224"/>
      <c r="I75" s="2224"/>
      <c r="J75" s="3606"/>
      <c r="K75" s="3617"/>
      <c r="L75" s="3617"/>
      <c r="M75" s="3696"/>
      <c r="N75" s="3568"/>
      <c r="O75" s="3568"/>
      <c r="P75" s="3567"/>
      <c r="Q75" s="3705"/>
      <c r="R75" s="3707"/>
      <c r="S75" s="3567"/>
      <c r="T75" s="3617"/>
      <c r="U75" s="3617"/>
      <c r="V75" s="3804"/>
      <c r="W75" s="3804"/>
      <c r="X75" s="3804"/>
      <c r="Y75" s="3772"/>
      <c r="Z75" s="3773"/>
      <c r="AA75" s="3654"/>
      <c r="AB75" s="3654"/>
      <c r="AC75" s="3654"/>
      <c r="AD75" s="3654"/>
      <c r="AE75" s="3654"/>
      <c r="AF75" s="3654"/>
      <c r="AG75" s="3654"/>
      <c r="AH75" s="3654"/>
      <c r="AI75" s="3654"/>
      <c r="AJ75" s="3654"/>
      <c r="AK75" s="3654"/>
      <c r="AL75" s="3654"/>
      <c r="AM75" s="3654"/>
      <c r="AN75" s="3654"/>
      <c r="AO75" s="3654"/>
      <c r="AP75" s="3654"/>
      <c r="AQ75" s="3654"/>
      <c r="AR75" s="3654"/>
      <c r="AS75" s="3654"/>
      <c r="AT75" s="3654"/>
      <c r="AU75" s="3654"/>
      <c r="AV75" s="3654"/>
      <c r="AW75" s="3654"/>
      <c r="AX75" s="3654"/>
      <c r="AY75" s="3654"/>
      <c r="AZ75" s="3654"/>
      <c r="BA75" s="3654"/>
      <c r="BB75" s="3654"/>
      <c r="BC75" s="3654"/>
      <c r="BD75" s="3654"/>
      <c r="BE75" s="3654"/>
      <c r="BF75" s="3654"/>
      <c r="BG75" s="3696"/>
      <c r="BH75" s="3708"/>
      <c r="BI75" s="3707"/>
      <c r="BJ75" s="3817"/>
      <c r="BK75" s="3654"/>
      <c r="BL75" s="3654"/>
      <c r="BM75" s="3663"/>
      <c r="BN75" s="3663"/>
      <c r="BO75" s="3691"/>
      <c r="BP75" s="3691"/>
      <c r="BQ75" s="3665"/>
    </row>
    <row r="76" spans="1:69" s="2042" customFormat="1" ht="63" customHeight="1" x14ac:dyDescent="0.25">
      <c r="A76" s="2246"/>
      <c r="B76" s="2247"/>
      <c r="C76" s="2247"/>
      <c r="D76" s="2287"/>
      <c r="E76" s="2288"/>
      <c r="F76" s="2289"/>
      <c r="G76" s="2224"/>
      <c r="H76" s="2224"/>
      <c r="I76" s="2224"/>
      <c r="J76" s="2114">
        <v>113</v>
      </c>
      <c r="K76" s="2312" t="s">
        <v>2050</v>
      </c>
      <c r="L76" s="2312" t="s">
        <v>2051</v>
      </c>
      <c r="M76" s="2227"/>
      <c r="N76" s="3568"/>
      <c r="O76" s="3568"/>
      <c r="P76" s="3567"/>
      <c r="Q76" s="2253">
        <f>+V76/R74</f>
        <v>0.875</v>
      </c>
      <c r="R76" s="3707"/>
      <c r="S76" s="3567"/>
      <c r="T76" s="2312" t="s">
        <v>2052</v>
      </c>
      <c r="U76" s="2312" t="s">
        <v>2053</v>
      </c>
      <c r="V76" s="2313">
        <v>35000000</v>
      </c>
      <c r="W76" s="2313"/>
      <c r="X76" s="2313"/>
      <c r="Y76" s="2158">
        <v>20</v>
      </c>
      <c r="Z76" s="2314" t="s">
        <v>70</v>
      </c>
      <c r="AA76" s="3654"/>
      <c r="AB76" s="3696"/>
      <c r="AC76" s="3696"/>
      <c r="AD76" s="3696"/>
      <c r="AE76" s="3696"/>
      <c r="AF76" s="3696"/>
      <c r="AG76" s="3696"/>
      <c r="AH76" s="3696"/>
      <c r="AI76" s="3696"/>
      <c r="AJ76" s="3696"/>
      <c r="AK76" s="3696"/>
      <c r="AL76" s="3696"/>
      <c r="AM76" s="3696"/>
      <c r="AN76" s="3696"/>
      <c r="AO76" s="3696"/>
      <c r="AP76" s="3696"/>
      <c r="AQ76" s="3696"/>
      <c r="AR76" s="3696"/>
      <c r="AS76" s="3696"/>
      <c r="AT76" s="3696"/>
      <c r="AU76" s="3696"/>
      <c r="AV76" s="3696"/>
      <c r="AW76" s="3696"/>
      <c r="AX76" s="3696"/>
      <c r="AY76" s="3696"/>
      <c r="AZ76" s="3696"/>
      <c r="BA76" s="3696"/>
      <c r="BB76" s="3696"/>
      <c r="BC76" s="3696"/>
      <c r="BD76" s="3696"/>
      <c r="BE76" s="3696"/>
      <c r="BF76" s="3696"/>
      <c r="BG76" s="2315"/>
      <c r="BH76" s="2194">
        <f>+W76</f>
        <v>0</v>
      </c>
      <c r="BI76" s="2194">
        <f>+X76</f>
        <v>0</v>
      </c>
      <c r="BJ76" s="2316">
        <v>0</v>
      </c>
      <c r="BK76" s="3696"/>
      <c r="BL76" s="3696"/>
      <c r="BM76" s="3796"/>
      <c r="BN76" s="3796"/>
      <c r="BO76" s="3681"/>
      <c r="BP76" s="3681"/>
      <c r="BQ76" s="3665"/>
    </row>
    <row r="77" spans="1:69" s="2042" customFormat="1" ht="15.75" x14ac:dyDescent="0.25">
      <c r="A77" s="2246"/>
      <c r="B77" s="2247"/>
      <c r="C77" s="2248"/>
      <c r="D77" s="2128">
        <v>16</v>
      </c>
      <c r="E77" s="2129" t="s">
        <v>467</v>
      </c>
      <c r="F77" s="2129"/>
      <c r="G77" s="2047"/>
      <c r="H77" s="2047"/>
      <c r="I77" s="2047"/>
      <c r="J77" s="2047"/>
      <c r="K77" s="2048"/>
      <c r="L77" s="2048"/>
      <c r="M77" s="2131"/>
      <c r="N77" s="2049"/>
      <c r="O77" s="2049"/>
      <c r="P77" s="2317"/>
      <c r="Q77" s="2132"/>
      <c r="R77" s="2133"/>
      <c r="S77" s="2048"/>
      <c r="T77" s="2048"/>
      <c r="U77" s="2048"/>
      <c r="V77" s="2048"/>
      <c r="W77" s="2048"/>
      <c r="X77" s="2048"/>
      <c r="Y77" s="2048"/>
      <c r="Z77" s="2048"/>
      <c r="AA77" s="2048"/>
      <c r="AB77" s="2048"/>
      <c r="AC77" s="2048"/>
      <c r="AD77" s="2048"/>
      <c r="AE77" s="2048"/>
      <c r="AF77" s="2131"/>
      <c r="AG77" s="2131"/>
      <c r="AH77" s="2131"/>
      <c r="AI77" s="2131"/>
      <c r="AJ77" s="2131"/>
      <c r="AK77" s="2131"/>
      <c r="AL77" s="2131"/>
      <c r="AM77" s="2131"/>
      <c r="AN77" s="2131"/>
      <c r="AO77" s="2131"/>
      <c r="AP77" s="2131"/>
      <c r="AQ77" s="2131"/>
      <c r="AR77" s="2131"/>
      <c r="AS77" s="2134"/>
      <c r="AT77" s="2134"/>
      <c r="AU77" s="2134"/>
      <c r="AV77" s="2134"/>
      <c r="AW77" s="2053"/>
      <c r="AX77" s="2053"/>
      <c r="AY77" s="2053"/>
      <c r="AZ77" s="2053"/>
      <c r="BA77" s="2053"/>
      <c r="BB77" s="2053"/>
      <c r="BC77" s="2053"/>
      <c r="BD77" s="2053"/>
      <c r="BE77" s="2053"/>
      <c r="BF77" s="2053"/>
      <c r="BG77" s="2053"/>
      <c r="BH77" s="2135"/>
      <c r="BI77" s="2135"/>
      <c r="BJ77" s="2053"/>
      <c r="BK77" s="2053"/>
      <c r="BL77" s="2053"/>
      <c r="BM77" s="2053"/>
      <c r="BN77" s="2053"/>
      <c r="BO77" s="2053"/>
      <c r="BP77" s="2053"/>
      <c r="BQ77" s="2136"/>
    </row>
    <row r="78" spans="1:69" s="2042" customFormat="1" ht="15.75" x14ac:dyDescent="0.25">
      <c r="A78" s="2246"/>
      <c r="B78" s="2247"/>
      <c r="C78" s="2248"/>
      <c r="D78" s="2318"/>
      <c r="E78" s="2318"/>
      <c r="F78" s="2319"/>
      <c r="G78" s="2141">
        <v>57</v>
      </c>
      <c r="H78" s="2104" t="s">
        <v>2054</v>
      </c>
      <c r="I78" s="2104"/>
      <c r="J78" s="2104"/>
      <c r="K78" s="2179"/>
      <c r="L78" s="2179"/>
      <c r="M78" s="2320"/>
      <c r="N78" s="2321"/>
      <c r="O78" s="2142"/>
      <c r="P78" s="2179"/>
      <c r="Q78" s="2308"/>
      <c r="R78" s="2106"/>
      <c r="S78" s="2062"/>
      <c r="T78" s="2062"/>
      <c r="U78" s="2062"/>
      <c r="V78" s="2062"/>
      <c r="W78" s="2062"/>
      <c r="X78" s="2062"/>
      <c r="Y78" s="2062"/>
      <c r="Z78" s="2062"/>
      <c r="AA78" s="2062"/>
      <c r="AB78" s="2062"/>
      <c r="AC78" s="2142"/>
      <c r="AD78" s="2142"/>
      <c r="AE78" s="2104"/>
      <c r="AF78" s="2104"/>
      <c r="AG78" s="2104"/>
      <c r="AH78" s="2104"/>
      <c r="AI78" s="2104"/>
      <c r="AJ78" s="2104"/>
      <c r="AK78" s="2104"/>
      <c r="AL78" s="2104"/>
      <c r="AM78" s="2104"/>
      <c r="AN78" s="2104"/>
      <c r="AO78" s="2104"/>
      <c r="AP78" s="2104"/>
      <c r="AQ78" s="2104"/>
      <c r="AR78" s="2104"/>
      <c r="AS78" s="2309"/>
      <c r="AT78" s="2309"/>
      <c r="AU78" s="2309"/>
      <c r="AV78" s="2309"/>
      <c r="AW78" s="2072"/>
      <c r="AX78" s="2072"/>
      <c r="AY78" s="2072"/>
      <c r="AZ78" s="2072"/>
      <c r="BA78" s="2072"/>
      <c r="BB78" s="2072"/>
      <c r="BC78" s="2072"/>
      <c r="BD78" s="2072"/>
      <c r="BE78" s="2072"/>
      <c r="BF78" s="2072"/>
      <c r="BG78" s="2072"/>
      <c r="BH78" s="2107"/>
      <c r="BI78" s="2107"/>
      <c r="BJ78" s="2072"/>
      <c r="BK78" s="2072"/>
      <c r="BL78" s="2072"/>
      <c r="BM78" s="2072"/>
      <c r="BN78" s="2072"/>
      <c r="BO78" s="2072"/>
      <c r="BP78" s="2072"/>
      <c r="BQ78" s="2108"/>
    </row>
    <row r="79" spans="1:69" s="2042" customFormat="1" ht="60" x14ac:dyDescent="0.25">
      <c r="A79" s="2322"/>
      <c r="B79" s="2322"/>
      <c r="C79" s="2323"/>
      <c r="D79" s="2324"/>
      <c r="E79" s="2324"/>
      <c r="F79" s="2325"/>
      <c r="G79" s="3809"/>
      <c r="H79" s="3809"/>
      <c r="I79" s="3810"/>
      <c r="J79" s="2326">
        <v>182</v>
      </c>
      <c r="K79" s="2327" t="s">
        <v>2055</v>
      </c>
      <c r="L79" s="2237" t="s">
        <v>1713</v>
      </c>
      <c r="M79" s="2237"/>
      <c r="N79" s="2327" t="s">
        <v>2056</v>
      </c>
      <c r="O79" s="2327" t="s">
        <v>2057</v>
      </c>
      <c r="P79" s="2328" t="s">
        <v>2058</v>
      </c>
      <c r="Q79" s="2329">
        <f>+V79/R79</f>
        <v>1</v>
      </c>
      <c r="R79" s="2330">
        <f>+V79</f>
        <v>20000000</v>
      </c>
      <c r="S79" s="2331" t="s">
        <v>2059</v>
      </c>
      <c r="T79" s="2328" t="s">
        <v>2055</v>
      </c>
      <c r="U79" s="2332" t="s">
        <v>2060</v>
      </c>
      <c r="V79" s="2333">
        <v>20000000</v>
      </c>
      <c r="W79" s="2333">
        <v>15680000</v>
      </c>
      <c r="X79" s="2333"/>
      <c r="Y79" s="2235">
        <v>20</v>
      </c>
      <c r="Z79" s="2267" t="s">
        <v>70</v>
      </c>
      <c r="AA79" s="2237">
        <v>20196</v>
      </c>
      <c r="AB79" s="2237">
        <v>20196</v>
      </c>
      <c r="AC79" s="2237">
        <v>20596</v>
      </c>
      <c r="AD79" s="2237">
        <v>20595</v>
      </c>
      <c r="AE79" s="2237">
        <v>29775</v>
      </c>
      <c r="AF79" s="2237">
        <v>29775</v>
      </c>
      <c r="AG79" s="2237">
        <v>9453</v>
      </c>
      <c r="AH79" s="2237">
        <v>9453</v>
      </c>
      <c r="AI79" s="2237">
        <v>1396</v>
      </c>
      <c r="AJ79" s="2237">
        <v>1396</v>
      </c>
      <c r="AK79" s="2237">
        <v>167</v>
      </c>
      <c r="AL79" s="2237">
        <v>167</v>
      </c>
      <c r="AM79" s="2237">
        <v>274</v>
      </c>
      <c r="AN79" s="2237">
        <v>274</v>
      </c>
      <c r="AO79" s="2237">
        <v>330</v>
      </c>
      <c r="AP79" s="2237">
        <v>330</v>
      </c>
      <c r="AQ79" s="2237">
        <v>0</v>
      </c>
      <c r="AR79" s="2237">
        <v>0</v>
      </c>
      <c r="AS79" s="2237">
        <v>0</v>
      </c>
      <c r="AT79" s="2237">
        <v>0</v>
      </c>
      <c r="AU79" s="2237">
        <v>0</v>
      </c>
      <c r="AV79" s="2237">
        <v>0</v>
      </c>
      <c r="AW79" s="2237">
        <v>0</v>
      </c>
      <c r="AX79" s="2237">
        <v>0</v>
      </c>
      <c r="AY79" s="2237">
        <v>3097</v>
      </c>
      <c r="AZ79" s="2237">
        <v>3097</v>
      </c>
      <c r="BA79" s="2237">
        <v>2611</v>
      </c>
      <c r="BB79" s="2237">
        <v>2611</v>
      </c>
      <c r="BC79" s="2237">
        <v>50</v>
      </c>
      <c r="BD79" s="2237">
        <v>50</v>
      </c>
      <c r="BE79" s="2237">
        <v>40791</v>
      </c>
      <c r="BF79" s="2237">
        <v>40791</v>
      </c>
      <c r="BG79" s="2243">
        <v>2</v>
      </c>
      <c r="BH79" s="2244">
        <f>W79</f>
        <v>15680000</v>
      </c>
      <c r="BI79" s="2244">
        <f>X79</f>
        <v>0</v>
      </c>
      <c r="BJ79" s="2334">
        <f>BI79/BH79</f>
        <v>0</v>
      </c>
      <c r="BK79" s="2243" t="s">
        <v>70</v>
      </c>
      <c r="BL79" s="2335" t="s">
        <v>2112</v>
      </c>
      <c r="BM79" s="2336">
        <v>43862</v>
      </c>
      <c r="BN79" s="2336">
        <v>43862</v>
      </c>
      <c r="BO79" s="2336">
        <v>43982</v>
      </c>
      <c r="BP79" s="2336">
        <v>43982</v>
      </c>
      <c r="BQ79" s="2337" t="s">
        <v>2113</v>
      </c>
    </row>
    <row r="80" spans="1:69" s="2349" customFormat="1" ht="15.75" x14ac:dyDescent="0.25">
      <c r="A80" s="3811"/>
      <c r="B80" s="3812"/>
      <c r="C80" s="3812"/>
      <c r="D80" s="3812"/>
      <c r="E80" s="3812"/>
      <c r="F80" s="3812"/>
      <c r="G80" s="3812"/>
      <c r="H80" s="3812"/>
      <c r="I80" s="3813"/>
      <c r="J80" s="2027"/>
      <c r="K80" s="2338">
        <v>25</v>
      </c>
      <c r="L80" s="2339"/>
      <c r="M80" s="2338"/>
      <c r="N80" s="2338"/>
      <c r="O80" s="2340"/>
      <c r="P80" s="2339"/>
      <c r="Q80" s="2341"/>
      <c r="R80" s="2342">
        <f>+R11+R20+R23+R29+R42+R50+R52+R56+R61+R65+R67+R74+R79</f>
        <v>175673184380</v>
      </c>
      <c r="S80" s="2339"/>
      <c r="T80" s="2339"/>
      <c r="U80" s="2339"/>
      <c r="V80" s="2342">
        <f>SUM(V11:V79)</f>
        <v>175673184380</v>
      </c>
      <c r="W80" s="2343">
        <f>SUM(W11:W79)</f>
        <v>48530315001</v>
      </c>
      <c r="X80" s="2342">
        <f>SUM(X11:X79)</f>
        <v>34518474650</v>
      </c>
      <c r="Y80" s="2344"/>
      <c r="Z80" s="2345"/>
      <c r="AA80" s="3814"/>
      <c r="AB80" s="3815"/>
      <c r="AC80" s="3815"/>
      <c r="AD80" s="3815"/>
      <c r="AE80" s="3815"/>
      <c r="AF80" s="3815"/>
      <c r="AG80" s="3815"/>
      <c r="AH80" s="3815"/>
      <c r="AI80" s="3815"/>
      <c r="AJ80" s="3815"/>
      <c r="AK80" s="3815"/>
      <c r="AL80" s="3815"/>
      <c r="AM80" s="3815"/>
      <c r="AN80" s="3815"/>
      <c r="AO80" s="3815"/>
      <c r="AP80" s="3815"/>
      <c r="AQ80" s="3815"/>
      <c r="AR80" s="3815"/>
      <c r="AS80" s="3815"/>
      <c r="AT80" s="3815"/>
      <c r="AU80" s="3815"/>
      <c r="AV80" s="3815"/>
      <c r="AW80" s="3815"/>
      <c r="AX80" s="3815"/>
      <c r="AY80" s="3815"/>
      <c r="AZ80" s="3815"/>
      <c r="BA80" s="3815"/>
      <c r="BB80" s="3815"/>
      <c r="BC80" s="3815"/>
      <c r="BD80" s="3815"/>
      <c r="BE80" s="3815"/>
      <c r="BF80" s="3816"/>
      <c r="BG80" s="2346"/>
      <c r="BH80" s="2343">
        <f>SUM(BH11:BH79)</f>
        <v>48526115001</v>
      </c>
      <c r="BI80" s="2343">
        <f>SUM(BI11:BI79)</f>
        <v>34213504813</v>
      </c>
      <c r="BJ80" s="2347"/>
      <c r="BK80" s="2347"/>
      <c r="BL80" s="2347"/>
      <c r="BM80" s="2347"/>
      <c r="BN80" s="2347"/>
      <c r="BO80" s="2347"/>
      <c r="BP80" s="2347"/>
      <c r="BQ80" s="2348"/>
    </row>
    <row r="81" spans="1:69" s="2042" customFormat="1" ht="15.75" x14ac:dyDescent="0.25">
      <c r="A81" s="2350"/>
      <c r="B81" s="2025"/>
      <c r="C81" s="2025"/>
      <c r="D81" s="2025"/>
      <c r="E81" s="2025"/>
      <c r="F81" s="2025"/>
      <c r="G81" s="2025"/>
      <c r="H81" s="2025"/>
      <c r="I81" s="2025"/>
      <c r="J81" s="2025"/>
      <c r="K81" s="2351"/>
      <c r="L81" s="2352"/>
      <c r="M81" s="2025"/>
      <c r="N81" s="2353"/>
      <c r="O81" s="2353"/>
      <c r="P81" s="2351"/>
      <c r="Q81" s="2354"/>
      <c r="R81" s="2355"/>
      <c r="S81" s="2351"/>
      <c r="T81" s="2351"/>
      <c r="U81" s="2351"/>
      <c r="V81" s="2356"/>
      <c r="W81" s="2356"/>
      <c r="X81" s="2356"/>
      <c r="Y81" s="2357"/>
      <c r="Z81" s="2358"/>
      <c r="AA81" s="2025"/>
      <c r="AB81" s="2025"/>
      <c r="AC81" s="2025"/>
      <c r="AD81" s="2025"/>
      <c r="AE81" s="2025"/>
      <c r="AF81" s="2025"/>
      <c r="AG81" s="2025"/>
      <c r="AH81" s="2025"/>
      <c r="AI81" s="2025"/>
      <c r="AJ81" s="2025"/>
      <c r="AK81" s="2025"/>
      <c r="AL81" s="2025"/>
      <c r="AM81" s="2025"/>
      <c r="AN81" s="2025"/>
      <c r="AO81" s="2025"/>
      <c r="AP81" s="2025"/>
      <c r="AQ81" s="2025"/>
      <c r="AR81" s="2025"/>
      <c r="BH81" s="2359"/>
      <c r="BQ81" s="2360"/>
    </row>
    <row r="82" spans="1:69" s="2042" customFormat="1" ht="15.75" x14ac:dyDescent="0.25">
      <c r="A82" s="2350"/>
      <c r="B82" s="2025"/>
      <c r="C82" s="2025"/>
      <c r="D82" s="2025"/>
      <c r="E82" s="2025"/>
      <c r="F82" s="2025"/>
      <c r="G82" s="2025"/>
      <c r="H82" s="2025"/>
      <c r="I82" s="2025"/>
      <c r="J82" s="2025"/>
      <c r="K82" s="2351"/>
      <c r="L82" s="2352"/>
      <c r="M82" s="2025"/>
      <c r="N82" s="2353"/>
      <c r="O82" s="2353"/>
      <c r="P82" s="2351"/>
      <c r="Q82" s="2354"/>
      <c r="R82" s="2361"/>
      <c r="S82" s="2351"/>
      <c r="T82" s="2351"/>
      <c r="U82" s="2351"/>
      <c r="V82" s="2362"/>
      <c r="W82" s="2363"/>
      <c r="X82" s="2363"/>
      <c r="Y82" s="2357"/>
      <c r="Z82" s="2358"/>
      <c r="AA82" s="2025"/>
      <c r="AB82" s="2025"/>
      <c r="AC82" s="2025"/>
      <c r="AD82" s="2025"/>
      <c r="AE82" s="2025"/>
      <c r="AF82" s="2025"/>
      <c r="AG82" s="2025"/>
      <c r="AH82" s="2025"/>
      <c r="AI82" s="2025"/>
      <c r="AJ82" s="2025"/>
      <c r="AK82" s="2025"/>
      <c r="AL82" s="2025"/>
      <c r="AM82" s="2025"/>
      <c r="AN82" s="2025"/>
      <c r="AO82" s="2025"/>
      <c r="AP82" s="2025"/>
      <c r="AQ82" s="2025"/>
      <c r="AR82" s="2025"/>
      <c r="BH82" s="2359"/>
      <c r="BI82" s="2359"/>
      <c r="BQ82" s="2360"/>
    </row>
    <row r="83" spans="1:69" s="2042" customFormat="1" ht="15.75" x14ac:dyDescent="0.25">
      <c r="A83" s="2350"/>
      <c r="B83" s="2025"/>
      <c r="C83" s="2025"/>
      <c r="D83" s="2025"/>
      <c r="E83" s="2025"/>
      <c r="F83" s="2025"/>
      <c r="G83" s="2025"/>
      <c r="H83" s="2025"/>
      <c r="I83" s="2025"/>
      <c r="J83" s="2025"/>
      <c r="K83" s="2351"/>
      <c r="L83" s="2352"/>
      <c r="M83" s="2025"/>
      <c r="N83" s="2353"/>
      <c r="O83" s="2353"/>
      <c r="P83" s="2351"/>
      <c r="Q83" s="2354"/>
      <c r="R83" s="2364"/>
      <c r="S83" s="2351"/>
      <c r="T83" s="2351"/>
      <c r="U83" s="2351"/>
      <c r="V83" s="2365"/>
      <c r="W83" s="2365"/>
      <c r="X83" s="2365"/>
      <c r="Y83" s="2357"/>
      <c r="Z83" s="2358"/>
      <c r="AA83" s="2025"/>
      <c r="AB83" s="2025"/>
      <c r="AC83" s="2025"/>
      <c r="AD83" s="2025"/>
      <c r="AE83" s="2025"/>
      <c r="AF83" s="2025"/>
      <c r="AG83" s="2025"/>
      <c r="AH83" s="2025"/>
      <c r="AI83" s="2025"/>
      <c r="AJ83" s="2025"/>
      <c r="AK83" s="2025"/>
      <c r="AL83" s="2025"/>
      <c r="AM83" s="2025"/>
      <c r="AN83" s="2025"/>
      <c r="AO83" s="2025"/>
      <c r="AP83" s="2025"/>
      <c r="AQ83" s="2025"/>
      <c r="AR83" s="2025"/>
      <c r="BQ83" s="2360"/>
    </row>
    <row r="84" spans="1:69" s="2042" customFormat="1" ht="15.75" x14ac:dyDescent="0.25">
      <c r="A84" s="2350"/>
      <c r="B84" s="2025"/>
      <c r="C84" s="2025"/>
      <c r="D84" s="2025"/>
      <c r="E84" s="2025"/>
      <c r="F84" s="2025"/>
      <c r="G84" s="2025"/>
      <c r="H84" s="2025"/>
      <c r="I84" s="2025"/>
      <c r="J84" s="2025"/>
      <c r="K84" s="2351"/>
      <c r="L84" s="2352"/>
      <c r="M84" s="2025"/>
      <c r="N84" s="2353"/>
      <c r="O84" s="2353"/>
      <c r="P84" s="2351"/>
      <c r="Q84" s="2354"/>
      <c r="R84" s="2364"/>
      <c r="S84" s="2351"/>
      <c r="T84" s="2351"/>
      <c r="U84" s="2351"/>
      <c r="V84" s="2366"/>
      <c r="W84" s="2366"/>
      <c r="X84" s="2366"/>
      <c r="Y84" s="2357"/>
      <c r="Z84" s="2358"/>
      <c r="AA84" s="2025"/>
      <c r="AB84" s="2025"/>
      <c r="AC84" s="2025"/>
      <c r="AD84" s="2025"/>
      <c r="AE84" s="2025"/>
      <c r="AF84" s="2025"/>
      <c r="AG84" s="2025"/>
      <c r="AH84" s="2025"/>
      <c r="AI84" s="2025"/>
      <c r="AJ84" s="2025"/>
      <c r="AK84" s="2025"/>
      <c r="AL84" s="2025"/>
      <c r="AM84" s="2025"/>
      <c r="AN84" s="2025"/>
      <c r="AO84" s="2025"/>
      <c r="AP84" s="2025"/>
      <c r="AQ84" s="2025"/>
      <c r="AR84" s="2025"/>
      <c r="BQ84" s="2360"/>
    </row>
    <row r="85" spans="1:69" s="2042" customFormat="1" ht="15.75" x14ac:dyDescent="0.25">
      <c r="A85" s="2350"/>
      <c r="B85" s="2025"/>
      <c r="C85" s="2025"/>
      <c r="D85" s="2025"/>
      <c r="E85" s="2025"/>
      <c r="F85" s="2025"/>
      <c r="G85" s="2025"/>
      <c r="H85" s="2025"/>
      <c r="I85" s="2025"/>
      <c r="J85" s="2025"/>
      <c r="K85" s="2351"/>
      <c r="L85" s="2352"/>
      <c r="M85" s="2025"/>
      <c r="N85" s="2353"/>
      <c r="O85" s="2353"/>
      <c r="P85" s="2351"/>
      <c r="Q85" s="2354"/>
      <c r="R85" s="2364"/>
      <c r="S85" s="2351"/>
      <c r="T85" s="2351"/>
      <c r="U85" s="2351"/>
      <c r="V85" s="2351"/>
      <c r="W85" s="2351"/>
      <c r="X85" s="2351"/>
      <c r="Y85" s="2357"/>
      <c r="Z85" s="2358"/>
      <c r="AA85" s="2025"/>
      <c r="AB85" s="2025"/>
      <c r="AC85" s="2025"/>
      <c r="AD85" s="2025"/>
      <c r="AE85" s="2025"/>
      <c r="AF85" s="2025"/>
      <c r="AG85" s="2025"/>
      <c r="AH85" s="2025"/>
      <c r="AI85" s="2025"/>
      <c r="AJ85" s="2025"/>
      <c r="AK85" s="2025"/>
      <c r="AL85" s="2025"/>
      <c r="AM85" s="2025"/>
      <c r="AN85" s="2025"/>
      <c r="AO85" s="2025"/>
      <c r="AP85" s="2025"/>
      <c r="AQ85" s="2025"/>
      <c r="AR85" s="2025"/>
      <c r="BH85" s="2359"/>
      <c r="BI85" s="2359"/>
      <c r="BQ85" s="2360"/>
    </row>
    <row r="86" spans="1:69" s="2042" customFormat="1" ht="15.75" x14ac:dyDescent="0.25">
      <c r="A86" s="2025"/>
      <c r="B86" s="2025"/>
      <c r="C86" s="2025"/>
      <c r="D86" s="2025"/>
      <c r="E86" s="2025"/>
      <c r="F86" s="2025"/>
      <c r="G86" s="2353"/>
      <c r="H86" s="2352"/>
      <c r="I86" s="2025"/>
      <c r="J86" s="2025"/>
      <c r="K86" s="2367"/>
      <c r="L86" s="2352"/>
      <c r="M86" s="2025"/>
      <c r="N86" s="3808" t="s">
        <v>2061</v>
      </c>
      <c r="O86" s="3808"/>
      <c r="P86" s="3808"/>
      <c r="Q86" s="2025"/>
      <c r="R86" s="2352"/>
      <c r="S86" s="2352"/>
      <c r="T86" s="2368"/>
      <c r="U86" s="2368"/>
      <c r="V86" s="2368"/>
      <c r="W86" s="2368"/>
      <c r="X86" s="2368"/>
      <c r="Y86" s="2357"/>
      <c r="Z86" s="2358"/>
      <c r="AA86" s="2025"/>
      <c r="AB86" s="2025"/>
      <c r="AC86" s="2025"/>
      <c r="AD86" s="2025"/>
      <c r="AE86" s="1122"/>
      <c r="AF86" s="1122"/>
      <c r="AG86" s="2025"/>
      <c r="AH86" s="2025"/>
      <c r="AI86" s="1122"/>
      <c r="AJ86" s="1122"/>
      <c r="AK86" s="2025"/>
      <c r="AL86" s="2025"/>
      <c r="AM86" s="1122"/>
      <c r="AN86" s="1122"/>
      <c r="AO86" s="2025"/>
      <c r="AP86" s="2025"/>
      <c r="AQ86" s="1122"/>
      <c r="AR86" s="1122"/>
      <c r="BQ86" s="2360"/>
    </row>
    <row r="87" spans="1:69" s="2042" customFormat="1" ht="15.75" x14ac:dyDescent="0.25">
      <c r="A87" s="2025"/>
      <c r="B87" s="2025"/>
      <c r="C87" s="2025"/>
      <c r="D87" s="2025"/>
      <c r="E87" s="2025"/>
      <c r="F87" s="2025"/>
      <c r="G87" s="2353"/>
      <c r="H87" s="2352"/>
      <c r="I87" s="2025"/>
      <c r="J87" s="2025"/>
      <c r="K87" s="2367"/>
      <c r="L87" s="2352"/>
      <c r="M87" s="2025"/>
      <c r="N87" s="2358" t="s">
        <v>2062</v>
      </c>
      <c r="O87" s="2025"/>
      <c r="P87" s="2369"/>
      <c r="Q87" s="2025"/>
      <c r="R87" s="2352"/>
      <c r="S87" s="2352"/>
      <c r="T87" s="2370"/>
      <c r="U87" s="2368"/>
      <c r="V87" s="2368"/>
      <c r="W87" s="2368"/>
      <c r="X87" s="2368"/>
      <c r="Y87" s="2357"/>
      <c r="Z87" s="2358"/>
      <c r="AA87" s="2025"/>
      <c r="AB87" s="2025"/>
      <c r="AC87" s="2025"/>
      <c r="AD87" s="2025"/>
      <c r="AE87" s="1122"/>
      <c r="AF87" s="1122"/>
      <c r="AG87" s="2025"/>
      <c r="AH87" s="2025"/>
      <c r="AI87" s="1122"/>
      <c r="AJ87" s="1122"/>
      <c r="AK87" s="2025"/>
      <c r="AL87" s="2025"/>
      <c r="AM87" s="1122"/>
      <c r="AN87" s="1122"/>
      <c r="AO87" s="2025"/>
      <c r="AP87" s="2025"/>
      <c r="AQ87" s="1122"/>
      <c r="AR87" s="1122"/>
      <c r="BQ87" s="2360"/>
    </row>
    <row r="88" spans="1:69" s="2042" customFormat="1" ht="15.75" x14ac:dyDescent="0.25">
      <c r="A88" s="2025"/>
      <c r="B88" s="2025"/>
      <c r="C88" s="2025"/>
      <c r="D88" s="2025"/>
      <c r="E88" s="2025"/>
      <c r="F88" s="2025"/>
      <c r="G88" s="2353"/>
      <c r="H88" s="2352"/>
      <c r="I88" s="2025"/>
      <c r="J88" s="2025"/>
      <c r="K88" s="2367"/>
      <c r="L88" s="2352"/>
      <c r="M88" s="2025"/>
      <c r="N88" s="2371"/>
      <c r="O88" s="2025"/>
      <c r="P88" s="2369"/>
      <c r="Q88" s="2025"/>
      <c r="R88" s="2352"/>
      <c r="S88" s="2352"/>
      <c r="T88" s="2370"/>
      <c r="U88" s="2368"/>
      <c r="V88" s="2368"/>
      <c r="W88" s="2368"/>
      <c r="X88" s="2368"/>
      <c r="Y88" s="2357"/>
      <c r="Z88" s="2358"/>
      <c r="AA88" s="2025"/>
      <c r="AB88" s="2025"/>
      <c r="AC88" s="2025"/>
      <c r="AD88" s="2025"/>
      <c r="AE88" s="1122"/>
      <c r="AF88" s="1122"/>
      <c r="AG88" s="2025"/>
      <c r="AH88" s="2025"/>
      <c r="AI88" s="1122"/>
      <c r="AJ88" s="1122"/>
      <c r="AK88" s="2025"/>
      <c r="AL88" s="2025"/>
      <c r="AM88" s="1122"/>
      <c r="AN88" s="1122"/>
      <c r="AO88" s="2025"/>
      <c r="AP88" s="2025"/>
      <c r="AQ88" s="1122"/>
      <c r="AR88" s="1122"/>
      <c r="BQ88" s="2360"/>
    </row>
  </sheetData>
  <sheetProtection algorithmName="SHA-512" hashValue="X21MXR3UVQnIx48GcR7ToG+tpb5ihqHeRQoKMaH402bKdL1OWxLxYkhUf7riBl4WCImsGGiUpKEOtC3BsToH/Q==" saltValue="//nSxKk7ZkPGurFtmOFNSQ==" spinCount="100000" sheet="1" objects="1" scenarios="1"/>
  <mergeCells count="709">
    <mergeCell ref="N86:P86"/>
    <mergeCell ref="BN74:BN76"/>
    <mergeCell ref="BO74:BO76"/>
    <mergeCell ref="BP74:BP76"/>
    <mergeCell ref="BQ74:BQ76"/>
    <mergeCell ref="G79:I79"/>
    <mergeCell ref="A80:I80"/>
    <mergeCell ref="AA80:BF80"/>
    <mergeCell ref="BH74:BH75"/>
    <mergeCell ref="BI74:BI75"/>
    <mergeCell ref="BJ74:BJ75"/>
    <mergeCell ref="BK74:BK76"/>
    <mergeCell ref="BL74:BL76"/>
    <mergeCell ref="BM74:BM76"/>
    <mergeCell ref="BB74:BB76"/>
    <mergeCell ref="BC74:BC76"/>
    <mergeCell ref="BD74:BD76"/>
    <mergeCell ref="BE74:BE76"/>
    <mergeCell ref="BF74:BF76"/>
    <mergeCell ref="BG74:BG75"/>
    <mergeCell ref="AV74:AV76"/>
    <mergeCell ref="AW74:AW76"/>
    <mergeCell ref="AX74:AX76"/>
    <mergeCell ref="AY74:AY76"/>
    <mergeCell ref="AZ74:AZ76"/>
    <mergeCell ref="BA74:BA76"/>
    <mergeCell ref="AP74:AP76"/>
    <mergeCell ref="AQ74:AQ76"/>
    <mergeCell ref="AR74:AR76"/>
    <mergeCell ref="AS74:AS76"/>
    <mergeCell ref="AT74:AT76"/>
    <mergeCell ref="AU74:AU76"/>
    <mergeCell ref="AJ74:AJ76"/>
    <mergeCell ref="AK74:AK76"/>
    <mergeCell ref="AL74:AL76"/>
    <mergeCell ref="AM74:AM76"/>
    <mergeCell ref="AN74:AN76"/>
    <mergeCell ref="AO74:AO76"/>
    <mergeCell ref="AD74:AD76"/>
    <mergeCell ref="AE74:AE76"/>
    <mergeCell ref="AF74:AF76"/>
    <mergeCell ref="AG74:AG76"/>
    <mergeCell ref="AH74:AH76"/>
    <mergeCell ref="AI74:AI76"/>
    <mergeCell ref="X74:X75"/>
    <mergeCell ref="Y74:Y75"/>
    <mergeCell ref="Z74:Z75"/>
    <mergeCell ref="AA74:AA76"/>
    <mergeCell ref="AB74:AB76"/>
    <mergeCell ref="AC74:AC76"/>
    <mergeCell ref="R74:R76"/>
    <mergeCell ref="S74:S76"/>
    <mergeCell ref="T74:T75"/>
    <mergeCell ref="U74:U75"/>
    <mergeCell ref="V74:V75"/>
    <mergeCell ref="W74:W75"/>
    <mergeCell ref="BP67:BP72"/>
    <mergeCell ref="BQ67:BQ72"/>
    <mergeCell ref="J74:J75"/>
    <mergeCell ref="K74:K75"/>
    <mergeCell ref="L74:L75"/>
    <mergeCell ref="M74:M75"/>
    <mergeCell ref="N74:N76"/>
    <mergeCell ref="O74:O76"/>
    <mergeCell ref="P74:P76"/>
    <mergeCell ref="Q74:Q75"/>
    <mergeCell ref="BJ67:BJ72"/>
    <mergeCell ref="BK67:BK72"/>
    <mergeCell ref="BL67:BL72"/>
    <mergeCell ref="BM67:BM72"/>
    <mergeCell ref="BN67:BN72"/>
    <mergeCell ref="BO67:BO72"/>
    <mergeCell ref="BD67:BD72"/>
    <mergeCell ref="BE67:BE72"/>
    <mergeCell ref="BF67:BF72"/>
    <mergeCell ref="BG67:BG72"/>
    <mergeCell ref="BH67:BH72"/>
    <mergeCell ref="BI67:BI72"/>
    <mergeCell ref="AX67:AX72"/>
    <mergeCell ref="AY67:AY72"/>
    <mergeCell ref="AZ67:AZ72"/>
    <mergeCell ref="BA67:BA72"/>
    <mergeCell ref="BB67:BB72"/>
    <mergeCell ref="BC67:BC72"/>
    <mergeCell ref="AR67:AR72"/>
    <mergeCell ref="AS67:AS72"/>
    <mergeCell ref="AT67:AT72"/>
    <mergeCell ref="AU67:AU72"/>
    <mergeCell ref="AV67:AV72"/>
    <mergeCell ref="AW67:AW72"/>
    <mergeCell ref="AL67:AL72"/>
    <mergeCell ref="AM67:AM72"/>
    <mergeCell ref="AN67:AN72"/>
    <mergeCell ref="AO67:AO72"/>
    <mergeCell ref="AP67:AP72"/>
    <mergeCell ref="AQ67:AQ72"/>
    <mergeCell ref="AF67:AF72"/>
    <mergeCell ref="AG67:AG72"/>
    <mergeCell ref="AH67:AH72"/>
    <mergeCell ref="AI67:AI72"/>
    <mergeCell ref="AJ67:AJ72"/>
    <mergeCell ref="AK67:AK72"/>
    <mergeCell ref="T67:T72"/>
    <mergeCell ref="AA67:AA72"/>
    <mergeCell ref="AB67:AB72"/>
    <mergeCell ref="AC67:AC72"/>
    <mergeCell ref="AD67:AD72"/>
    <mergeCell ref="AE67:AE72"/>
    <mergeCell ref="N67:N72"/>
    <mergeCell ref="O67:O72"/>
    <mergeCell ref="P67:P72"/>
    <mergeCell ref="Q67:Q72"/>
    <mergeCell ref="R67:R72"/>
    <mergeCell ref="S67:S72"/>
    <mergeCell ref="BN61:BN63"/>
    <mergeCell ref="BO61:BO63"/>
    <mergeCell ref="BP61:BP63"/>
    <mergeCell ref="AY61:AY63"/>
    <mergeCell ref="AN61:AN63"/>
    <mergeCell ref="AO61:AO63"/>
    <mergeCell ref="AP61:AP63"/>
    <mergeCell ref="AQ61:AQ63"/>
    <mergeCell ref="AR61:AR63"/>
    <mergeCell ref="AS61:AS63"/>
    <mergeCell ref="AH61:AH63"/>
    <mergeCell ref="AI61:AI63"/>
    <mergeCell ref="AJ61:AJ63"/>
    <mergeCell ref="AK61:AK63"/>
    <mergeCell ref="AL61:AL63"/>
    <mergeCell ref="AM61:AM63"/>
    <mergeCell ref="AB61:AB63"/>
    <mergeCell ref="AC61:AC63"/>
    <mergeCell ref="BQ61:BQ63"/>
    <mergeCell ref="G65:I65"/>
    <mergeCell ref="G67:I72"/>
    <mergeCell ref="J67:J72"/>
    <mergeCell ref="K67:K72"/>
    <mergeCell ref="L67:L72"/>
    <mergeCell ref="M67:M72"/>
    <mergeCell ref="BF61:BF63"/>
    <mergeCell ref="BG61:BG63"/>
    <mergeCell ref="BH61:BH63"/>
    <mergeCell ref="BI61:BI63"/>
    <mergeCell ref="BJ61:BJ62"/>
    <mergeCell ref="BM61:BM63"/>
    <mergeCell ref="AZ61:AZ63"/>
    <mergeCell ref="BA61:BA63"/>
    <mergeCell ref="BB61:BB63"/>
    <mergeCell ref="BC61:BC63"/>
    <mergeCell ref="BD61:BD63"/>
    <mergeCell ref="BE61:BE63"/>
    <mergeCell ref="AT61:AT63"/>
    <mergeCell ref="AU61:AU63"/>
    <mergeCell ref="AV61:AV63"/>
    <mergeCell ref="AW61:AW63"/>
    <mergeCell ref="AX61:AX63"/>
    <mergeCell ref="J61:J62"/>
    <mergeCell ref="K61:K62"/>
    <mergeCell ref="L61:L62"/>
    <mergeCell ref="M61:M62"/>
    <mergeCell ref="N61:N63"/>
    <mergeCell ref="O61:O63"/>
    <mergeCell ref="AD61:AD63"/>
    <mergeCell ref="AE61:AE63"/>
    <mergeCell ref="AF61:AF63"/>
    <mergeCell ref="V61:V62"/>
    <mergeCell ref="W61:W62"/>
    <mergeCell ref="X61:X62"/>
    <mergeCell ref="Y61:Y62"/>
    <mergeCell ref="Z61:Z62"/>
    <mergeCell ref="AA61:AA63"/>
    <mergeCell ref="BE56:BE58"/>
    <mergeCell ref="BF56:BF58"/>
    <mergeCell ref="BG56:BG58"/>
    <mergeCell ref="BH56:BH58"/>
    <mergeCell ref="BI56:BI58"/>
    <mergeCell ref="BJ56:BJ58"/>
    <mergeCell ref="P61:P63"/>
    <mergeCell ref="Q61:Q62"/>
    <mergeCell ref="R61:R63"/>
    <mergeCell ref="S61:S63"/>
    <mergeCell ref="T61:T62"/>
    <mergeCell ref="U61:U62"/>
    <mergeCell ref="AG61:AG63"/>
    <mergeCell ref="AY56:AY58"/>
    <mergeCell ref="AZ56:AZ58"/>
    <mergeCell ref="BA56:BA58"/>
    <mergeCell ref="BB56:BB58"/>
    <mergeCell ref="BC56:BC58"/>
    <mergeCell ref="BD56:BD58"/>
    <mergeCell ref="AS56:AS58"/>
    <mergeCell ref="AT56:AT58"/>
    <mergeCell ref="AU56:AU58"/>
    <mergeCell ref="AV56:AV58"/>
    <mergeCell ref="AW56:AW58"/>
    <mergeCell ref="AX56:AX58"/>
    <mergeCell ref="AM56:AM58"/>
    <mergeCell ref="AN56:AN58"/>
    <mergeCell ref="AO56:AO58"/>
    <mergeCell ref="AP56:AP58"/>
    <mergeCell ref="AQ56:AQ58"/>
    <mergeCell ref="AR56:AR58"/>
    <mergeCell ref="AG56:AG58"/>
    <mergeCell ref="AH56:AH58"/>
    <mergeCell ref="AI56:AI58"/>
    <mergeCell ref="AJ56:AJ58"/>
    <mergeCell ref="AK56:AK58"/>
    <mergeCell ref="AL56:AL58"/>
    <mergeCell ref="AA56:AA58"/>
    <mergeCell ref="AB56:AB58"/>
    <mergeCell ref="AC56:AC58"/>
    <mergeCell ref="AD56:AD58"/>
    <mergeCell ref="AE56:AE58"/>
    <mergeCell ref="AF56:AF58"/>
    <mergeCell ref="P56:P58"/>
    <mergeCell ref="Q56:Q58"/>
    <mergeCell ref="R56:R58"/>
    <mergeCell ref="S56:S58"/>
    <mergeCell ref="T56:T58"/>
    <mergeCell ref="U56:U57"/>
    <mergeCell ref="J56:J58"/>
    <mergeCell ref="K56:K58"/>
    <mergeCell ref="L56:L58"/>
    <mergeCell ref="M56:M58"/>
    <mergeCell ref="N56:N58"/>
    <mergeCell ref="O56:O58"/>
    <mergeCell ref="BL52:BL53"/>
    <mergeCell ref="BM52:BM53"/>
    <mergeCell ref="BN52:BN53"/>
    <mergeCell ref="AZ52:AZ55"/>
    <mergeCell ref="BA52:BA55"/>
    <mergeCell ref="BB52:BB55"/>
    <mergeCell ref="BC52:BC55"/>
    <mergeCell ref="BD52:BD55"/>
    <mergeCell ref="BE52:BE55"/>
    <mergeCell ref="AT52:AT55"/>
    <mergeCell ref="AU52:AU55"/>
    <mergeCell ref="AV52:AV55"/>
    <mergeCell ref="AW52:AW55"/>
    <mergeCell ref="AX52:AX55"/>
    <mergeCell ref="AY52:AY55"/>
    <mergeCell ref="AN52:AN55"/>
    <mergeCell ref="AO52:AO55"/>
    <mergeCell ref="AP52:AP55"/>
    <mergeCell ref="BO52:BO53"/>
    <mergeCell ref="BP52:BP53"/>
    <mergeCell ref="BQ52:BQ58"/>
    <mergeCell ref="BF52:BF55"/>
    <mergeCell ref="BG52:BG53"/>
    <mergeCell ref="BH52:BH53"/>
    <mergeCell ref="BI52:BI53"/>
    <mergeCell ref="BJ52:BJ53"/>
    <mergeCell ref="BK52:BK55"/>
    <mergeCell ref="BK56:BK58"/>
    <mergeCell ref="BL56:BL58"/>
    <mergeCell ref="BM56:BM58"/>
    <mergeCell ref="BN56:BN58"/>
    <mergeCell ref="BO56:BO58"/>
    <mergeCell ref="BP56:BP58"/>
    <mergeCell ref="AQ52:AQ55"/>
    <mergeCell ref="AR52:AR55"/>
    <mergeCell ref="AS52:AS55"/>
    <mergeCell ref="AH52:AH55"/>
    <mergeCell ref="AI52:AI55"/>
    <mergeCell ref="AJ52:AJ55"/>
    <mergeCell ref="AK52:AK55"/>
    <mergeCell ref="AL52:AL55"/>
    <mergeCell ref="AM52:AM55"/>
    <mergeCell ref="AB52:AB55"/>
    <mergeCell ref="AC52:AC55"/>
    <mergeCell ref="AD52:AD55"/>
    <mergeCell ref="AE52:AE55"/>
    <mergeCell ref="AF52:AF55"/>
    <mergeCell ref="AG52:AG55"/>
    <mergeCell ref="P52:P55"/>
    <mergeCell ref="Q52:Q53"/>
    <mergeCell ref="R52:R55"/>
    <mergeCell ref="S52:S55"/>
    <mergeCell ref="T52:T55"/>
    <mergeCell ref="AA52:AA55"/>
    <mergeCell ref="BQ42:BQ47"/>
    <mergeCell ref="BF42:BF47"/>
    <mergeCell ref="BG42:BG46"/>
    <mergeCell ref="BH42:BH46"/>
    <mergeCell ref="BI42:BI46"/>
    <mergeCell ref="BJ42:BJ46"/>
    <mergeCell ref="BK42:BK47"/>
    <mergeCell ref="J52:J53"/>
    <mergeCell ref="K52:K53"/>
    <mergeCell ref="L52:L53"/>
    <mergeCell ref="M52:M53"/>
    <mergeCell ref="N52:N55"/>
    <mergeCell ref="O52:O55"/>
    <mergeCell ref="BL42:BL47"/>
    <mergeCell ref="BM42:BM47"/>
    <mergeCell ref="BN42:BN47"/>
    <mergeCell ref="AZ42:AZ47"/>
    <mergeCell ref="BA42:BA47"/>
    <mergeCell ref="BB42:BB47"/>
    <mergeCell ref="BC42:BC47"/>
    <mergeCell ref="BD42:BD47"/>
    <mergeCell ref="BE42:BE47"/>
    <mergeCell ref="AT42:AT47"/>
    <mergeCell ref="AU42:AU47"/>
    <mergeCell ref="AS42:AS47"/>
    <mergeCell ref="AH42:AH47"/>
    <mergeCell ref="AI42:AI47"/>
    <mergeCell ref="AJ42:AJ47"/>
    <mergeCell ref="AK42:AK47"/>
    <mergeCell ref="AL42:AL47"/>
    <mergeCell ref="AM42:AM47"/>
    <mergeCell ref="BO42:BO47"/>
    <mergeCell ref="BP42:BP47"/>
    <mergeCell ref="AV42:AV47"/>
    <mergeCell ref="AW42:AW47"/>
    <mergeCell ref="AX42:AX47"/>
    <mergeCell ref="AY42:AY47"/>
    <mergeCell ref="AN42:AN47"/>
    <mergeCell ref="AO42:AO47"/>
    <mergeCell ref="AP42:AP47"/>
    <mergeCell ref="P42:P47"/>
    <mergeCell ref="Q42:Q47"/>
    <mergeCell ref="R42:R47"/>
    <mergeCell ref="S42:S47"/>
    <mergeCell ref="T42:T47"/>
    <mergeCell ref="U42:U46"/>
    <mergeCell ref="BM38:BM39"/>
    <mergeCell ref="BN38:BN39"/>
    <mergeCell ref="BO38:BO39"/>
    <mergeCell ref="AF29:AF39"/>
    <mergeCell ref="AB42:AB47"/>
    <mergeCell ref="AC42:AC47"/>
    <mergeCell ref="AD42:AD47"/>
    <mergeCell ref="AE42:AE47"/>
    <mergeCell ref="AF42:AF47"/>
    <mergeCell ref="AG42:AG47"/>
    <mergeCell ref="V42:V46"/>
    <mergeCell ref="W42:W46"/>
    <mergeCell ref="X42:X46"/>
    <mergeCell ref="Y42:Y46"/>
    <mergeCell ref="Z42:Z46"/>
    <mergeCell ref="AA42:AA47"/>
    <mergeCell ref="AQ42:AQ47"/>
    <mergeCell ref="AR42:AR47"/>
    <mergeCell ref="BP38:BP39"/>
    <mergeCell ref="G42:I47"/>
    <mergeCell ref="J42:J47"/>
    <mergeCell ref="K42:K47"/>
    <mergeCell ref="L42:L47"/>
    <mergeCell ref="M42:M47"/>
    <mergeCell ref="O42:O47"/>
    <mergeCell ref="U38:U39"/>
    <mergeCell ref="BG38:BG39"/>
    <mergeCell ref="BH38:BH39"/>
    <mergeCell ref="BI38:BI39"/>
    <mergeCell ref="BJ38:BJ39"/>
    <mergeCell ref="BL38:BL39"/>
    <mergeCell ref="J38:J39"/>
    <mergeCell ref="K38:K39"/>
    <mergeCell ref="L38:L39"/>
    <mergeCell ref="M38:M39"/>
    <mergeCell ref="Q38:Q39"/>
    <mergeCell ref="T38:T39"/>
    <mergeCell ref="AA29:AA39"/>
    <mergeCell ref="AB29:AB39"/>
    <mergeCell ref="AC29:AC39"/>
    <mergeCell ref="AD29:AD39"/>
    <mergeCell ref="AE29:AE39"/>
    <mergeCell ref="BI35:BI36"/>
    <mergeCell ref="BJ35:BJ36"/>
    <mergeCell ref="BM35:BM36"/>
    <mergeCell ref="BN35:BN36"/>
    <mergeCell ref="BO35:BO36"/>
    <mergeCell ref="BP35:BP36"/>
    <mergeCell ref="BO32:BO34"/>
    <mergeCell ref="BP32:BP34"/>
    <mergeCell ref="J35:J36"/>
    <mergeCell ref="K35:K36"/>
    <mergeCell ref="L35:L36"/>
    <mergeCell ref="M35:M36"/>
    <mergeCell ref="Q35:Q36"/>
    <mergeCell ref="T35:T36"/>
    <mergeCell ref="BG35:BG36"/>
    <mergeCell ref="BH35:BH36"/>
    <mergeCell ref="BG32:BG34"/>
    <mergeCell ref="BH32:BH34"/>
    <mergeCell ref="BI32:BI34"/>
    <mergeCell ref="BJ32:BJ34"/>
    <mergeCell ref="BM32:BM34"/>
    <mergeCell ref="BN32:BN34"/>
    <mergeCell ref="AK29:AK39"/>
    <mergeCell ref="AL29:AL39"/>
    <mergeCell ref="BM30:BM31"/>
    <mergeCell ref="BN30:BN31"/>
    <mergeCell ref="BO30:BO31"/>
    <mergeCell ref="BP30:BP31"/>
    <mergeCell ref="J32:J34"/>
    <mergeCell ref="K32:K34"/>
    <mergeCell ref="L32:L34"/>
    <mergeCell ref="M32:M34"/>
    <mergeCell ref="Q32:Q34"/>
    <mergeCell ref="T32:T34"/>
    <mergeCell ref="T30:T31"/>
    <mergeCell ref="U30:U31"/>
    <mergeCell ref="BG30:BG31"/>
    <mergeCell ref="BH30:BH31"/>
    <mergeCell ref="BI30:BI31"/>
    <mergeCell ref="BJ30:BJ31"/>
    <mergeCell ref="BE29:BE39"/>
    <mergeCell ref="BF29:BF39"/>
    <mergeCell ref="BK29:BK39"/>
    <mergeCell ref="BL29:BL36"/>
    <mergeCell ref="AG29:AG39"/>
    <mergeCell ref="AH29:AH39"/>
    <mergeCell ref="AI29:AI39"/>
    <mergeCell ref="AJ29:AJ39"/>
    <mergeCell ref="BQ29:BQ39"/>
    <mergeCell ref="J30:J31"/>
    <mergeCell ref="K30:K31"/>
    <mergeCell ref="L30:L31"/>
    <mergeCell ref="M30:M31"/>
    <mergeCell ref="Q30:Q31"/>
    <mergeCell ref="AY29:AY39"/>
    <mergeCell ref="AZ29:AZ39"/>
    <mergeCell ref="BA29:BA39"/>
    <mergeCell ref="BB29:BB39"/>
    <mergeCell ref="BC29:BC39"/>
    <mergeCell ref="BD29:BD39"/>
    <mergeCell ref="AS29:AS39"/>
    <mergeCell ref="AT29:AT39"/>
    <mergeCell ref="AU29:AU39"/>
    <mergeCell ref="AV29:AV39"/>
    <mergeCell ref="AW29:AW39"/>
    <mergeCell ref="AX29:AX39"/>
    <mergeCell ref="AM29:AM39"/>
    <mergeCell ref="AN29:AN39"/>
    <mergeCell ref="AO29:AO39"/>
    <mergeCell ref="AP29:AP39"/>
    <mergeCell ref="AQ29:AQ39"/>
    <mergeCell ref="AR29:AR39"/>
    <mergeCell ref="BN23:BN25"/>
    <mergeCell ref="BO23:BO25"/>
    <mergeCell ref="BP23:BP25"/>
    <mergeCell ref="BQ23:BQ25"/>
    <mergeCell ref="G29:I39"/>
    <mergeCell ref="N29:N39"/>
    <mergeCell ref="O29:O39"/>
    <mergeCell ref="P29:P39"/>
    <mergeCell ref="R29:R39"/>
    <mergeCell ref="S29:S39"/>
    <mergeCell ref="BH23:BH25"/>
    <mergeCell ref="BI23:BI25"/>
    <mergeCell ref="BJ23:BJ25"/>
    <mergeCell ref="BK23:BK25"/>
    <mergeCell ref="BL23:BL25"/>
    <mergeCell ref="BM23:BM25"/>
    <mergeCell ref="BB23:BB25"/>
    <mergeCell ref="BC23:BC25"/>
    <mergeCell ref="BD23:BD25"/>
    <mergeCell ref="BE23:BE25"/>
    <mergeCell ref="BF23:BF25"/>
    <mergeCell ref="BG23:BG25"/>
    <mergeCell ref="AV23:AV25"/>
    <mergeCell ref="AW23:AW25"/>
    <mergeCell ref="AX23:AX25"/>
    <mergeCell ref="AY23:AY25"/>
    <mergeCell ref="AZ23:AZ25"/>
    <mergeCell ref="BA23:BA25"/>
    <mergeCell ref="AP23:AP25"/>
    <mergeCell ref="AQ23:AQ25"/>
    <mergeCell ref="AR23:AR25"/>
    <mergeCell ref="AS23:AS25"/>
    <mergeCell ref="AT23:AT25"/>
    <mergeCell ref="AU23:AU25"/>
    <mergeCell ref="AJ23:AJ25"/>
    <mergeCell ref="AK23:AK25"/>
    <mergeCell ref="AL23:AL25"/>
    <mergeCell ref="AM23:AM25"/>
    <mergeCell ref="AN23:AN25"/>
    <mergeCell ref="AO23:AO25"/>
    <mergeCell ref="AD23:AD25"/>
    <mergeCell ref="AE23:AE25"/>
    <mergeCell ref="AF23:AF25"/>
    <mergeCell ref="AG23:AG25"/>
    <mergeCell ref="AH23:AH25"/>
    <mergeCell ref="AI23:AI25"/>
    <mergeCell ref="S23:S25"/>
    <mergeCell ref="T23:T25"/>
    <mergeCell ref="U23:U25"/>
    <mergeCell ref="AA23:AA25"/>
    <mergeCell ref="AB23:AB25"/>
    <mergeCell ref="AC23:AC25"/>
    <mergeCell ref="M23:M25"/>
    <mergeCell ref="N23:N25"/>
    <mergeCell ref="O23:O25"/>
    <mergeCell ref="P23:P25"/>
    <mergeCell ref="Q23:Q25"/>
    <mergeCell ref="R23:R25"/>
    <mergeCell ref="BO20:BO22"/>
    <mergeCell ref="BP20:BP22"/>
    <mergeCell ref="BQ20:BQ22"/>
    <mergeCell ref="D23:D25"/>
    <mergeCell ref="F23:F25"/>
    <mergeCell ref="G23:G25"/>
    <mergeCell ref="I23:I25"/>
    <mergeCell ref="J23:J25"/>
    <mergeCell ref="K23:K25"/>
    <mergeCell ref="L23:L25"/>
    <mergeCell ref="BI20:BI22"/>
    <mergeCell ref="BJ20:BJ22"/>
    <mergeCell ref="BK20:BK22"/>
    <mergeCell ref="BL20:BL22"/>
    <mergeCell ref="BM20:BM22"/>
    <mergeCell ref="BN20:BN22"/>
    <mergeCell ref="BC20:BC22"/>
    <mergeCell ref="BD20:BD22"/>
    <mergeCell ref="BE20:BE22"/>
    <mergeCell ref="BF20:BF22"/>
    <mergeCell ref="BG20:BG22"/>
    <mergeCell ref="BH20:BH22"/>
    <mergeCell ref="AW20:AW22"/>
    <mergeCell ref="AX20:AX22"/>
    <mergeCell ref="AY20:AY22"/>
    <mergeCell ref="AZ20:AZ22"/>
    <mergeCell ref="BA20:BA22"/>
    <mergeCell ref="BB20:BB22"/>
    <mergeCell ref="AQ20:AQ22"/>
    <mergeCell ref="AR20:AR22"/>
    <mergeCell ref="AS20:AS22"/>
    <mergeCell ref="AT20:AT22"/>
    <mergeCell ref="AU20:AU22"/>
    <mergeCell ref="AV20:AV22"/>
    <mergeCell ref="AK20:AK22"/>
    <mergeCell ref="AL20:AL22"/>
    <mergeCell ref="AM20:AM22"/>
    <mergeCell ref="AN20:AN22"/>
    <mergeCell ref="AO20:AO22"/>
    <mergeCell ref="AP20:AP22"/>
    <mergeCell ref="AE20:AE22"/>
    <mergeCell ref="AF20:AF22"/>
    <mergeCell ref="AG20:AG22"/>
    <mergeCell ref="AH20:AH22"/>
    <mergeCell ref="AI20:AI22"/>
    <mergeCell ref="AJ20:AJ22"/>
    <mergeCell ref="Y20:Y21"/>
    <mergeCell ref="Z20:Z21"/>
    <mergeCell ref="AA20:AA22"/>
    <mergeCell ref="AB20:AB22"/>
    <mergeCell ref="AC20:AC22"/>
    <mergeCell ref="AD20:AD22"/>
    <mergeCell ref="S20:S22"/>
    <mergeCell ref="T20:T22"/>
    <mergeCell ref="U20:U21"/>
    <mergeCell ref="V20:V21"/>
    <mergeCell ref="W20:W21"/>
    <mergeCell ref="X20:X21"/>
    <mergeCell ref="BK11:BK18"/>
    <mergeCell ref="BG14:BG16"/>
    <mergeCell ref="BH14:BH16"/>
    <mergeCell ref="BP17:BP18"/>
    <mergeCell ref="J20:J21"/>
    <mergeCell ref="K20:K21"/>
    <mergeCell ref="L20:L21"/>
    <mergeCell ref="M20:M21"/>
    <mergeCell ref="N20:N22"/>
    <mergeCell ref="O20:O22"/>
    <mergeCell ref="P20:P22"/>
    <mergeCell ref="Q20:Q21"/>
    <mergeCell ref="R20:R22"/>
    <mergeCell ref="BI17:BI18"/>
    <mergeCell ref="BJ17:BJ18"/>
    <mergeCell ref="BL17:BL18"/>
    <mergeCell ref="BM17:BM18"/>
    <mergeCell ref="BN17:BN18"/>
    <mergeCell ref="BO17:BO18"/>
    <mergeCell ref="AN11:AN18"/>
    <mergeCell ref="AO11:AO18"/>
    <mergeCell ref="AP11:AP18"/>
    <mergeCell ref="AQ11:AQ18"/>
    <mergeCell ref="AR11:AR18"/>
    <mergeCell ref="J14:J16"/>
    <mergeCell ref="K14:K16"/>
    <mergeCell ref="L14:L16"/>
    <mergeCell ref="M14:M16"/>
    <mergeCell ref="Q14:Q16"/>
    <mergeCell ref="T14:T16"/>
    <mergeCell ref="BF11:BF18"/>
    <mergeCell ref="BG11:BG13"/>
    <mergeCell ref="BH11:BH13"/>
    <mergeCell ref="AS11:AS18"/>
    <mergeCell ref="AH11:AH18"/>
    <mergeCell ref="AI11:AI18"/>
    <mergeCell ref="J17:J18"/>
    <mergeCell ref="K17:K18"/>
    <mergeCell ref="L17:L18"/>
    <mergeCell ref="M17:M18"/>
    <mergeCell ref="Q17:Q18"/>
    <mergeCell ref="T17:T18"/>
    <mergeCell ref="U17:U18"/>
    <mergeCell ref="BG17:BG18"/>
    <mergeCell ref="BH17:BH18"/>
    <mergeCell ref="BL11:BL13"/>
    <mergeCell ref="BM11:BM13"/>
    <mergeCell ref="BN11:BN13"/>
    <mergeCell ref="BO11:BO13"/>
    <mergeCell ref="BP11:BP13"/>
    <mergeCell ref="BQ11:BQ18"/>
    <mergeCell ref="BL14:BL16"/>
    <mergeCell ref="BM14:BM16"/>
    <mergeCell ref="BN14:BN16"/>
    <mergeCell ref="BO14:BO16"/>
    <mergeCell ref="BP14:BP16"/>
    <mergeCell ref="AM11:AM18"/>
    <mergeCell ref="AB11:AB18"/>
    <mergeCell ref="AC11:AC18"/>
    <mergeCell ref="AD11:AD18"/>
    <mergeCell ref="AE11:AE18"/>
    <mergeCell ref="AF11:AF18"/>
    <mergeCell ref="AG11:AG18"/>
    <mergeCell ref="BI14:BI16"/>
    <mergeCell ref="BJ14:BJ16"/>
    <mergeCell ref="AZ11:AZ18"/>
    <mergeCell ref="BA11:BA18"/>
    <mergeCell ref="BB11:BB18"/>
    <mergeCell ref="BC11:BC18"/>
    <mergeCell ref="BD11:BD18"/>
    <mergeCell ref="BE11:BE18"/>
    <mergeCell ref="AT11:AT18"/>
    <mergeCell ref="AU11:AU18"/>
    <mergeCell ref="AV11:AV18"/>
    <mergeCell ref="AW11:AW18"/>
    <mergeCell ref="AX11:AX18"/>
    <mergeCell ref="AY11:AY18"/>
    <mergeCell ref="BI11:BI13"/>
    <mergeCell ref="BJ11:BJ13"/>
    <mergeCell ref="Q11:Q13"/>
    <mergeCell ref="R11:R18"/>
    <mergeCell ref="S11:S18"/>
    <mergeCell ref="T11:T13"/>
    <mergeCell ref="U11:U13"/>
    <mergeCell ref="U14:U15"/>
    <mergeCell ref="AJ11:AJ18"/>
    <mergeCell ref="AK11:AK18"/>
    <mergeCell ref="AL11:AL18"/>
    <mergeCell ref="J11:J13"/>
    <mergeCell ref="K11:K13"/>
    <mergeCell ref="L11:L13"/>
    <mergeCell ref="M11:M13"/>
    <mergeCell ref="N11:N18"/>
    <mergeCell ref="O11:O18"/>
    <mergeCell ref="AW7:AX7"/>
    <mergeCell ref="AY7:AZ7"/>
    <mergeCell ref="BA7:BB7"/>
    <mergeCell ref="R6:R7"/>
    <mergeCell ref="S6:S7"/>
    <mergeCell ref="T6:T7"/>
    <mergeCell ref="U6:U7"/>
    <mergeCell ref="V6:X6"/>
    <mergeCell ref="Z6:Z7"/>
    <mergeCell ref="K6:K7"/>
    <mergeCell ref="L6:L7"/>
    <mergeCell ref="V11:V12"/>
    <mergeCell ref="W11:W12"/>
    <mergeCell ref="X11:X12"/>
    <mergeCell ref="Y11:Y12"/>
    <mergeCell ref="Z11:Z12"/>
    <mergeCell ref="AA11:AA18"/>
    <mergeCell ref="P11:P18"/>
    <mergeCell ref="AA6:AD6"/>
    <mergeCell ref="AE6:AL6"/>
    <mergeCell ref="AM6:AX6"/>
    <mergeCell ref="AY6:BD6"/>
    <mergeCell ref="BE6:BF7"/>
    <mergeCell ref="BG6:BL6"/>
    <mergeCell ref="AO7:AP7"/>
    <mergeCell ref="AQ7:AR7"/>
    <mergeCell ref="AS7:AT7"/>
    <mergeCell ref="AU7:AV7"/>
    <mergeCell ref="BI7:BI8"/>
    <mergeCell ref="BJ7:BJ8"/>
    <mergeCell ref="BK7:BK8"/>
    <mergeCell ref="BL7:BL8"/>
    <mergeCell ref="BC7:BD7"/>
    <mergeCell ref="BG7:BG8"/>
    <mergeCell ref="BH7:BH8"/>
    <mergeCell ref="N6:N7"/>
    <mergeCell ref="O6:O7"/>
    <mergeCell ref="P6:P7"/>
    <mergeCell ref="Q6:Q7"/>
    <mergeCell ref="A1:BO4"/>
    <mergeCell ref="A5:M5"/>
    <mergeCell ref="P5:BQ5"/>
    <mergeCell ref="A6:A7"/>
    <mergeCell ref="B6:C7"/>
    <mergeCell ref="D6:D7"/>
    <mergeCell ref="E6:F7"/>
    <mergeCell ref="G6:G7"/>
    <mergeCell ref="H6:I7"/>
    <mergeCell ref="J6:J7"/>
    <mergeCell ref="BM6:BN7"/>
    <mergeCell ref="BO6:BP7"/>
    <mergeCell ref="BQ6:BQ7"/>
    <mergeCell ref="AA7:AB7"/>
    <mergeCell ref="AC7:AD7"/>
    <mergeCell ref="AE7:AF7"/>
    <mergeCell ref="AG7:AH7"/>
    <mergeCell ref="AI7:AJ7"/>
    <mergeCell ref="AK7:AL7"/>
    <mergeCell ref="AM7:AN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SGTO PA PLANEACION</vt:lpstr>
      <vt:lpstr>SGTO PA HACIENDA</vt:lpstr>
      <vt:lpstr>SGTO PA INFRA</vt:lpstr>
      <vt:lpstr>SGTO PA INTERIOR</vt:lpstr>
      <vt:lpstr>SGTO PA CULTURA</vt:lpstr>
      <vt:lpstr>SGTO PA TURISMO</vt:lpstr>
      <vt:lpstr>SGTO PA AGRICULTURA</vt:lpstr>
      <vt:lpstr>SGTO PA PRIVADA</vt:lpstr>
      <vt:lpstr>SGTO PA EDCACION</vt:lpstr>
      <vt:lpstr>SGTO PA FAMILIA</vt:lpstr>
      <vt:lpstr>SGT PA SALUD</vt:lpstr>
      <vt:lpstr>SGTO PA TIC</vt:lpstr>
      <vt:lpstr>SGTO PA INDEPORTES</vt:lpstr>
      <vt:lpstr>SGTO PA PROMOTORA</vt:lpstr>
      <vt:lpstr>SGTO PA IDTQ</vt:lpstr>
      <vt:lpstr>'SGTO PA PLANEACION'!Área_de_impresión</vt:lpstr>
      <vt:lpstr>'SGTO PA PLANEACION'!Títulos_a_imprimir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AUXPLANEACION32</dc:creator>
  <cp:lastModifiedBy>Fanny Villamil H</cp:lastModifiedBy>
  <dcterms:created xsi:type="dcterms:W3CDTF">2020-04-18T00:48:21Z</dcterms:created>
  <dcterms:modified xsi:type="dcterms:W3CDTF">2021-02-14T18:57:07Z</dcterms:modified>
</cp:coreProperties>
</file>